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0584A3BC-81CE-4C95-A85D-4CBB57ABCEA3}" xr6:coauthVersionLast="47" xr6:coauthVersionMax="47" xr10:uidLastSave="{00000000-0000-0000-0000-000000000000}"/>
  <bookViews>
    <workbookView xWindow="28680" yWindow="-120" windowWidth="29040" windowHeight="15720" tabRatio="881" firstSheet="6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P&amp;L'!$A$11:$AD$41</definedName>
    <definedName name="_xlnm._FilterDatabase" localSheetId="8" hidden="1">Options!$A$3:$BD$27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P&amp;L'!$B$2:$AC$41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/>
  <pivotCaches>
    <pivotCache cacheId="32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2" l="1" a="1"/>
  <c r="P23" i="2"/>
  <c r="BA17" i="2"/>
  <c r="BB17" i="2"/>
  <c r="T17" i="2" a="1"/>
  <c r="AN17" i="2" a="1"/>
  <c r="D17" i="2" a="1"/>
  <c r="C17" i="2" a="1"/>
  <c r="AD17" i="2" a="1"/>
  <c r="AA17" i="2" a="1"/>
  <c r="E17" i="2" a="1"/>
  <c r="AF17" i="2" a="1"/>
  <c r="Q17" i="2" a="1"/>
  <c r="P17" i="2" a="1"/>
  <c r="AR17" i="2" a="1"/>
  <c r="L17" i="2" a="1"/>
  <c r="G17" i="2" a="1"/>
  <c r="F17" i="2" a="1"/>
  <c r="AI17" i="1"/>
  <c r="L17" i="1" a="1"/>
  <c r="AG17" i="1"/>
  <c r="AF17" i="1"/>
  <c r="AB17" i="1"/>
  <c r="I17" i="1" a="1"/>
  <c r="AC17" i="1"/>
  <c r="AI38" i="1"/>
  <c r="L38" i="1" a="1"/>
  <c r="AG38" i="1"/>
  <c r="AF38" i="1"/>
  <c r="I38" i="1" a="1"/>
  <c r="AC38" i="1" a="1"/>
  <c r="AB38" i="1"/>
  <c r="L20" i="1" a="1"/>
  <c r="L21" i="1" a="1"/>
  <c r="AI21" i="1"/>
  <c r="AC19" i="1" a="1"/>
  <c r="AF20" i="1"/>
  <c r="AB20" i="1"/>
  <c r="AG21" i="1"/>
  <c r="AB19" i="1"/>
  <c r="I19" i="1" a="1"/>
  <c r="AC20" i="1" a="1"/>
  <c r="AF21" i="1"/>
  <c r="I20" i="1" a="1"/>
  <c r="AC21" i="1" a="1"/>
  <c r="L19" i="1" a="1"/>
  <c r="AB21" i="1"/>
  <c r="I21" i="1" a="1"/>
  <c r="AI20" i="1"/>
  <c r="AI19" i="1"/>
  <c r="AF19" i="1"/>
  <c r="AG20" i="1"/>
  <c r="AG19" i="1"/>
  <c r="AF29" i="1"/>
  <c r="AB29" i="1"/>
  <c r="AC29" i="1" a="1"/>
  <c r="BC17" i="2" l="1"/>
  <c r="BD17" i="2" s="1"/>
  <c r="F17" i="2"/>
  <c r="G17" i="2"/>
  <c r="L17" i="2"/>
  <c r="AR17" i="2"/>
  <c r="P17" i="2"/>
  <c r="Q17" i="2"/>
  <c r="R17" i="2" s="1"/>
  <c r="AF17" i="2"/>
  <c r="E17" i="2"/>
  <c r="AA17" i="2"/>
  <c r="AD17" i="2"/>
  <c r="C17" i="2"/>
  <c r="D17" i="2"/>
  <c r="AN17" i="2"/>
  <c r="T17" i="2"/>
  <c r="I17" i="1"/>
  <c r="L17" i="1"/>
  <c r="AC38" i="1"/>
  <c r="I38" i="1"/>
  <c r="L38" i="1"/>
  <c r="L21" i="1"/>
  <c r="L20" i="1"/>
  <c r="I21" i="1"/>
  <c r="L19" i="1"/>
  <c r="AC21" i="1"/>
  <c r="I20" i="1"/>
  <c r="AC20" i="1"/>
  <c r="I19" i="1"/>
  <c r="AC19" i="1"/>
  <c r="AC29" i="1"/>
  <c r="S17" i="2" a="1"/>
  <c r="AI29" i="1"/>
  <c r="AG29" i="1"/>
  <c r="I29" i="1" a="1"/>
  <c r="S17" i="2" l="1"/>
  <c r="AO17" i="2"/>
  <c r="AI17" i="2" s="1"/>
  <c r="O17" i="2"/>
  <c r="U17" i="2"/>
  <c r="V17" i="2" s="1"/>
  <c r="AP17" i="2"/>
  <c r="AK17" i="2" s="1"/>
  <c r="J17" i="1"/>
  <c r="W17" i="1"/>
  <c r="N17" i="1"/>
  <c r="N38" i="1"/>
  <c r="J38" i="1"/>
  <c r="J19" i="1"/>
  <c r="N19" i="1"/>
  <c r="N20" i="1"/>
  <c r="J20" i="1"/>
  <c r="N21" i="1"/>
  <c r="J21" i="1"/>
  <c r="I29" i="1"/>
  <c r="Z17" i="2"/>
  <c r="AC17" i="2" a="1"/>
  <c r="AQ17" i="2" a="1"/>
  <c r="AV17" i="2" a="1"/>
  <c r="L29" i="1" a="1"/>
  <c r="AI31" i="1"/>
  <c r="L31" i="1" a="1"/>
  <c r="AC31" i="1" a="1"/>
  <c r="I31" i="1" a="1"/>
  <c r="AG31" i="1"/>
  <c r="AB31" i="1"/>
  <c r="AF31" i="1"/>
  <c r="AI22" i="1"/>
  <c r="AG22" i="1"/>
  <c r="I22" i="1" a="1"/>
  <c r="AV17" i="2" l="1"/>
  <c r="AQ17" i="2"/>
  <c r="AC17" i="2"/>
  <c r="AE17" i="2" s="1"/>
  <c r="AT17" i="2"/>
  <c r="AS17" i="2"/>
  <c r="AL17" i="2"/>
  <c r="AG17" i="2" s="1"/>
  <c r="AM17" i="2"/>
  <c r="AH17" i="2" s="1"/>
  <c r="X17" i="2"/>
  <c r="Y17" i="2" s="1"/>
  <c r="W17" i="2" s="1"/>
  <c r="AB17" i="2"/>
  <c r="M17" i="2"/>
  <c r="O17" i="1"/>
  <c r="P17" i="1"/>
  <c r="T38" i="1"/>
  <c r="T21" i="1"/>
  <c r="T20" i="1"/>
  <c r="T19" i="1"/>
  <c r="L29" i="1"/>
  <c r="I31" i="1"/>
  <c r="AC31" i="1"/>
  <c r="L31" i="1"/>
  <c r="I22" i="1"/>
  <c r="L22" i="1" a="1"/>
  <c r="AF22" i="1"/>
  <c r="AC22" i="1" a="1"/>
  <c r="AB22" i="1"/>
  <c r="AD17" i="1" l="1"/>
  <c r="V17" i="1"/>
  <c r="N29" i="1"/>
  <c r="J29" i="1"/>
  <c r="N31" i="1"/>
  <c r="J31" i="1"/>
  <c r="AC22" i="1"/>
  <c r="L22" i="1"/>
  <c r="N22" i="1" l="1"/>
  <c r="J22" i="1"/>
  <c r="AB39" i="89" a="1"/>
  <c r="AB39" i="89"/>
  <c r="AB197" i="89" a="1"/>
  <c r="AB197" i="89"/>
  <c r="AB196" i="89" a="1"/>
  <c r="AB196" i="89"/>
  <c r="AB195" i="89" a="1"/>
  <c r="AB195" i="89"/>
  <c r="AB235" i="89" a="1"/>
  <c r="AB235" i="89"/>
  <c r="AB8" i="89" a="1"/>
  <c r="AB8" i="89"/>
  <c r="AB7" i="89" a="1"/>
  <c r="AB7" i="89"/>
  <c r="AB20" i="89" a="1"/>
  <c r="AB20" i="89"/>
  <c r="AB19" i="89" a="1"/>
  <c r="AB19" i="89"/>
  <c r="AB14" i="89" a="1"/>
  <c r="AB14" i="89"/>
  <c r="AB13" i="89" a="1"/>
  <c r="AB13" i="89"/>
  <c r="AB234" i="89" a="1"/>
  <c r="AB234" i="89"/>
  <c r="AB225" i="89" a="1"/>
  <c r="AB225" i="89"/>
  <c r="AB224" i="89" a="1"/>
  <c r="AB224" i="89"/>
  <c r="AB223" i="89" a="1"/>
  <c r="AB223" i="89"/>
  <c r="AB222" i="89" a="1"/>
  <c r="AB222" i="89"/>
  <c r="AB233" i="89" a="1"/>
  <c r="AB233" i="89"/>
  <c r="AB180" i="89" a="1"/>
  <c r="AB180" i="89"/>
  <c r="AB171" i="89" a="1"/>
  <c r="AB171" i="89"/>
  <c r="AB170" i="89" a="1"/>
  <c r="AB170" i="89"/>
  <c r="AB169" i="89" a="1"/>
  <c r="AB169" i="89"/>
  <c r="AB63" i="89" a="1"/>
  <c r="AB63" i="89"/>
  <c r="AB62" i="89" a="1"/>
  <c r="AB62" i="89"/>
  <c r="AB129" i="89" a="1"/>
  <c r="AB129" i="89"/>
  <c r="AB56" i="89" a="1"/>
  <c r="AB56" i="89"/>
  <c r="AB55" i="89" a="1"/>
  <c r="AB55" i="89"/>
  <c r="AB82" i="89" a="1"/>
  <c r="AB82" i="89"/>
  <c r="AB81" i="89" a="1"/>
  <c r="AB81" i="89"/>
  <c r="AB76" i="89" a="1"/>
  <c r="AB76" i="89"/>
  <c r="AB75" i="89" a="1"/>
  <c r="AB75" i="89"/>
  <c r="AB69" i="89" a="1"/>
  <c r="AB69" i="89"/>
  <c r="AB68" i="89" a="1"/>
  <c r="AB68" i="89"/>
  <c r="AB33" i="89" a="1"/>
  <c r="AB33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B90" i="89" a="1"/>
  <c r="AB90" i="89"/>
  <c r="AB89" i="89" a="1"/>
  <c r="AB89" i="89"/>
  <c r="AB160" i="89" a="1"/>
  <c r="AB160" i="89"/>
  <c r="AB154" i="89" a="1"/>
  <c r="AB154" i="89"/>
  <c r="AB153" i="89" a="1"/>
  <c r="AB153" i="89"/>
  <c r="AB188" i="89" a="1"/>
  <c r="AB188" i="89"/>
  <c r="AB187" i="89" a="1"/>
  <c r="AB187" i="89"/>
  <c r="AB186" i="89" a="1"/>
  <c r="AB186" i="89"/>
  <c r="AB50" i="89" a="1"/>
  <c r="AB50" i="89"/>
  <c r="AB49" i="89" a="1"/>
  <c r="AB49" i="89"/>
  <c r="AB145" i="89" a="1"/>
  <c r="AB145" i="89"/>
  <c r="AB144" i="89" a="1"/>
  <c r="AB144" i="89"/>
  <c r="AB237" i="89" a="1"/>
  <c r="AB237" i="89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34" i="89" a="1"/>
  <c r="AB34" i="89"/>
  <c r="AB27" i="89" a="1"/>
  <c r="AB27" i="89"/>
  <c r="AB26" i="89" a="1"/>
  <c r="AB26" i="89"/>
  <c r="AB40" i="89" a="1"/>
  <c r="AB40" i="89"/>
  <c r="AB236" i="89" a="1"/>
  <c r="AB236" i="89"/>
  <c r="AB109" i="89" a="1"/>
  <c r="AB109" i="89"/>
  <c r="AB108" i="89" a="1"/>
  <c r="AB108" i="89"/>
  <c r="AB116" i="89" a="1"/>
  <c r="AB116" i="89"/>
  <c r="AB115" i="89" a="1"/>
  <c r="AB115" i="89"/>
  <c r="AB123" i="89" a="1"/>
  <c r="AB123" i="89"/>
  <c r="AB122" i="89" a="1"/>
  <c r="AB122" i="89"/>
  <c r="S39" i="89" a="1"/>
  <c r="S39" i="89" l="1"/>
  <c r="R39" i="89" a="1"/>
  <c r="S101" i="89" a="1"/>
  <c r="R39" i="89" l="1"/>
  <c r="S101" i="89"/>
  <c r="R101" i="89" a="1"/>
  <c r="S237" i="89" a="1"/>
  <c r="R101" i="89" l="1"/>
  <c r="S237" i="89"/>
  <c r="R237" i="89" a="1"/>
  <c r="S40" i="89" a="1"/>
  <c r="R237" i="89" l="1"/>
  <c r="S40" i="89"/>
  <c r="R40" i="89" a="1"/>
  <c r="S236" i="89" a="1"/>
  <c r="R40" i="89" l="1"/>
  <c r="S236" i="89"/>
  <c r="R236" i="89" a="1"/>
  <c r="S7" i="89" a="1"/>
  <c r="R236" i="89" l="1"/>
  <c r="S7" i="89"/>
  <c r="R7" i="89" a="1"/>
  <c r="S27" i="89" a="1"/>
  <c r="R7" i="89" l="1"/>
  <c r="S27" i="89"/>
  <c r="R27" i="89" a="1"/>
  <c r="S116" i="89" a="1"/>
  <c r="R27" i="89" l="1"/>
  <c r="S116" i="89"/>
  <c r="R116" i="89" a="1"/>
  <c r="S145" i="89" a="1"/>
  <c r="R116" i="89" l="1"/>
  <c r="S145" i="89"/>
  <c r="R145" i="89" a="1"/>
  <c r="S154" i="89" a="1"/>
  <c r="R145" i="89" l="1"/>
  <c r="S154" i="89"/>
  <c r="R154" i="89" a="1"/>
  <c r="S55" i="89" a="1"/>
  <c r="R154" i="89" l="1"/>
  <c r="S55" i="89"/>
  <c r="R55" i="89" a="1"/>
  <c r="S160" i="89" a="1"/>
  <c r="R55" i="89" l="1"/>
  <c r="S160" i="89"/>
  <c r="R160" i="89" a="1"/>
  <c r="S90" i="89" a="1"/>
  <c r="R160" i="89" l="1"/>
  <c r="S90" i="89"/>
  <c r="R90" i="89" a="1"/>
  <c r="S49" i="89" a="1"/>
  <c r="R90" i="89" l="1"/>
  <c r="S49" i="89"/>
  <c r="R49" i="89" a="1"/>
  <c r="S213" i="89" a="1"/>
  <c r="R49" i="89" l="1"/>
  <c r="S213" i="89"/>
  <c r="R213" i="89" a="1"/>
  <c r="S108" i="89" a="1"/>
  <c r="R213" i="89" l="1"/>
  <c r="S108" i="89"/>
  <c r="R108" i="89" a="1"/>
  <c r="S123" i="89" a="1"/>
  <c r="R108" i="89" l="1"/>
  <c r="S123" i="89"/>
  <c r="R123" i="89" a="1"/>
  <c r="S138" i="89" a="1"/>
  <c r="R123" i="89" l="1"/>
  <c r="S138" i="89"/>
  <c r="R138" i="89" a="1"/>
  <c r="S109" i="89" a="1"/>
  <c r="R138" i="89" l="1"/>
  <c r="S109" i="89"/>
  <c r="R109" i="89" a="1"/>
  <c r="S225" i="89" a="1"/>
  <c r="R109" i="89" l="1"/>
  <c r="S225" i="89"/>
  <c r="R225" i="89" a="1"/>
  <c r="S186" i="89" a="1"/>
  <c r="R225" i="89" l="1"/>
  <c r="S186" i="89"/>
  <c r="R186" i="89" a="1"/>
  <c r="S129" i="89" a="1"/>
  <c r="R186" i="89" l="1"/>
  <c r="S129" i="89"/>
  <c r="R129" i="89" a="1"/>
  <c r="S19" i="89" a="1"/>
  <c r="R129" i="89" l="1"/>
  <c r="S19" i="89"/>
  <c r="R19" i="89" a="1"/>
  <c r="T44" i="338" a="1"/>
  <c r="R19" i="89" l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237" i="89" a="1"/>
  <c r="E237" i="89"/>
  <c r="E213" i="89" a="1"/>
  <c r="E213" i="89"/>
  <c r="E236" i="89" a="1"/>
  <c r="E236" i="89"/>
  <c r="E187" i="89" a="1"/>
  <c r="E187" i="89"/>
  <c r="E211" i="89" a="1"/>
  <c r="E211" i="89"/>
  <c r="E180" i="89" a="1"/>
  <c r="E180" i="89"/>
  <c r="E212" i="89" a="1"/>
  <c r="E212" i="89"/>
  <c r="E170" i="89" a="1"/>
  <c r="E170" i="89"/>
  <c r="E171" i="89" a="1"/>
  <c r="E171" i="89"/>
  <c r="E186" i="89" a="1"/>
  <c r="E186" i="89"/>
  <c r="E235" i="89" a="1"/>
  <c r="E235" i="89"/>
  <c r="E188" i="89" a="1"/>
  <c r="E188" i="89"/>
  <c r="E169" i="89" a="1"/>
  <c r="E169" i="89"/>
  <c r="E233" i="89" a="1"/>
  <c r="E233" i="89"/>
  <c r="E234" i="89" a="1"/>
  <c r="E234" i="89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18" i="446" a="1"/>
  <c r="F18" i="446"/>
  <c r="F23" i="446" a="1"/>
  <c r="F23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K3" i="1" a="1"/>
  <c r="K3" i="1"/>
  <c r="F22" i="446" a="1"/>
  <c r="F22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K6" i="1" a="1"/>
  <c r="K6" i="1"/>
  <c r="AK49" i="338" a="1"/>
  <c r="AK49" i="338"/>
  <c r="AK48" i="338" a="1"/>
  <c r="AK48" i="338"/>
  <c r="AF54" i="338"/>
  <c r="AF53" i="338"/>
  <c r="AF52" i="338"/>
  <c r="F15" i="446" a="1"/>
  <c r="F15" i="446"/>
  <c r="AI8" i="338" a="1"/>
  <c r="AI8" i="338"/>
  <c r="AI50" i="338" a="1"/>
  <c r="AI50" i="338"/>
  <c r="AI46" i="338" a="1"/>
  <c r="AI46" i="338"/>
  <c r="AI32" i="338" a="1"/>
  <c r="AI32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K8" i="338" a="1"/>
  <c r="AK8" i="338"/>
  <c r="AK50" i="338" a="1"/>
  <c r="AK50" i="338"/>
  <c r="AK46" i="338" a="1"/>
  <c r="AK46" i="338"/>
  <c r="AK32" i="338" a="1"/>
  <c r="AK3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K2" i="1"/>
  <c r="K1" i="1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AG8" i="338"/>
  <c r="AG50" i="338"/>
  <c r="AG46" i="338"/>
  <c r="AG32" i="338"/>
  <c r="K8" i="1" a="1"/>
  <c r="K8" i="1"/>
  <c r="AG49" i="338"/>
  <c r="AG48" i="338"/>
  <c r="G24" i="446" a="1"/>
  <c r="G24" i="446"/>
  <c r="G9" i="446" a="1"/>
  <c r="G9" i="446"/>
  <c r="K4" i="1" a="1"/>
  <c r="K4" i="1"/>
  <c r="X3" i="1"/>
  <c r="G18" i="446" a="1"/>
  <c r="G18" i="446"/>
  <c r="F9" i="446" a="1"/>
  <c r="F9" i="446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AI29" i="338" a="1"/>
  <c r="AI29" i="338"/>
  <c r="F40" i="446" a="1"/>
  <c r="F40" i="446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C50" i="89" a="1"/>
  <c r="C50" i="89"/>
  <c r="V204" i="89" a="1"/>
  <c r="V204" i="89"/>
  <c r="T233" i="89" a="1"/>
  <c r="T233" i="89"/>
  <c r="T204" i="89" a="1"/>
  <c r="T204" i="89"/>
  <c r="C40" i="89" a="1"/>
  <c r="C40" i="89"/>
  <c r="T20" i="89" a="1"/>
  <c r="T20" i="89"/>
  <c r="O171" i="89" a="1"/>
  <c r="O171" i="89"/>
  <c r="V203" i="89" a="1"/>
  <c r="V203" i="89"/>
  <c r="T222" i="89" a="1"/>
  <c r="T222" i="89"/>
  <c r="V171" i="89" a="1"/>
  <c r="V171" i="89"/>
  <c r="O26" i="89" a="1"/>
  <c r="O26" i="89"/>
  <c r="O222" i="89" a="1"/>
  <c r="O222" i="89"/>
  <c r="AA50" i="89" a="1"/>
  <c r="AA50" i="89"/>
  <c r="AA204" i="89" a="1"/>
  <c r="AA204" i="89"/>
  <c r="C203" i="89" a="1"/>
  <c r="C203" i="89"/>
  <c r="C187" i="89" a="1"/>
  <c r="C187" i="89"/>
  <c r="V26" i="89" a="1"/>
  <c r="V26" i="89"/>
  <c r="T40" i="89" a="1"/>
  <c r="T40" i="89"/>
  <c r="V40" i="89" a="1"/>
  <c r="V40" i="89"/>
  <c r="V222" i="89" a="1"/>
  <c r="V222" i="89"/>
  <c r="O203" i="89" a="1"/>
  <c r="O203" i="89"/>
  <c r="V20" i="89" a="1"/>
  <c r="V20" i="89"/>
  <c r="Z171" i="89" a="1"/>
  <c r="Z171" i="89"/>
  <c r="C20" i="89" a="1"/>
  <c r="C20" i="89"/>
  <c r="O20" i="89" a="1"/>
  <c r="O20" i="89"/>
  <c r="C233" i="89" a="1"/>
  <c r="C233" i="89"/>
  <c r="C204" i="89" a="1"/>
  <c r="C204" i="89"/>
  <c r="C26" i="89" a="1"/>
  <c r="C26" i="89"/>
  <c r="O50" i="89" a="1"/>
  <c r="O50" i="89"/>
  <c r="Z50" i="89" a="1"/>
  <c r="T203" i="89" a="1"/>
  <c r="Z50" i="89" l="1"/>
  <c r="T203" i="89"/>
  <c r="O233" i="89" a="1"/>
  <c r="O233" i="89"/>
  <c r="T26" i="89" a="1"/>
  <c r="T26" i="89"/>
  <c r="V233" i="89" a="1"/>
  <c r="V233" i="89"/>
  <c r="V50" i="89" a="1"/>
  <c r="V50" i="89"/>
  <c r="O40" i="89" a="1"/>
  <c r="O40" i="89"/>
  <c r="Z40" i="89" a="1"/>
  <c r="Z233" i="89" a="1"/>
  <c r="Z40" i="89" l="1"/>
  <c r="Z233" i="89"/>
  <c r="Z222" i="89" a="1"/>
  <c r="Z222" i="89"/>
  <c r="T187" i="89" a="1"/>
  <c r="T187" i="89"/>
  <c r="Z203" i="89" a="1"/>
  <c r="Z203" i="89"/>
  <c r="AA203" i="89" a="1"/>
  <c r="AA203" i="89"/>
  <c r="T50" i="89" a="1"/>
  <c r="T50" i="89"/>
  <c r="O187" i="89" a="1"/>
  <c r="O187" i="89"/>
  <c r="Z187" i="89" a="1"/>
  <c r="Z26" i="89" a="1"/>
  <c r="Z187" i="89" l="1"/>
  <c r="Z26" i="89"/>
  <c r="C171" i="89" a="1"/>
  <c r="C171" i="89"/>
  <c r="O204" i="89" a="1"/>
  <c r="O204" i="89"/>
  <c r="Z204" i="89" a="1"/>
  <c r="C222" i="89" a="1"/>
  <c r="Z204" i="89" l="1"/>
  <c r="C222" i="89"/>
  <c r="Z20" i="89" a="1"/>
  <c r="Z20" i="89"/>
  <c r="T171" i="89" a="1"/>
  <c r="T171" i="89"/>
  <c r="V187" i="89" a="1"/>
  <c r="V187" i="89"/>
  <c r="K33" i="1" a="1"/>
  <c r="K33" i="1"/>
  <c r="AC28" i="1" a="1"/>
  <c r="AC28" i="1"/>
  <c r="K23" i="1" a="1"/>
  <c r="K23" i="1"/>
  <c r="E5" i="1" a="1"/>
  <c r="E5" i="1"/>
  <c r="K28" i="1" a="1"/>
  <c r="K28" i="1"/>
  <c r="AC26" i="1" a="1"/>
  <c r="AC26" i="1"/>
  <c r="AI26" i="1"/>
  <c r="AF27" i="1"/>
  <c r="AB23" i="1"/>
  <c r="AB18" i="1"/>
  <c r="AF12" i="1"/>
  <c r="AI27" i="1"/>
  <c r="AC12" i="1"/>
  <c r="AB34" i="1"/>
  <c r="K26" i="1" a="1"/>
  <c r="K26" i="1"/>
  <c r="AB27" i="1"/>
  <c r="AB13" i="1"/>
  <c r="AC37" i="1" a="1"/>
  <c r="AC37" i="1"/>
  <c r="AF28" i="1"/>
  <c r="AC23" i="1" a="1"/>
  <c r="AC23" i="1"/>
  <c r="AI12" i="1"/>
  <c r="AC18" i="1" a="1"/>
  <c r="AC18" i="1"/>
  <c r="AF23" i="1"/>
  <c r="AI18" i="1"/>
  <c r="AC27" i="1" a="1"/>
  <c r="AC27" i="1"/>
  <c r="AF33" i="1"/>
  <c r="AI37" i="1"/>
  <c r="AF34" i="1"/>
  <c r="AC34" i="1" a="1"/>
  <c r="AC34" i="1"/>
  <c r="K12" i="1" a="1"/>
  <c r="K12" i="1"/>
  <c r="AI13" i="1"/>
  <c r="AB28" i="1"/>
  <c r="K37" i="1" a="1"/>
  <c r="K37" i="1"/>
  <c r="AI33" i="1"/>
  <c r="AF13" i="1"/>
  <c r="AB33" i="1"/>
  <c r="AC13" i="1"/>
  <c r="AI34" i="1"/>
  <c r="AF18" i="1"/>
  <c r="K18" i="1" a="1"/>
  <c r="K18" i="1"/>
  <c r="K34" i="1" a="1"/>
  <c r="K34" i="1"/>
  <c r="K13" i="1" a="1"/>
  <c r="K13" i="1"/>
  <c r="AB37" i="1"/>
  <c r="AI28" i="1"/>
  <c r="AF37" i="1"/>
  <c r="AC33" i="1" a="1"/>
  <c r="AC33" i="1"/>
  <c r="AB12" i="1"/>
  <c r="AI23" i="1"/>
  <c r="AB26" i="1"/>
  <c r="AF26" i="1"/>
  <c r="K27" i="1" a="1"/>
  <c r="K27" i="1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M11" i="252" a="1"/>
  <c r="M11" i="252"/>
  <c r="S19" i="252" a="1"/>
  <c r="S19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F10" i="252" a="1"/>
  <c r="F10" i="252"/>
  <c r="P20" i="252" a="1"/>
  <c r="P20" i="252"/>
  <c r="N17" i="252" a="1"/>
  <c r="N17" i="252"/>
  <c r="S14" i="252" a="1"/>
  <c r="S14" i="252"/>
  <c r="S18" i="252" a="1"/>
  <c r="S18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O14" i="252" a="1"/>
  <c r="O14" i="252"/>
  <c r="L11" i="252" a="1"/>
  <c r="L11" i="252"/>
  <c r="N14" i="252" a="1"/>
  <c r="N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D160" i="89" a="1"/>
  <c r="D160" i="89"/>
  <c r="V96" i="89" a="1"/>
  <c r="V96" i="89"/>
  <c r="E102" i="89" a="1"/>
  <c r="E102" i="89"/>
  <c r="T129" i="89" a="1"/>
  <c r="T129" i="89"/>
  <c r="T154" i="89" a="1"/>
  <c r="T154" i="89"/>
  <c r="T153" i="89" a="1"/>
  <c r="T153" i="89"/>
  <c r="C129" i="89" a="1"/>
  <c r="C129" i="89"/>
  <c r="V115" i="89" a="1"/>
  <c r="V115" i="89"/>
  <c r="E108" i="89" a="1"/>
  <c r="E108" i="89"/>
  <c r="C115" i="89" a="1"/>
  <c r="C115" i="89"/>
  <c r="V154" i="89" a="1"/>
  <c r="V154" i="89"/>
  <c r="V153" i="89" a="1"/>
  <c r="V153" i="89"/>
  <c r="Z116" i="89" a="1"/>
  <c r="Z116" i="89"/>
  <c r="AA116" i="89" a="1"/>
  <c r="AA116" i="89"/>
  <c r="E137" i="89" a="1"/>
  <c r="E137" i="89"/>
  <c r="C154" i="89" a="1"/>
  <c r="C154" i="89"/>
  <c r="C153" i="89" a="1"/>
  <c r="C153" i="89"/>
  <c r="V102" i="89" a="1"/>
  <c r="V102" i="89"/>
  <c r="Z96" i="89" a="1"/>
  <c r="Z96" i="89"/>
  <c r="AA96" i="89" a="1"/>
  <c r="AA96" i="89"/>
  <c r="C137" i="89" a="1"/>
  <c r="C137" i="89"/>
  <c r="E160" i="89" a="1"/>
  <c r="E160" i="89"/>
  <c r="T160" i="89" a="1"/>
  <c r="T160" i="89"/>
  <c r="D102" i="89" a="1"/>
  <c r="D102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T102" i="89" a="1"/>
  <c r="T102" i="89"/>
  <c r="E129" i="89" a="1"/>
  <c r="E129" i="89"/>
  <c r="C116" i="89" a="1"/>
  <c r="C116" i="89"/>
  <c r="Z154" i="89" a="1"/>
  <c r="Z154" i="89"/>
  <c r="Z153" i="89" a="1"/>
  <c r="Z153" i="89"/>
  <c r="AA153" i="89" a="1"/>
  <c r="AA153" i="89"/>
  <c r="T108" i="89" a="1"/>
  <c r="T108" i="89"/>
  <c r="T96" i="89" a="1"/>
  <c r="T96" i="89"/>
  <c r="D108" i="89" a="1"/>
  <c r="D108" i="89"/>
  <c r="T122" i="89" a="1"/>
  <c r="T122" i="89"/>
  <c r="Z129" i="89" a="1"/>
  <c r="Z129" i="89"/>
  <c r="AA129" i="89" a="1"/>
  <c r="AA129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Z122" i="89" a="1"/>
  <c r="Z122" i="89"/>
  <c r="AA122" i="89" a="1"/>
  <c r="AA122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D154" i="89" a="1"/>
  <c r="D154" i="89"/>
  <c r="D153" i="89" a="1"/>
  <c r="D153" i="89"/>
  <c r="AA102" i="89" a="1"/>
  <c r="AA102" i="89"/>
  <c r="D129" i="89" a="1"/>
  <c r="D129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D31" i="446" a="1"/>
  <c r="D31" i="446"/>
  <c r="F44" i="446" a="1"/>
  <c r="F44" i="446"/>
  <c r="D44" i="446" a="1"/>
  <c r="D44" i="446"/>
  <c r="G45" i="446" a="1"/>
  <c r="G45" i="446"/>
  <c r="F43" i="446" a="1"/>
  <c r="F43" i="446"/>
  <c r="V136" i="89" a="1"/>
  <c r="V136" i="89"/>
  <c r="AJ9" i="338" a="1"/>
  <c r="AJ9" i="338"/>
  <c r="AJ8" i="338" a="1"/>
  <c r="AJ8" i="338"/>
  <c r="K24" i="1" a="1"/>
  <c r="K24" i="1"/>
  <c r="E9" i="1"/>
  <c r="AH9" i="338" a="1"/>
  <c r="AH9" i="338"/>
  <c r="AH8" i="338" a="1"/>
  <c r="AH8" i="338"/>
  <c r="AG9" i="338"/>
  <c r="AF41" i="1"/>
  <c r="K35" i="1" a="1"/>
  <c r="K35" i="1"/>
  <c r="E2" i="1" a="1"/>
  <c r="E2" i="1"/>
  <c r="G19" i="446" a="1"/>
  <c r="G19" i="446"/>
  <c r="AF33" i="338"/>
  <c r="AF11" i="338"/>
  <c r="AF10" i="338"/>
  <c r="AF24" i="1"/>
  <c r="AK9" i="338" a="1"/>
  <c r="AK9" i="338"/>
  <c r="AH18" i="338" a="1"/>
  <c r="AH18" i="338"/>
  <c r="AH17" i="338" a="1"/>
  <c r="AH17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J35" i="338" a="1"/>
  <c r="AJ35" i="338"/>
  <c r="AJ14" i="338" a="1"/>
  <c r="AJ14" i="338"/>
  <c r="AH35" i="338" a="1"/>
  <c r="AH35" i="338"/>
  <c r="AH14" i="338" a="1"/>
  <c r="AH14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T90" i="89" a="1"/>
  <c r="T90" i="89"/>
  <c r="AH33" i="338" a="1"/>
  <c r="AH33" i="338"/>
  <c r="AH11" i="338" a="1"/>
  <c r="AH11" i="338"/>
  <c r="AH10" i="338" a="1"/>
  <c r="AH10" i="338"/>
  <c r="E145" i="89" a="1"/>
  <c r="E145" i="89"/>
  <c r="V89" i="89" a="1"/>
  <c r="V89" i="89"/>
  <c r="V109" i="89" a="1"/>
  <c r="V109" i="89"/>
  <c r="G36" i="446" a="1"/>
  <c r="G36" i="446"/>
  <c r="V90" i="89" a="1"/>
  <c r="V90" i="89"/>
  <c r="V144" i="89" a="1"/>
  <c r="V144" i="89"/>
  <c r="D145" i="89" a="1"/>
  <c r="D145" i="89"/>
  <c r="AF18" i="338"/>
  <c r="AF17" i="338"/>
  <c r="AF39" i="1"/>
  <c r="AI25" i="1"/>
  <c r="D109" i="89" a="1"/>
  <c r="D109" i="89"/>
  <c r="Z89" i="89" a="1"/>
  <c r="Z89" i="89"/>
  <c r="AA89" i="89" a="1"/>
  <c r="AA89" i="89"/>
  <c r="C90" i="89" a="1"/>
  <c r="C90" i="89"/>
  <c r="T136" i="89" a="1"/>
  <c r="T136" i="89"/>
  <c r="AF35" i="338"/>
  <c r="AF14" i="338"/>
  <c r="AF35" i="1"/>
  <c r="C123" i="89" a="1"/>
  <c r="C123" i="89"/>
  <c r="AI41" i="1"/>
  <c r="K25" i="1" a="1"/>
  <c r="K25" i="1"/>
  <c r="E7" i="1" a="1"/>
  <c r="E7" i="1"/>
  <c r="D101" i="89" a="1"/>
  <c r="D101" i="89"/>
  <c r="AC39" i="1"/>
  <c r="D123" i="89" a="1"/>
  <c r="D123" i="89"/>
  <c r="C136" i="89" a="1"/>
  <c r="C136" i="89"/>
  <c r="AC32" i="1" a="1"/>
  <c r="AC32" i="1"/>
  <c r="D35" i="446" a="1"/>
  <c r="D35" i="446"/>
  <c r="T138" i="89" a="1"/>
  <c r="T138" i="89"/>
  <c r="C89" i="89" a="1"/>
  <c r="C89" i="89"/>
  <c r="AB15" i="1"/>
  <c r="F21" i="446" a="1"/>
  <c r="F21" i="446"/>
  <c r="E89" i="89" a="1"/>
  <c r="E89" i="89"/>
  <c r="G26" i="446" a="1"/>
  <c r="G26" i="446"/>
  <c r="C95" i="89" a="1"/>
  <c r="C95" i="89"/>
  <c r="V101" i="89" a="1"/>
  <c r="V101" i="89"/>
  <c r="AJ18" i="338" a="1"/>
  <c r="AJ18" i="338"/>
  <c r="AJ17" i="338" a="1"/>
  <c r="AJ17" i="338"/>
  <c r="AI9" i="338" a="1"/>
  <c r="AI9" i="338"/>
  <c r="Z145" i="89" a="1"/>
  <c r="Z145" i="89"/>
  <c r="AA145" i="89" a="1"/>
  <c r="AA145" i="89"/>
  <c r="AB39" i="1"/>
  <c r="F14" i="446" a="1"/>
  <c r="F14" i="446"/>
  <c r="D90" i="89" a="1"/>
  <c r="D90" i="89"/>
  <c r="AB41" i="1"/>
  <c r="F19" i="446" a="1"/>
  <c r="F19" i="446"/>
  <c r="AC24" i="1" a="1"/>
  <c r="AC24" i="1"/>
  <c r="D26" i="446" a="1"/>
  <c r="D26" i="446"/>
  <c r="AB24" i="1"/>
  <c r="F26" i="446" a="1"/>
  <c r="F26" i="446"/>
  <c r="K39" i="1" a="1"/>
  <c r="K39" i="1"/>
  <c r="AC41" i="1"/>
  <c r="V138" i="89" a="1"/>
  <c r="V138" i="89"/>
  <c r="AC25" i="1" a="1"/>
  <c r="AC25" i="1"/>
  <c r="D30" i="446" a="1"/>
  <c r="D30" i="446"/>
  <c r="AF34" i="338"/>
  <c r="AF13" i="338"/>
  <c r="AF32" i="1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G30" i="446" a="1"/>
  <c r="G30" i="446"/>
  <c r="C138" i="89" a="1"/>
  <c r="C138" i="89"/>
  <c r="AC15" i="1"/>
  <c r="AJ34" i="338" a="1"/>
  <c r="AJ34" i="338"/>
  <c r="AJ13" i="338" a="1"/>
  <c r="AJ13" i="338"/>
  <c r="E101" i="89" a="1"/>
  <c r="E101" i="89"/>
  <c r="T123" i="89" a="1"/>
  <c r="T123" i="89"/>
  <c r="V145" i="89" a="1"/>
  <c r="V145" i="89"/>
  <c r="K41" i="1" a="1"/>
  <c r="K41" i="1"/>
  <c r="AC35" i="1" a="1"/>
  <c r="AC35" i="1"/>
  <c r="D36" i="446" a="1"/>
  <c r="D36" i="446"/>
  <c r="AF9" i="338"/>
  <c r="AF8" i="338"/>
  <c r="AF25" i="1"/>
  <c r="D95" i="89" a="1"/>
  <c r="D95" i="89"/>
  <c r="E123" i="89" a="1"/>
  <c r="E123" i="89"/>
  <c r="AA101" i="89" a="1"/>
  <c r="AA101" i="89"/>
  <c r="AI32" i="1"/>
  <c r="D89" i="89" a="1"/>
  <c r="D89" i="89"/>
  <c r="AI39" i="1"/>
  <c r="AJ33" i="338" a="1"/>
  <c r="AJ33" i="338"/>
  <c r="AJ11" i="338" a="1"/>
  <c r="AJ11" i="338"/>
  <c r="AJ10" i="338" a="1"/>
  <c r="AJ10" i="338"/>
  <c r="C109" i="89" a="1"/>
  <c r="C109" i="89"/>
  <c r="D138" i="89" a="1"/>
  <c r="D138" i="89"/>
  <c r="AI15" i="1"/>
  <c r="D144" i="89" a="1"/>
  <c r="D144" i="89"/>
  <c r="Z109" i="89" a="1"/>
  <c r="Z109" i="89"/>
  <c r="AA109" i="89" a="1"/>
  <c r="AA109" i="89"/>
  <c r="K5" i="1" a="1"/>
  <c r="K5" i="1"/>
  <c r="K15" i="1" a="1"/>
  <c r="K15" i="1"/>
  <c r="E109" i="89" a="1"/>
  <c r="E109" i="89"/>
  <c r="E95" i="89" a="1"/>
  <c r="E95" i="89"/>
  <c r="AB25" i="1"/>
  <c r="F30" i="446" a="1"/>
  <c r="F30" i="446"/>
  <c r="E90" i="89" a="1"/>
  <c r="E90" i="89"/>
  <c r="AI35" i="1"/>
  <c r="T145" i="89" a="1"/>
  <c r="T145" i="89"/>
  <c r="G35" i="446" a="1"/>
  <c r="G35" i="446"/>
  <c r="AA95" i="89" a="1"/>
  <c r="AA95" i="89"/>
  <c r="AB35" i="1"/>
  <c r="F36" i="446" a="1"/>
  <c r="F36" i="446"/>
  <c r="C101" i="89" a="1"/>
  <c r="C101" i="89"/>
  <c r="G21" i="446" a="1"/>
  <c r="G21" i="446"/>
  <c r="T101" i="89" a="1"/>
  <c r="T101" i="89"/>
  <c r="K32" i="1" a="1"/>
  <c r="K32" i="1"/>
  <c r="E3" i="1"/>
  <c r="Z144" i="89" a="1"/>
  <c r="Z144" i="89"/>
  <c r="AA144" i="89" a="1"/>
  <c r="AA144" i="89"/>
  <c r="T144" i="89" a="1"/>
  <c r="T144" i="89"/>
  <c r="AH34" i="338" a="1"/>
  <c r="AH34" i="338"/>
  <c r="AH13" i="338" a="1"/>
  <c r="AH13" i="338"/>
  <c r="AB32" i="1"/>
  <c r="F35" i="446" a="1"/>
  <c r="F35" i="446"/>
  <c r="E144" i="89" a="1"/>
  <c r="E144" i="89"/>
  <c r="T95" i="89" a="1"/>
  <c r="T95" i="89"/>
  <c r="T89" i="89" a="1"/>
  <c r="T89" i="89"/>
  <c r="AG52" i="338"/>
  <c r="AG44" i="338"/>
  <c r="AG39" i="338"/>
  <c r="AG38" i="338"/>
  <c r="AG17" i="338"/>
  <c r="AG16" i="338"/>
  <c r="AG15" i="338"/>
  <c r="AF15" i="1"/>
  <c r="Z136" i="89" a="1"/>
  <c r="Z136" i="89"/>
  <c r="AA136" i="89" a="1"/>
  <c r="AA136" i="89"/>
  <c r="E136" i="89" a="1"/>
  <c r="E136" i="89"/>
  <c r="V123" i="89" a="1"/>
  <c r="V123" i="89"/>
  <c r="G14" i="446" a="1"/>
  <c r="G14" i="446"/>
  <c r="T109" i="89" a="1"/>
  <c r="T109" i="89"/>
  <c r="D136" i="89" a="1"/>
  <c r="D136" i="89"/>
  <c r="E138" i="89" a="1"/>
  <c r="E138" i="89"/>
  <c r="C144" i="89" a="1"/>
  <c r="C144" i="89"/>
  <c r="AI24" i="1"/>
  <c r="Z123" i="89" a="1"/>
  <c r="Z123" i="89"/>
  <c r="AA123" i="89" a="1"/>
  <c r="AA123" i="89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P54" i="338" a="1"/>
  <c r="P54" i="338"/>
  <c r="S53" i="338" a="1"/>
  <c r="S53" i="338"/>
  <c r="S54" i="338" a="1"/>
  <c r="S54" i="338"/>
  <c r="P51" i="338" a="1"/>
  <c r="P51" i="338"/>
  <c r="T35" i="338" a="1"/>
  <c r="T35" i="338"/>
  <c r="T40" i="338" a="1"/>
  <c r="T40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17" i="338" a="1"/>
  <c r="T17" i="338"/>
  <c r="T51" i="338" a="1"/>
  <c r="T51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T10" i="338" a="1"/>
  <c r="T10" i="338"/>
  <c r="S13" i="338" a="1"/>
  <c r="S13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AA205" i="89" a="1"/>
  <c r="AA205" i="89"/>
  <c r="V205" i="89" a="1"/>
  <c r="V205" i="89"/>
  <c r="O55" i="89" a="1"/>
  <c r="O55" i="89"/>
  <c r="T205" i="89" a="1"/>
  <c r="T205" i="89"/>
  <c r="C180" i="89" a="1"/>
  <c r="C180" i="89"/>
  <c r="O235" i="89" a="1"/>
  <c r="O235" i="89"/>
  <c r="V180" i="89" a="1"/>
  <c r="V180" i="89"/>
  <c r="C27" i="89" a="1"/>
  <c r="C27" i="89"/>
  <c r="C55" i="89" a="1"/>
  <c r="C55" i="89"/>
  <c r="T27" i="89" a="1"/>
  <c r="T27" i="89"/>
  <c r="T180" i="89" a="1"/>
  <c r="T180" i="89"/>
  <c r="Z235" i="89" a="1"/>
  <c r="Z235" i="89"/>
  <c r="O225" i="89" a="1"/>
  <c r="O225" i="89"/>
  <c r="T55" i="89" a="1"/>
  <c r="T55" i="89"/>
  <c r="O205" i="89" a="1"/>
  <c r="O205" i="89"/>
  <c r="Z205" i="89" a="1"/>
  <c r="V235" i="89" a="1"/>
  <c r="Z205" i="89" l="1"/>
  <c r="V235" i="89"/>
  <c r="O180" i="89" a="1"/>
  <c r="O180" i="89"/>
  <c r="C225" i="89" a="1"/>
  <c r="C225" i="89"/>
  <c r="V225" i="89" a="1"/>
  <c r="V225" i="89"/>
  <c r="Z225" i="89" a="1"/>
  <c r="Z225" i="89"/>
  <c r="T225" i="89" a="1"/>
  <c r="T225" i="89"/>
  <c r="C205" i="89" a="1"/>
  <c r="C205" i="89"/>
  <c r="V55" i="89" a="1"/>
  <c r="V55" i="89"/>
  <c r="V27" i="89" a="1"/>
  <c r="V27" i="89"/>
  <c r="Z180" i="89" a="1"/>
  <c r="Z180" i="89"/>
  <c r="O27" i="89" a="1"/>
  <c r="O27" i="89"/>
  <c r="Z27" i="89" a="1"/>
  <c r="T235" i="89" a="1"/>
  <c r="Z27" i="89" l="1"/>
  <c r="T235" i="89"/>
  <c r="Z55" i="89" a="1"/>
  <c r="Z55" i="89"/>
  <c r="AA55" i="89" a="1"/>
  <c r="AA55" i="89"/>
  <c r="C235" i="89" a="1"/>
  <c r="C235" i="89"/>
  <c r="T224" i="89" a="1"/>
  <c r="T224" i="89"/>
  <c r="C33" i="89" a="1"/>
  <c r="C33" i="89"/>
  <c r="O81" i="89" a="1"/>
  <c r="O81" i="89"/>
  <c r="AA56" i="89" a="1"/>
  <c r="AA56" i="89"/>
  <c r="O56" i="89" a="1"/>
  <c r="O56" i="89"/>
  <c r="Z56" i="89" a="1"/>
  <c r="V224" i="89" a="1"/>
  <c r="Z56" i="89" l="1"/>
  <c r="V224" i="89"/>
  <c r="V237" i="89" a="1"/>
  <c r="V237" i="89"/>
  <c r="V68" i="89" a="1"/>
  <c r="V68" i="89"/>
  <c r="Z81" i="89" a="1"/>
  <c r="Z81" i="89"/>
  <c r="O212" i="89" a="1"/>
  <c r="O212" i="89"/>
  <c r="Z212" i="89" a="1"/>
  <c r="C34" i="89" a="1"/>
  <c r="Z212" i="89" l="1"/>
  <c r="C34" i="89"/>
  <c r="O34" i="89" a="1"/>
  <c r="O34" i="89"/>
  <c r="T81" i="89" a="1"/>
  <c r="T81" i="89"/>
  <c r="C81" i="89" a="1"/>
  <c r="C81" i="89"/>
  <c r="T234" i="89" a="1"/>
  <c r="T234" i="89"/>
  <c r="O33" i="89" a="1"/>
  <c r="O33" i="89"/>
  <c r="C68" i="89" a="1"/>
  <c r="C68" i="89"/>
  <c r="C212" i="89" a="1"/>
  <c r="C212" i="89"/>
  <c r="C56" i="89" a="1"/>
  <c r="C56" i="89"/>
  <c r="V34" i="89" a="1"/>
  <c r="V34" i="89"/>
  <c r="T33" i="89" a="1"/>
  <c r="T33" i="89"/>
  <c r="C188" i="89" a="1"/>
  <c r="C188" i="89"/>
  <c r="O234" i="89" a="1"/>
  <c r="O234" i="89"/>
  <c r="Z234" i="89" a="1"/>
  <c r="V33" i="89" a="1"/>
  <c r="Z234" i="89" l="1"/>
  <c r="V33" i="89"/>
  <c r="T68" i="89" a="1"/>
  <c r="T68" i="89"/>
  <c r="T237" i="89" a="1"/>
  <c r="T237" i="89"/>
  <c r="C224" i="89" a="1"/>
  <c r="C224" i="89"/>
  <c r="V234" i="89" a="1"/>
  <c r="V234" i="89"/>
  <c r="T188" i="89" a="1"/>
  <c r="T188" i="89"/>
  <c r="O68" i="89" a="1"/>
  <c r="O68" i="89"/>
  <c r="T56" i="89" a="1"/>
  <c r="T56" i="89"/>
  <c r="C237" i="89" a="1"/>
  <c r="C237" i="89"/>
  <c r="T34" i="89" a="1"/>
  <c r="T34" i="89"/>
  <c r="V212" i="89" a="1"/>
  <c r="V212" i="89"/>
  <c r="O188" i="89" a="1"/>
  <c r="O188" i="89"/>
  <c r="Z188" i="89" a="1"/>
  <c r="O237" i="89" a="1"/>
  <c r="Z188" i="89" l="1"/>
  <c r="O237" i="89"/>
  <c r="V188" i="89" a="1"/>
  <c r="V188" i="89"/>
  <c r="Z237" i="89" a="1"/>
  <c r="Z237" i="89"/>
  <c r="Z34" i="89" a="1"/>
  <c r="Z34" i="89"/>
  <c r="T212" i="89" a="1"/>
  <c r="T212" i="89"/>
  <c r="O224" i="89" a="1"/>
  <c r="O224" i="89"/>
  <c r="Z224" i="89" a="1"/>
  <c r="Z68" i="89" a="1"/>
  <c r="Z224" i="89" l="1"/>
  <c r="Z68" i="89"/>
  <c r="AA68" i="89" a="1"/>
  <c r="AA68" i="89"/>
  <c r="V81" i="89" a="1"/>
  <c r="V81" i="89"/>
  <c r="C234" i="89" a="1"/>
  <c r="C234" i="89"/>
  <c r="Z33" i="89" a="1"/>
  <c r="Z33" i="89"/>
  <c r="V56" i="89" a="1"/>
  <c r="V56" i="89"/>
  <c r="K9" i="1" a="1"/>
  <c r="K9" i="1"/>
  <c r="E8" i="1" a="1"/>
  <c r="E8" i="1"/>
  <c r="E4" i="1" a="1"/>
  <c r="E4" i="1"/>
  <c r="AJ37" i="338" a="1"/>
  <c r="AJ37" i="338"/>
  <c r="AH37" i="338" a="1"/>
  <c r="AH37" i="338"/>
  <c r="K30" i="1" a="1"/>
  <c r="K30" i="1"/>
  <c r="E1" i="1"/>
  <c r="AJ36" i="338" a="1"/>
  <c r="AJ36" i="338"/>
  <c r="AC30" i="1" a="1"/>
  <c r="AC30" i="1"/>
  <c r="AF37" i="338"/>
  <c r="AF36" i="1"/>
  <c r="AI30" i="1"/>
  <c r="AC36" i="1" a="1"/>
  <c r="AC36" i="1"/>
  <c r="AH36" i="338" a="1"/>
  <c r="AH36" i="338"/>
  <c r="AI36" i="1"/>
  <c r="AB30" i="1"/>
  <c r="AB36" i="1"/>
  <c r="K36" i="1" a="1"/>
  <c r="K36" i="1"/>
  <c r="AF36" i="338"/>
  <c r="AF30" i="1"/>
  <c r="AG16" i="1"/>
  <c r="AG23" i="1"/>
  <c r="AG39" i="1"/>
  <c r="AG26" i="1"/>
  <c r="AG13" i="1"/>
  <c r="AG33" i="1"/>
  <c r="AG35" i="1"/>
  <c r="AG37" i="1"/>
  <c r="AG28" i="1"/>
  <c r="AG18" i="1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X39" i="338" a="1"/>
  <c r="X39" i="338"/>
  <c r="X15" i="338" a="1"/>
  <c r="X15" i="338"/>
  <c r="T50" i="338" a="1"/>
  <c r="T50" i="338"/>
  <c r="T18" i="338" a="1"/>
  <c r="T18" i="338"/>
  <c r="X50" i="338" a="1"/>
  <c r="X50" i="338"/>
  <c r="T8" i="338" a="1"/>
  <c r="T8" i="338"/>
  <c r="T46" i="338" a="1"/>
  <c r="T46" i="338"/>
  <c r="S39" i="338" a="1"/>
  <c r="S39" i="338"/>
  <c r="S15" i="338" a="1"/>
  <c r="S15" i="338"/>
  <c r="X52" i="338" a="1"/>
  <c r="X52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11" i="338" a="1"/>
  <c r="T11" i="338"/>
  <c r="T49" i="338" a="1"/>
  <c r="T49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AK45" i="338" a="1"/>
  <c r="AK45" i="338"/>
  <c r="AC16" i="1"/>
  <c r="G6" i="446" a="1"/>
  <c r="G6" i="446"/>
  <c r="G5" i="446" a="1"/>
  <c r="G5" i="446"/>
  <c r="AG45" i="338"/>
  <c r="AI16" i="1"/>
  <c r="AF16" i="1"/>
  <c r="AD12" i="2" a="1"/>
  <c r="AD12" i="2"/>
  <c r="AI45" i="338" a="1"/>
  <c r="AI45" i="338"/>
  <c r="AB16" i="1"/>
  <c r="F6" i="446" a="1"/>
  <c r="F6" i="446"/>
  <c r="F5" i="446" a="1"/>
  <c r="F5" i="446"/>
  <c r="K7" i="1"/>
  <c r="C5" i="2" a="1"/>
  <c r="C5" i="2"/>
  <c r="C20" i="2" a="1"/>
  <c r="C20" i="2"/>
  <c r="K16" i="1" a="1"/>
  <c r="K16" i="1"/>
  <c r="K10" i="1"/>
  <c r="AR4" i="2" a="1"/>
  <c r="AR4" i="2"/>
  <c r="C13" i="2" a="1"/>
  <c r="C13" i="2"/>
  <c r="D12" i="2" a="1"/>
  <c r="D12" i="2"/>
  <c r="AQ12" i="2" a="1"/>
  <c r="AC12" i="2" a="1"/>
  <c r="AD16" i="2" a="1"/>
  <c r="AC12" i="2" l="1"/>
  <c r="AQ12" i="2"/>
  <c r="AD16" i="2"/>
  <c r="T23" i="2" a="1"/>
  <c r="T23" i="2"/>
  <c r="O13" i="89" a="1"/>
  <c r="O13" i="89"/>
  <c r="AA18" i="2" a="1"/>
  <c r="AA18" i="2"/>
  <c r="AA22" i="2" a="1"/>
  <c r="AA22" i="2"/>
  <c r="T197" i="89" a="1"/>
  <c r="T197" i="89"/>
  <c r="D18" i="2" a="1"/>
  <c r="D18" i="2"/>
  <c r="AC18" i="2" a="1"/>
  <c r="AQ18" i="2" a="1"/>
  <c r="F12" i="2" a="1"/>
  <c r="AQ18" i="2" l="1"/>
  <c r="AC18" i="2"/>
  <c r="F12" i="2"/>
  <c r="AA14" i="2" a="1"/>
  <c r="AA14" i="2"/>
  <c r="T62" i="89" a="1"/>
  <c r="T62" i="89"/>
  <c r="E11" i="2" a="1"/>
  <c r="E11" i="2"/>
  <c r="C21" i="2" a="1"/>
  <c r="C21" i="2"/>
  <c r="AR21" i="2" a="1"/>
  <c r="AR21" i="2"/>
  <c r="E9" i="2" a="1"/>
  <c r="E9" i="2"/>
  <c r="F7" i="2" a="1"/>
  <c r="F7" i="2"/>
  <c r="AD19" i="2" a="1"/>
  <c r="AD19" i="2"/>
  <c r="F19" i="2" a="1"/>
  <c r="F19" i="2"/>
  <c r="T14" i="2" a="1"/>
  <c r="T14" i="2"/>
  <c r="O62" i="89" a="1"/>
  <c r="O62" i="89"/>
  <c r="AD13" i="2" a="1"/>
  <c r="AD13" i="2"/>
  <c r="D4" i="2" a="1"/>
  <c r="D4" i="2"/>
  <c r="Z4" i="2"/>
  <c r="AC4" i="2" a="1"/>
  <c r="AQ4" i="2" a="1"/>
  <c r="D21" i="2" a="1"/>
  <c r="AQ4" i="2" l="1"/>
  <c r="AC4" i="2"/>
  <c r="D21" i="2"/>
  <c r="AQ21" i="2" a="1"/>
  <c r="AC21" i="2" a="1"/>
  <c r="C196" i="89" a="1"/>
  <c r="AC21" i="2" l="1"/>
  <c r="AQ21" i="2"/>
  <c r="C196" i="89"/>
  <c r="S9" i="338" a="1"/>
  <c r="S9" i="338"/>
  <c r="AD18" i="2" a="1"/>
  <c r="AD18" i="2"/>
  <c r="F22" i="2" a="1"/>
  <c r="F22" i="2"/>
  <c r="S45" i="338" a="1"/>
  <c r="S45" i="338"/>
  <c r="AA20" i="2" a="1"/>
  <c r="AA20" i="2"/>
  <c r="T195" i="89" a="1"/>
  <c r="T195" i="89"/>
  <c r="AD7" i="2" a="1"/>
  <c r="AD7" i="2"/>
  <c r="AA15" i="2" a="1"/>
  <c r="AA15" i="2"/>
  <c r="T63" i="89" a="1"/>
  <c r="T63" i="89"/>
  <c r="AA11" i="2" a="1"/>
  <c r="AA11" i="2"/>
  <c r="S29" i="338" a="1"/>
  <c r="S29" i="338"/>
  <c r="AD14" i="2" a="1"/>
  <c r="AD14" i="2"/>
  <c r="V62" i="89" a="1"/>
  <c r="V62" i="89"/>
  <c r="X42" i="338" a="1"/>
  <c r="X42" i="338"/>
  <c r="C12" i="2" a="1"/>
  <c r="C12" i="2"/>
  <c r="X34" i="338" a="1"/>
  <c r="X34" i="338"/>
  <c r="X31" i="338" a="1"/>
  <c r="X31" i="338"/>
  <c r="AR23" i="2" a="1"/>
  <c r="AR23" i="2"/>
  <c r="C14" i="2" a="1"/>
  <c r="C14" i="2"/>
  <c r="F13" i="2" a="1"/>
  <c r="F13" i="2"/>
  <c r="AR10" i="2" a="1"/>
  <c r="AR10" i="2"/>
  <c r="F8" i="2" a="1"/>
  <c r="F8" i="2"/>
  <c r="AR14" i="2" a="1"/>
  <c r="AR14" i="2"/>
  <c r="D10" i="2" a="1"/>
  <c r="D10" i="2"/>
  <c r="AC10" i="2" a="1"/>
  <c r="AQ10" i="2" a="1"/>
  <c r="C170" i="89" a="1"/>
  <c r="AQ10" i="2" l="1"/>
  <c r="AC10" i="2"/>
  <c r="C170" i="89"/>
  <c r="X14" i="338" a="1"/>
  <c r="X14" i="338"/>
  <c r="T4" i="2" a="1"/>
  <c r="T4" i="2"/>
  <c r="T42" i="338" a="1"/>
  <c r="T42" i="338"/>
  <c r="F6" i="2" a="1"/>
  <c r="F6" i="2"/>
  <c r="AD24" i="2" a="1"/>
  <c r="AD24" i="2"/>
  <c r="V14" i="89" a="1"/>
  <c r="V14" i="89"/>
  <c r="AA10" i="2" a="1"/>
  <c r="AA10" i="2"/>
  <c r="T170" i="89" a="1"/>
  <c r="T170" i="89"/>
  <c r="D15" i="2" a="1"/>
  <c r="D15" i="2"/>
  <c r="AQ15" i="2" a="1"/>
  <c r="AC15" i="2" a="1"/>
  <c r="C63" i="89" a="1"/>
  <c r="AC15" i="2" l="1"/>
  <c r="AQ15" i="2"/>
  <c r="C63" i="89"/>
  <c r="AA5" i="2" a="1"/>
  <c r="AA5" i="2"/>
  <c r="AA4" i="2" a="1"/>
  <c r="AA4" i="2"/>
  <c r="AV4" i="2" a="1"/>
  <c r="E12" i="2" a="1"/>
  <c r="AV4" i="2" l="1"/>
  <c r="E12" i="2"/>
  <c r="C22" i="2" a="1"/>
  <c r="C22" i="2"/>
  <c r="S34" i="338" a="1"/>
  <c r="S34" i="338"/>
  <c r="AR24" i="2" a="1"/>
  <c r="AR24" i="2"/>
  <c r="C11" i="2" a="1"/>
  <c r="C11" i="2"/>
  <c r="P12" i="338" a="1"/>
  <c r="P12" i="338"/>
  <c r="D11" i="2" a="1"/>
  <c r="D11" i="2"/>
  <c r="Z11" i="2"/>
  <c r="AV11" i="2" s="1" a="1"/>
  <c r="AC11" i="2" a="1"/>
  <c r="AQ11" i="2" a="1"/>
  <c r="T19" i="2" a="1"/>
  <c r="AQ11" i="2" l="1"/>
  <c r="AC11" i="2"/>
  <c r="AV11" i="2"/>
  <c r="T19" i="2"/>
  <c r="F9" i="2" a="1"/>
  <c r="F9" i="2"/>
  <c r="AA9" i="2" a="1"/>
  <c r="AA9" i="2"/>
  <c r="T8" i="89" a="1"/>
  <c r="T8" i="89"/>
  <c r="T10" i="2" a="1"/>
  <c r="T10" i="2"/>
  <c r="O170" i="89" a="1"/>
  <c r="O170" i="89"/>
  <c r="E5" i="2" a="1"/>
  <c r="E5" i="2"/>
  <c r="E20" i="2" a="1"/>
  <c r="E20" i="2"/>
  <c r="C4" i="2" a="1"/>
  <c r="C4" i="2"/>
  <c r="Z13" i="89" a="1"/>
  <c r="Z13" i="89"/>
  <c r="P29" i="338" a="1"/>
  <c r="P29" i="338"/>
  <c r="AR9" i="2" a="1"/>
  <c r="AR9" i="2"/>
  <c r="F5" i="2" a="1"/>
  <c r="F5" i="2"/>
  <c r="X45" i="338" a="1"/>
  <c r="X45" i="338"/>
  <c r="S31" i="338" a="1"/>
  <c r="S31" i="338"/>
  <c r="AD20" i="2" a="1"/>
  <c r="AD20" i="2"/>
  <c r="V195" i="89" a="1"/>
  <c r="V195" i="89"/>
  <c r="E13" i="2" a="1"/>
  <c r="E13" i="2"/>
  <c r="F11" i="2" a="1"/>
  <c r="F11" i="2"/>
  <c r="AR22" i="2" a="1"/>
  <c r="AR22" i="2"/>
  <c r="T9" i="338" a="1"/>
  <c r="T9" i="338"/>
  <c r="AA16" i="2" a="1"/>
  <c r="AA16" i="2"/>
  <c r="C16" i="2" a="1"/>
  <c r="C16" i="2"/>
  <c r="P14" i="338" a="1"/>
  <c r="P14" i="338"/>
  <c r="C24" i="2" a="1"/>
  <c r="C24" i="2"/>
  <c r="E6" i="2" a="1"/>
  <c r="E6" i="2"/>
  <c r="T7" i="2" a="1"/>
  <c r="T7" i="2"/>
  <c r="P48" i="338" a="1"/>
  <c r="P48" i="338"/>
  <c r="T6" i="2" a="1"/>
  <c r="T6" i="2"/>
  <c r="O223" i="89" a="1"/>
  <c r="O223" i="89"/>
  <c r="D16" i="2" a="1"/>
  <c r="D16" i="2"/>
  <c r="Z16" i="2"/>
  <c r="AV16" i="2" s="1" a="1"/>
  <c r="AC16" i="2" a="1"/>
  <c r="AQ16" i="2" a="1"/>
  <c r="E14" i="2" a="1"/>
  <c r="AQ16" i="2" l="1"/>
  <c r="AC16" i="2"/>
  <c r="AV16" i="2"/>
  <c r="E14" i="2"/>
  <c r="T47" i="338" a="1"/>
  <c r="T47" i="338"/>
  <c r="E16" i="2" a="1"/>
  <c r="E16" i="2"/>
  <c r="X48" i="338" a="1"/>
  <c r="X48" i="338"/>
  <c r="T9" i="2" a="1"/>
  <c r="T9" i="2"/>
  <c r="O8" i="89" a="1"/>
  <c r="O8" i="89"/>
  <c r="Z8" i="89" a="1"/>
  <c r="D7" i="2" a="1"/>
  <c r="Z8" i="89" l="1"/>
  <c r="D7" i="2"/>
  <c r="AQ7" i="2" a="1"/>
  <c r="AC7" i="2" a="1"/>
  <c r="S42" i="338" a="1"/>
  <c r="AC7" i="2" l="1"/>
  <c r="AQ7" i="2"/>
  <c r="S42" i="338"/>
  <c r="F15" i="2" a="1"/>
  <c r="F15" i="2"/>
  <c r="T12" i="338" a="1"/>
  <c r="T12" i="338"/>
  <c r="C8" i="2" a="1"/>
  <c r="C8" i="2"/>
  <c r="E4" i="2" a="1"/>
  <c r="E4" i="2"/>
  <c r="AD23" i="2" a="1"/>
  <c r="AD23" i="2"/>
  <c r="V13" i="89" a="1"/>
  <c r="V13" i="89"/>
  <c r="P9" i="338" a="1"/>
  <c r="P9" i="338"/>
  <c r="E24" i="2" a="1"/>
  <c r="E24" i="2"/>
  <c r="F4" i="2" a="1"/>
  <c r="F4" i="2"/>
  <c r="P47" i="338" a="1"/>
  <c r="P47" i="338"/>
  <c r="AA21" i="2" a="1"/>
  <c r="AA21" i="2"/>
  <c r="T196" i="89" a="1"/>
  <c r="T196" i="89"/>
  <c r="C10" i="2" a="1"/>
  <c r="C10" i="2"/>
  <c r="AR8" i="2" a="1"/>
  <c r="AR8" i="2"/>
  <c r="T18" i="2" a="1"/>
  <c r="T18" i="2"/>
  <c r="S48" i="338" a="1"/>
  <c r="S48" i="338"/>
  <c r="E15" i="2" a="1"/>
  <c r="E15" i="2"/>
  <c r="F14" i="2" a="1"/>
  <c r="F14" i="2"/>
  <c r="AD8" i="2" a="1"/>
  <c r="AD8" i="2"/>
  <c r="P31" i="338" a="1"/>
  <c r="P31" i="338"/>
  <c r="D13" i="2" a="1"/>
  <c r="D13" i="2"/>
  <c r="Z13" i="2"/>
  <c r="AQ13" i="2" a="1"/>
  <c r="AC13" i="2" a="1"/>
  <c r="X12" i="338" a="1"/>
  <c r="AC13" i="2" l="1"/>
  <c r="AQ13" i="2"/>
  <c r="X12" i="338"/>
  <c r="AD22" i="2" a="1"/>
  <c r="AD22" i="2"/>
  <c r="V197" i="89" a="1"/>
  <c r="V197" i="89"/>
  <c r="T13" i="2" a="1"/>
  <c r="T13" i="2"/>
  <c r="D20" i="2" a="1"/>
  <c r="D20" i="2"/>
  <c r="AQ20" i="2" a="1"/>
  <c r="AC20" i="2" a="1"/>
  <c r="C195" i="89" a="1"/>
  <c r="AC20" i="2" l="1"/>
  <c r="AQ20" i="2"/>
  <c r="C195" i="89"/>
  <c r="AR18" i="2" a="1"/>
  <c r="AR18" i="2"/>
  <c r="S47" i="338" a="1"/>
  <c r="S47" i="338"/>
  <c r="C23" i="2" a="1"/>
  <c r="C23" i="2"/>
  <c r="T29" i="338" a="1"/>
  <c r="T29" i="338"/>
  <c r="E23" i="2" a="1"/>
  <c r="E23" i="2"/>
  <c r="AD6" i="2" a="1"/>
  <c r="AD6" i="2"/>
  <c r="V223" i="89" a="1"/>
  <c r="V223" i="89"/>
  <c r="T5" i="2" a="1"/>
  <c r="T5" i="2"/>
  <c r="E21" i="2" a="1"/>
  <c r="E21" i="2"/>
  <c r="AA13" i="2" a="1"/>
  <c r="AA13" i="2"/>
  <c r="AV13" i="2" a="1"/>
  <c r="T34" i="338" a="1"/>
  <c r="AV13" i="2" l="1"/>
  <c r="T34" i="338"/>
  <c r="AA6" i="2" a="1"/>
  <c r="AA6" i="2"/>
  <c r="T223" i="89" a="1"/>
  <c r="T223" i="89"/>
  <c r="AR19" i="2" a="1"/>
  <c r="AR19" i="2"/>
  <c r="T31" i="338" a="1"/>
  <c r="T31" i="338"/>
  <c r="C19" i="2" a="1"/>
  <c r="C19" i="2"/>
  <c r="AR6" i="2" a="1"/>
  <c r="AR6" i="2"/>
  <c r="D14" i="2" a="1"/>
  <c r="D14" i="2"/>
  <c r="AQ14" i="2" a="1"/>
  <c r="AC14" i="2" a="1"/>
  <c r="C62" i="89" a="1"/>
  <c r="AC14" i="2" l="1"/>
  <c r="AQ14" i="2"/>
  <c r="C62" i="89"/>
  <c r="F16" i="2" a="1"/>
  <c r="F16" i="2"/>
  <c r="AR11" i="2" a="1"/>
  <c r="AR11" i="2"/>
  <c r="S12" i="338" a="1"/>
  <c r="S12" i="338"/>
  <c r="F20" i="2" a="1"/>
  <c r="F20" i="2"/>
  <c r="AD5" i="2" a="1"/>
  <c r="AD5" i="2"/>
  <c r="T45" i="338" a="1"/>
  <c r="T45" i="338"/>
  <c r="D24" i="2" a="1"/>
  <c r="D24" i="2"/>
  <c r="AQ24" i="2" a="1"/>
  <c r="AC24" i="2" a="1"/>
  <c r="C14" i="89" a="1"/>
  <c r="S15" i="1" l="1"/>
  <c r="Q15" i="1"/>
  <c r="R15" i="1" s="1"/>
  <c r="AC24" i="2"/>
  <c r="AQ24" i="2"/>
  <c r="C14" i="89"/>
  <c r="D19" i="2" a="1"/>
  <c r="D19" i="2"/>
  <c r="AC19" i="2" a="1"/>
  <c r="AQ19" i="2" a="1"/>
  <c r="S14" i="338" a="1"/>
  <c r="AQ19" i="2" l="1"/>
  <c r="AC19" i="2"/>
  <c r="S14" i="338"/>
  <c r="AA23" i="2" a="1"/>
  <c r="AA23" i="2"/>
  <c r="T13" i="89" a="1"/>
  <c r="T13" i="89"/>
  <c r="AR12" i="2" a="1"/>
  <c r="AR12" i="2"/>
  <c r="F18" i="2" a="1"/>
  <c r="F18" i="2"/>
  <c r="F24" i="2" a="1"/>
  <c r="F24" i="2"/>
  <c r="AD15" i="2" a="1"/>
  <c r="AD15" i="2"/>
  <c r="V63" i="89" a="1"/>
  <c r="V63" i="89"/>
  <c r="E7" i="2" a="1"/>
  <c r="E7" i="2"/>
  <c r="X29" i="338" a="1"/>
  <c r="X29" i="338"/>
  <c r="AD10" i="2" a="1"/>
  <c r="AD10" i="2"/>
  <c r="V170" i="89" a="1"/>
  <c r="V170" i="89"/>
  <c r="C7" i="2" a="1"/>
  <c r="C7" i="2"/>
  <c r="D6" i="2" a="1"/>
  <c r="D6" i="2"/>
  <c r="AQ6" i="2" a="1"/>
  <c r="AC6" i="2" a="1"/>
  <c r="C223" i="89" a="1"/>
  <c r="AC6" i="2" l="1"/>
  <c r="AQ6" i="2"/>
  <c r="C223" i="89"/>
  <c r="T48" i="338" a="1"/>
  <c r="T48" i="338"/>
  <c r="AD11" i="2" a="1"/>
  <c r="AD11" i="2"/>
  <c r="P42" i="338" a="1"/>
  <c r="P42" i="338"/>
  <c r="T22" i="2" a="1"/>
  <c r="T22" i="2"/>
  <c r="O197" i="89" a="1"/>
  <c r="O197" i="89"/>
  <c r="Z197" i="89" a="1"/>
  <c r="T11" i="2" a="1"/>
  <c r="Z197" i="89" l="1"/>
  <c r="T11" i="2"/>
  <c r="AR15" i="2" a="1"/>
  <c r="AR15" i="2"/>
  <c r="AA7" i="2" a="1"/>
  <c r="AA7" i="2"/>
  <c r="P45" i="338" a="1"/>
  <c r="P45" i="338"/>
  <c r="C9" i="2" a="1"/>
  <c r="C9" i="2"/>
  <c r="E19" i="2" a="1"/>
  <c r="E19" i="2"/>
  <c r="D69" i="89" a="1"/>
  <c r="D69" i="89"/>
  <c r="AR20" i="2" a="1"/>
  <c r="AR20" i="2"/>
  <c r="T14" i="338" a="1"/>
  <c r="T14" i="338"/>
  <c r="AR5" i="2" a="1"/>
  <c r="AR5" i="2"/>
  <c r="E82" i="89" a="1"/>
  <c r="E82" i="89"/>
  <c r="X47" i="338" a="1"/>
  <c r="X47" i="338"/>
  <c r="E22" i="2" a="1"/>
  <c r="E22" i="2"/>
  <c r="D76" i="89" a="1"/>
  <c r="D76" i="89"/>
  <c r="AA69" i="89" a="1"/>
  <c r="AA69" i="89"/>
  <c r="AA8" i="2" a="1"/>
  <c r="AA8" i="2"/>
  <c r="Z170" i="89" a="1"/>
  <c r="Z170" i="89"/>
  <c r="T21" i="2" a="1"/>
  <c r="T21" i="2"/>
  <c r="O196" i="89" a="1"/>
  <c r="O196" i="89"/>
  <c r="Z196" i="89" a="1"/>
  <c r="P34" i="338" a="1"/>
  <c r="Z196" i="89" l="1"/>
  <c r="P34" i="338"/>
  <c r="E10" i="1"/>
  <c r="AA24" i="2" a="1"/>
  <c r="AA24" i="2"/>
  <c r="T14" i="89" a="1"/>
  <c r="T14" i="89"/>
  <c r="X9" i="338" a="1"/>
  <c r="X9" i="338"/>
  <c r="O82" i="89" a="1"/>
  <c r="O82" i="89"/>
  <c r="AF10" i="1" a="1"/>
  <c r="AF10" i="1"/>
  <c r="C6" i="2" a="1"/>
  <c r="C6" i="2"/>
  <c r="AA82" i="89" a="1"/>
  <c r="AA82" i="89"/>
  <c r="D7" i="89"/>
  <c r="D19" i="89"/>
  <c r="T16" i="2" a="1"/>
  <c r="T16" i="2"/>
  <c r="E76" i="89" a="1"/>
  <c r="E76" i="89"/>
  <c r="F21" i="2" a="1"/>
  <c r="F21" i="2"/>
  <c r="D14" i="89" a="1"/>
  <c r="D14" i="89"/>
  <c r="E8" i="2" a="1"/>
  <c r="E8" i="2"/>
  <c r="V82" i="89" a="1"/>
  <c r="V82" i="89"/>
  <c r="E10" i="2" a="1"/>
  <c r="E10" i="2"/>
  <c r="D222" i="89" a="1"/>
  <c r="D222" i="89"/>
  <c r="AA19" i="2" a="1"/>
  <c r="AA19" i="2"/>
  <c r="T20" i="2" a="1"/>
  <c r="T20" i="2"/>
  <c r="O195" i="89" a="1"/>
  <c r="O195" i="89"/>
  <c r="Z195" i="89" a="1"/>
  <c r="D27" i="89" a="1"/>
  <c r="Z195" i="89" l="1"/>
  <c r="D27" i="89"/>
  <c r="D5" i="2" a="1"/>
  <c r="D5" i="2"/>
  <c r="Z5" i="2"/>
  <c r="AV5" i="2" s="1" a="1"/>
  <c r="AC5" i="2" a="1"/>
  <c r="AQ5" i="2" a="1"/>
  <c r="E13" i="89" a="1"/>
  <c r="AQ5" i="2" l="1"/>
  <c r="AC5" i="2"/>
  <c r="AV5" i="2"/>
  <c r="E13" i="89"/>
  <c r="C15" i="2" a="1"/>
  <c r="C15" i="2"/>
  <c r="V69" i="89" a="1"/>
  <c r="V69" i="89"/>
  <c r="T69" i="89" a="1"/>
  <c r="T69" i="89"/>
  <c r="AR7" i="2" a="1"/>
  <c r="AR7" i="2"/>
  <c r="F23" i="2" a="1"/>
  <c r="F23" i="2"/>
  <c r="T8" i="2" a="1"/>
  <c r="T8" i="2"/>
  <c r="T76" i="89" a="1"/>
  <c r="T76" i="89"/>
  <c r="E56" i="89" a="1"/>
  <c r="E56" i="89"/>
  <c r="AD21" i="2" a="1"/>
  <c r="AD21" i="2"/>
  <c r="V196" i="89" a="1"/>
  <c r="V196" i="89"/>
  <c r="C82" i="89" a="1"/>
  <c r="C82" i="89"/>
  <c r="E39" i="89" a="1"/>
  <c r="E39" i="89"/>
  <c r="E18" i="2" a="1"/>
  <c r="E18" i="2"/>
  <c r="D205" i="89" a="1"/>
  <c r="D205" i="89"/>
  <c r="D9" i="2" a="1"/>
  <c r="D9" i="2"/>
  <c r="AC9" i="2" a="1"/>
  <c r="AQ9" i="2" a="1"/>
  <c r="C8" i="89" a="1"/>
  <c r="AQ9" i="2" l="1"/>
  <c r="AC9" i="2"/>
  <c r="C8" i="89"/>
  <c r="D197" i="89" a="1"/>
  <c r="D197" i="89"/>
  <c r="AR13" i="2" a="1"/>
  <c r="AR13" i="2"/>
  <c r="T24" i="2" a="1"/>
  <c r="T24" i="2"/>
  <c r="O14" i="89" a="1"/>
  <c r="O14" i="89"/>
  <c r="Z14" i="89" a="1"/>
  <c r="C76" i="89" a="1"/>
  <c r="Z14" i="89" l="1"/>
  <c r="C76" i="89"/>
  <c r="AD4" i="2" a="1"/>
  <c r="AD4" i="2"/>
  <c r="D39" i="89" a="1"/>
  <c r="D39" i="89"/>
  <c r="V76" i="89" a="1"/>
  <c r="V76" i="89"/>
  <c r="AA12" i="2" a="1"/>
  <c r="AA12" i="2"/>
  <c r="E205" i="89" a="1"/>
  <c r="E205" i="89"/>
  <c r="E7" i="89"/>
  <c r="AD9" i="2" a="1"/>
  <c r="AD9" i="2"/>
  <c r="V8" i="89" a="1"/>
  <c r="V8" i="89"/>
  <c r="AA76" i="89" a="1"/>
  <c r="AA76" i="89"/>
  <c r="E14" i="89" a="1"/>
  <c r="E14" i="89"/>
  <c r="D23" i="2" a="1"/>
  <c r="D23" i="2"/>
  <c r="AQ23" i="2" a="1"/>
  <c r="AC23" i="2" a="1"/>
  <c r="C13" i="89" a="1"/>
  <c r="AC23" i="2" l="1"/>
  <c r="AQ23" i="2"/>
  <c r="C13" i="89"/>
  <c r="M13" i="252" a="1"/>
  <c r="M13" i="252"/>
  <c r="E197" i="89" a="1"/>
  <c r="E197" i="89"/>
  <c r="C18" i="2" a="1"/>
  <c r="C18" i="2"/>
  <c r="O76" i="89" a="1"/>
  <c r="O76" i="89"/>
  <c r="Z62" i="89" a="1"/>
  <c r="Z62" i="89"/>
  <c r="E27" i="89" a="1"/>
  <c r="E27" i="89"/>
  <c r="F13" i="252" a="1"/>
  <c r="F13" i="252"/>
  <c r="O69" i="89" a="1"/>
  <c r="O69" i="89"/>
  <c r="Z69" i="89" a="1"/>
  <c r="T12" i="2" a="1"/>
  <c r="Z69" i="89" l="1"/>
  <c r="T12" i="2"/>
  <c r="F10" i="2" a="1"/>
  <c r="F10" i="2"/>
  <c r="L13" i="252" a="1"/>
  <c r="L13" i="252"/>
  <c r="E222" i="89" a="1"/>
  <c r="E222" i="89"/>
  <c r="E69" i="89" a="1"/>
  <c r="E69" i="89"/>
  <c r="D8" i="2" a="1"/>
  <c r="D8" i="2"/>
  <c r="Z8" i="2"/>
  <c r="AV8" i="2" s="1" a="1"/>
  <c r="AQ8" i="2" a="1"/>
  <c r="AC8" i="2" a="1"/>
  <c r="T15" i="2" a="1"/>
  <c r="AC8" i="2" l="1"/>
  <c r="AQ8" i="2"/>
  <c r="AV8" i="2"/>
  <c r="T15" i="2"/>
  <c r="O63" i="89" a="1"/>
  <c r="O63" i="89"/>
  <c r="Z63" i="89" a="1"/>
  <c r="O13" i="252" a="1"/>
  <c r="Z63" i="89" l="1"/>
  <c r="O13" i="252"/>
  <c r="D56" i="89" a="1"/>
  <c r="D56" i="89"/>
  <c r="T82" i="89" a="1"/>
  <c r="T82" i="89"/>
  <c r="AR16" i="2" a="1"/>
  <c r="AR16" i="2"/>
  <c r="D22" i="2" a="1"/>
  <c r="D22" i="2"/>
  <c r="AQ22" i="2" a="1"/>
  <c r="AC22" i="2" a="1"/>
  <c r="C197" i="89" a="1"/>
  <c r="AC22" i="2" l="1"/>
  <c r="AQ22" i="2"/>
  <c r="C197" i="89"/>
  <c r="N13" i="252" a="1"/>
  <c r="N13" i="252"/>
  <c r="C69" i="89" a="1"/>
  <c r="C69" i="89"/>
  <c r="E19" i="89"/>
  <c r="D82" i="89" a="1"/>
  <c r="D82" i="89"/>
  <c r="Z223" i="89" a="1"/>
  <c r="Z223" i="89"/>
  <c r="D13" i="89" a="1"/>
  <c r="D13" i="89"/>
  <c r="O6" i="252" a="1"/>
  <c r="O6" i="252"/>
  <c r="AI14" i="1"/>
  <c r="Y6" i="252" a="1"/>
  <c r="Y6" i="252"/>
  <c r="AB40" i="1"/>
  <c r="L6" i="252" a="1"/>
  <c r="L6" i="252"/>
  <c r="K40" i="1" a="1"/>
  <c r="K40" i="1"/>
  <c r="AF14" i="1"/>
  <c r="AF40" i="1"/>
  <c r="M6" i="252" a="1"/>
  <c r="M6" i="252"/>
  <c r="AI40" i="1"/>
  <c r="N6" i="252" a="1"/>
  <c r="N6" i="252"/>
  <c r="AC40" i="1"/>
  <c r="AC14" i="1"/>
  <c r="AG41" i="1"/>
  <c r="AB14" i="1"/>
  <c r="AG24" i="1"/>
  <c r="K14" i="1" a="1"/>
  <c r="K14" i="1"/>
  <c r="AG15" i="1"/>
  <c r="AG27" i="1"/>
  <c r="AG40" i="1"/>
  <c r="AG34" i="1"/>
  <c r="AG32" i="1"/>
  <c r="AG36" i="1"/>
  <c r="AG30" i="1"/>
  <c r="AG12" i="1"/>
  <c r="C19" i="89"/>
  <c r="V236" i="89" a="1"/>
  <c r="V236" i="89"/>
  <c r="V49" i="89" a="1"/>
  <c r="V49" i="89"/>
  <c r="V169" i="89" a="1"/>
  <c r="V169" i="89"/>
  <c r="V19" i="89"/>
  <c r="C39" i="89" a="1"/>
  <c r="C39" i="89"/>
  <c r="O7" i="89" a="1"/>
  <c r="O7" i="89"/>
  <c r="AA39" i="89" a="1"/>
  <c r="AA39" i="89"/>
  <c r="O211" i="89" a="1"/>
  <c r="O211" i="89"/>
  <c r="T7" i="89" a="1"/>
  <c r="T7" i="89"/>
  <c r="C211" i="89" a="1"/>
  <c r="C211" i="89"/>
  <c r="Z7" i="89"/>
  <c r="O236" i="89" a="1"/>
  <c r="O236" i="89"/>
  <c r="V211" i="89" a="1"/>
  <c r="V211" i="89"/>
  <c r="AA75" i="89" a="1"/>
  <c r="AA75" i="89"/>
  <c r="AA49" i="89" a="1"/>
  <c r="AA49" i="89"/>
  <c r="C186" i="89" a="1"/>
  <c r="C186" i="89"/>
  <c r="C169" i="89" a="1"/>
  <c r="C169" i="89"/>
  <c r="T75" i="89" a="1"/>
  <c r="T75" i="89"/>
  <c r="C7" i="89" a="1"/>
  <c r="C7" i="89"/>
  <c r="Z236" i="89" a="1"/>
  <c r="Z236" i="89"/>
  <c r="T211" i="89" a="1"/>
  <c r="T211" i="89"/>
  <c r="O186" i="89" a="1"/>
  <c r="O186" i="89"/>
  <c r="Z186" i="89" a="1"/>
  <c r="V39" i="89" a="1"/>
  <c r="Z186" i="89" l="1"/>
  <c r="V39" i="89"/>
  <c r="C213" i="89" a="1"/>
  <c r="C213" i="89"/>
  <c r="C49" i="89" a="1"/>
  <c r="C49" i="89"/>
  <c r="T49" i="89" a="1"/>
  <c r="T49" i="89"/>
  <c r="O75" i="89" a="1"/>
  <c r="O75" i="89"/>
  <c r="Z75" i="89" a="1"/>
  <c r="T236" i="89" a="1"/>
  <c r="Z75" i="89" l="1"/>
  <c r="T236" i="89"/>
  <c r="O169" i="89" a="1"/>
  <c r="O169" i="89"/>
  <c r="Z169" i="89" a="1"/>
  <c r="V213" i="89" a="1"/>
  <c r="Z169" i="89" l="1"/>
  <c r="V213" i="89"/>
  <c r="V186" i="89" a="1"/>
  <c r="V186" i="89"/>
  <c r="O39" i="89" a="1"/>
  <c r="O39" i="89"/>
  <c r="Z39" i="89" a="1"/>
  <c r="T19" i="89"/>
  <c r="T169" i="89" a="1"/>
  <c r="Z39" i="89" l="1"/>
  <c r="T169" i="89"/>
  <c r="V7" i="89" a="1"/>
  <c r="V7" i="89"/>
  <c r="T213" i="89" a="1"/>
  <c r="T213" i="89"/>
  <c r="C236" i="89" a="1"/>
  <c r="C236" i="89"/>
  <c r="Z211" i="89" a="1"/>
  <c r="Z211" i="89"/>
  <c r="O49" i="89" a="1"/>
  <c r="O49" i="89"/>
  <c r="Z49" i="89" a="1"/>
  <c r="T39" i="89" a="1"/>
  <c r="Z49" i="89" l="1"/>
  <c r="T39" i="89"/>
  <c r="T186" i="89" a="1"/>
  <c r="T186" i="89"/>
  <c r="O213" i="89" a="1"/>
  <c r="O213" i="89"/>
  <c r="Z213" i="89" a="1"/>
  <c r="V75" i="89" a="1"/>
  <c r="Z213" i="89" l="1"/>
  <c r="V75" i="89"/>
  <c r="O19" i="89"/>
  <c r="Z19" i="89" s="1" a="1"/>
  <c r="C75" i="89" a="1"/>
  <c r="Z19" i="89" l="1"/>
  <c r="C75" i="89"/>
  <c r="E204" i="89" a="1"/>
  <c r="E204" i="89"/>
  <c r="D196" i="89" a="1"/>
  <c r="D196" i="89"/>
  <c r="E224" i="89" a="1"/>
  <c r="E224" i="89"/>
  <c r="E50" i="89" a="1"/>
  <c r="E50" i="89"/>
  <c r="E68" i="89"/>
  <c r="E195" i="89" a="1"/>
  <c r="E195" i="89"/>
  <c r="D34" i="89" a="1"/>
  <c r="D34" i="89"/>
  <c r="D195" i="89" a="1"/>
  <c r="D195" i="89"/>
  <c r="E196" i="89" a="1"/>
  <c r="E196" i="89"/>
  <c r="D33" i="89" a="1"/>
  <c r="D33" i="89"/>
  <c r="E49" i="89" a="1"/>
  <c r="E49" i="89"/>
  <c r="D204" i="89" a="1"/>
  <c r="D204" i="89"/>
  <c r="D224" i="89" a="1"/>
  <c r="D224" i="89"/>
  <c r="E33" i="89" a="1"/>
  <c r="E33" i="89"/>
  <c r="E225" i="89" a="1"/>
  <c r="E225" i="89"/>
  <c r="D49" i="89" a="1"/>
  <c r="D49" i="89"/>
  <c r="D225" i="89" a="1"/>
  <c r="D225" i="89"/>
  <c r="E34" i="89" a="1"/>
  <c r="E34" i="89"/>
  <c r="D68" i="89"/>
  <c r="D50" i="89" a="1"/>
  <c r="D50" i="89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AG14" i="1"/>
  <c r="AG25" i="1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D223" i="89" a="1"/>
  <c r="D223" i="89"/>
  <c r="E40" i="89" a="1"/>
  <c r="E40" i="89"/>
  <c r="E81" i="89" a="1"/>
  <c r="E81" i="89"/>
  <c r="E55" i="89" a="1"/>
  <c r="E55" i="89"/>
  <c r="E62" i="89" a="1"/>
  <c r="E62" i="89"/>
  <c r="D63" i="89" a="1"/>
  <c r="D63" i="89"/>
  <c r="D20" i="89" a="1"/>
  <c r="D20" i="89"/>
  <c r="E8" i="89" a="1"/>
  <c r="E8" i="89"/>
  <c r="D75" i="89" a="1"/>
  <c r="D75" i="89"/>
  <c r="D55" i="89" a="1"/>
  <c r="D55" i="89"/>
  <c r="E75" i="89" a="1"/>
  <c r="E75" i="89"/>
  <c r="D8" i="89" a="1"/>
  <c r="D8" i="89"/>
  <c r="D203" i="89" a="1"/>
  <c r="D203" i="89"/>
  <c r="E20" i="89" a="1"/>
  <c r="E20" i="89"/>
  <c r="D81" i="89" a="1"/>
  <c r="D81" i="89"/>
  <c r="D40" i="89" a="1"/>
  <c r="D40" i="89"/>
  <c r="E63" i="89" a="1"/>
  <c r="E63" i="89"/>
  <c r="D62" i="89" a="1"/>
  <c r="D62" i="89"/>
  <c r="E223" i="89" a="1"/>
  <c r="E223" i="89"/>
  <c r="E203" i="89" a="1"/>
  <c r="E203" i="89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E6" i="1" a="1"/>
  <c r="E6" i="1"/>
  <c r="G27" i="446" a="1"/>
  <c r="G27" i="446"/>
  <c r="F27" i="446" a="1"/>
  <c r="F27" i="446"/>
  <c r="AK11" i="338" a="1"/>
  <c r="AK11" i="338"/>
  <c r="AI11" i="338" a="1"/>
  <c r="AI11" i="338"/>
  <c r="D27" i="446" a="1"/>
  <c r="D27" i="446"/>
  <c r="AG11" i="338"/>
  <c r="L26" i="1" a="1"/>
  <c r="L26" i="1"/>
  <c r="N95" i="89" a="1"/>
  <c r="N95" i="89"/>
  <c r="Z95" i="89" a="1"/>
  <c r="N82" i="89" a="1"/>
  <c r="Z95" i="89" l="1"/>
  <c r="N82" i="89"/>
  <c r="Z82" i="89" a="1"/>
  <c r="N76" i="89" a="1"/>
  <c r="Z82" i="89" l="1"/>
  <c r="N76" i="89"/>
  <c r="Z76" i="89" a="1"/>
  <c r="N160" i="89" a="1"/>
  <c r="Z76" i="89" l="1"/>
  <c r="N160" i="89"/>
  <c r="Z160" i="89" a="1"/>
  <c r="N102" i="89" a="1"/>
  <c r="Z160" i="89" l="1"/>
  <c r="N102" i="89"/>
  <c r="Z102" i="89" a="1"/>
  <c r="N101" i="89" a="1"/>
  <c r="Z102" i="89" l="1"/>
  <c r="N101" i="89"/>
  <c r="Z101" i="89" a="1"/>
  <c r="L41" i="1" a="1"/>
  <c r="Z101" i="89" l="1"/>
  <c r="L41" i="1"/>
  <c r="L40" i="1" a="1"/>
  <c r="L40" i="1"/>
  <c r="L39" i="1" a="1"/>
  <c r="L39" i="1"/>
  <c r="L37" i="1" a="1"/>
  <c r="L37" i="1"/>
  <c r="L36" i="1" a="1"/>
  <c r="L36" i="1"/>
  <c r="L35" i="1" a="1"/>
  <c r="L35" i="1"/>
  <c r="L34" i="1" a="1"/>
  <c r="L34" i="1"/>
  <c r="L33" i="1" a="1"/>
  <c r="L33" i="1"/>
  <c r="L32" i="1" a="1"/>
  <c r="L32" i="1"/>
  <c r="L30" i="1" a="1"/>
  <c r="L30" i="1"/>
  <c r="L28" i="1" a="1"/>
  <c r="L28" i="1"/>
  <c r="L27" i="1" a="1"/>
  <c r="L27" i="1"/>
  <c r="L25" i="1" a="1"/>
  <c r="L25" i="1"/>
  <c r="L24" i="1" a="1"/>
  <c r="L24" i="1"/>
  <c r="L23" i="1" a="1"/>
  <c r="L23" i="1"/>
  <c r="L18" i="1" a="1"/>
  <c r="L18" i="1"/>
  <c r="L16" i="1" a="1"/>
  <c r="L16" i="1"/>
  <c r="L15" i="1" a="1"/>
  <c r="L15" i="1"/>
  <c r="L14" i="1" a="1"/>
  <c r="L14" i="1"/>
  <c r="L13" i="1" a="1"/>
  <c r="L13" i="1"/>
  <c r="L12" i="1" a="1"/>
  <c r="L12" i="1"/>
  <c r="E26" i="89" a="1"/>
  <c r="E26" i="89"/>
  <c r="D26" i="89" a="1"/>
  <c r="D26" i="89"/>
  <c r="U55" i="338" a="1"/>
  <c r="U55" i="338"/>
  <c r="L55" i="338" a="1"/>
  <c r="L55" i="338"/>
  <c r="J55" i="338" a="1"/>
  <c r="J55" i="338"/>
  <c r="H55" i="338" a="1"/>
  <c r="H55" i="338"/>
  <c r="V55" i="338" a="1"/>
  <c r="V55" i="338"/>
  <c r="S55" i="338" a="1"/>
  <c r="S55" i="338"/>
  <c r="O178" i="89" a="1"/>
  <c r="O178" i="89"/>
  <c r="AK14" i="338" a="1"/>
  <c r="AK14" i="338"/>
  <c r="X55" i="338" a="1"/>
  <c r="X55" i="338"/>
  <c r="E178" i="89" a="1"/>
  <c r="E178" i="89"/>
  <c r="AD2" i="1" a="1"/>
  <c r="AD2" i="1"/>
  <c r="P55" i="338" a="1"/>
  <c r="P55" i="338"/>
  <c r="K2" i="2" a="1"/>
  <c r="K2" i="2"/>
  <c r="T55" i="338" a="1"/>
  <c r="T55" i="338"/>
  <c r="V179" i="89" a="1"/>
  <c r="V179" i="89"/>
  <c r="C179" i="89" a="1"/>
  <c r="C179" i="89"/>
  <c r="AB2" i="1" a="1"/>
  <c r="AB2" i="1"/>
  <c r="AH55" i="338" a="1"/>
  <c r="AH55" i="338"/>
  <c r="AA179" i="89" a="1"/>
  <c r="AA179" i="89"/>
  <c r="T178" i="89" a="1"/>
  <c r="T178" i="89"/>
  <c r="F247" i="89" l="1"/>
  <c r="F246" i="89"/>
  <c r="F245" i="89"/>
  <c r="F244" i="89"/>
  <c r="E248" i="89"/>
  <c r="I29" i="2"/>
  <c r="V178" i="89" a="1"/>
  <c r="J1" i="24" a="1"/>
  <c r="AK55" i="338" a="1"/>
  <c r="O179" i="89" a="1"/>
  <c r="AI55" i="338" a="1"/>
  <c r="AJ55" i="338" a="1"/>
  <c r="T179" i="89" a="1"/>
  <c r="AC2" i="1" a="1"/>
  <c r="AI14" i="338" a="1"/>
  <c r="C178" i="89" a="1"/>
  <c r="E179" i="89" a="1"/>
  <c r="J1" i="24" l="1"/>
  <c r="V178" i="89"/>
  <c r="C178" i="89"/>
  <c r="AI14" i="338"/>
  <c r="AC2" i="1"/>
  <c r="T179" i="89"/>
  <c r="E179" i="89"/>
  <c r="AJ55" i="338"/>
  <c r="AI55" i="338"/>
  <c r="O179" i="89"/>
  <c r="AK55" i="338"/>
  <c r="J24" i="2"/>
  <c r="K24" i="2" s="1"/>
  <c r="J23" i="2"/>
  <c r="K23" i="2" s="1"/>
  <c r="J22" i="2"/>
  <c r="K22" i="2" s="1"/>
  <c r="J21" i="2"/>
  <c r="K21" i="2" s="1"/>
  <c r="J20" i="2"/>
  <c r="K20" i="2" s="1"/>
  <c r="J19" i="2"/>
  <c r="K19" i="2" s="1"/>
  <c r="J18" i="2"/>
  <c r="K18" i="2" s="1"/>
  <c r="J16" i="2"/>
  <c r="K16" i="2" s="1"/>
  <c r="J15" i="2"/>
  <c r="K15" i="2" s="1"/>
  <c r="J14" i="2"/>
  <c r="K14" i="2" s="1"/>
  <c r="J13" i="2"/>
  <c r="K13" i="2" s="1"/>
  <c r="J12" i="2"/>
  <c r="K12" i="2" s="1"/>
  <c r="J11" i="2"/>
  <c r="K11" i="2" s="1"/>
  <c r="J10" i="2"/>
  <c r="K10" i="2" s="1"/>
  <c r="J9" i="2"/>
  <c r="K9" i="2" s="1"/>
  <c r="J8" i="2"/>
  <c r="K8" i="2" s="1"/>
  <c r="J7" i="2"/>
  <c r="K7" i="2" s="1"/>
  <c r="J6" i="2"/>
  <c r="K6" i="2" s="1"/>
  <c r="J5" i="2"/>
  <c r="K5" i="2" s="1"/>
  <c r="L154" i="89" a="1"/>
  <c r="K154" i="89" a="1"/>
  <c r="W154" i="89" a="1"/>
  <c r="L9" i="2" a="1"/>
  <c r="F154" i="89" a="1"/>
  <c r="K154" i="89" l="1"/>
  <c r="F154" i="89"/>
  <c r="W154" i="89"/>
  <c r="L154" i="89"/>
  <c r="L9" i="2"/>
  <c r="BA22" i="2" l="1"/>
  <c r="BB22" i="2"/>
  <c r="BA21" i="2"/>
  <c r="BB21" i="2"/>
  <c r="BA20" i="2"/>
  <c r="BB20" i="2"/>
  <c r="I34" i="1" a="1"/>
  <c r="P21" i="2" a="1"/>
  <c r="G20" i="2" a="1"/>
  <c r="AF20" i="2" a="1"/>
  <c r="P22" i="2" a="1"/>
  <c r="P20" i="2" a="1"/>
  <c r="AN20" i="2" a="1"/>
  <c r="Q22" i="2" a="1"/>
  <c r="S50" i="89" a="1"/>
  <c r="AN22" i="2" a="1"/>
  <c r="Z23" i="2"/>
  <c r="AV23" i="2" s="1" a="1"/>
  <c r="Z14" i="2"/>
  <c r="AV14" i="2" s="1" a="1"/>
  <c r="Z20" i="2"/>
  <c r="AV20" i="2" s="1" a="1"/>
  <c r="Z9" i="2"/>
  <c r="AV9" i="2" s="1" a="1"/>
  <c r="AF21" i="2" a="1"/>
  <c r="S56" i="89" a="1"/>
  <c r="L21" i="2" a="1"/>
  <c r="G22" i="2" a="1"/>
  <c r="I15" i="1" a="1"/>
  <c r="Q20" i="2" a="1"/>
  <c r="L22" i="2" a="1"/>
  <c r="AN21" i="2" a="1"/>
  <c r="Q21" i="2" a="1"/>
  <c r="L20" i="2" a="1"/>
  <c r="AF22" i="2" a="1"/>
  <c r="S26" i="89" a="1"/>
  <c r="G21" i="2" a="1"/>
  <c r="AV9" i="2" l="1"/>
  <c r="AV20" i="2"/>
  <c r="AV14" i="2"/>
  <c r="AV23" i="2"/>
  <c r="S56" i="89"/>
  <c r="S50" i="89"/>
  <c r="S26" i="89"/>
  <c r="L20" i="2"/>
  <c r="AN22" i="2"/>
  <c r="AN20" i="2"/>
  <c r="L22" i="2"/>
  <c r="AN21" i="2"/>
  <c r="L21" i="2"/>
  <c r="I15" i="1"/>
  <c r="I34" i="1"/>
  <c r="BC21" i="2"/>
  <c r="BC20" i="2"/>
  <c r="BC22" i="2"/>
  <c r="AF20" i="2"/>
  <c r="G21" i="2"/>
  <c r="Q20" i="2"/>
  <c r="AF21" i="2"/>
  <c r="P20" i="2"/>
  <c r="P22" i="2"/>
  <c r="G22" i="2"/>
  <c r="P21" i="2"/>
  <c r="Q22" i="2"/>
  <c r="Q21" i="2"/>
  <c r="AF22" i="2"/>
  <c r="G20" i="2"/>
  <c r="R56" i="89" a="1"/>
  <c r="R50" i="89" a="1"/>
  <c r="R26" i="89" a="1"/>
  <c r="S21" i="2" a="1"/>
  <c r="S20" i="2" a="1"/>
  <c r="S22" i="2" a="1"/>
  <c r="R26" i="89" l="1"/>
  <c r="R50" i="89"/>
  <c r="R56" i="89"/>
  <c r="N34" i="1"/>
  <c r="J34" i="1"/>
  <c r="J15" i="1"/>
  <c r="N15" i="1"/>
  <c r="T15" i="1" s="1"/>
  <c r="F15" i="1" s="1"/>
  <c r="R20" i="2"/>
  <c r="S22" i="2"/>
  <c r="AO22" i="2" s="1"/>
  <c r="S20" i="2"/>
  <c r="U20" i="2" s="1"/>
  <c r="S21" i="2"/>
  <c r="AO21" i="2" s="1"/>
  <c r="O22" i="2"/>
  <c r="O20" i="2"/>
  <c r="R21" i="2"/>
  <c r="O21" i="2"/>
  <c r="R22" i="2"/>
  <c r="Z22" i="2"/>
  <c r="AV22" i="2" s="1" a="1"/>
  <c r="Z21" i="2"/>
  <c r="AV21" i="2" s="1" a="1"/>
  <c r="AV21" i="2" l="1"/>
  <c r="AV22" i="2"/>
  <c r="AO20" i="2"/>
  <c r="AP22" i="2"/>
  <c r="U22" i="2"/>
  <c r="AP20" i="2"/>
  <c r="AE22" i="2"/>
  <c r="AP21" i="2"/>
  <c r="U21" i="2"/>
  <c r="AE20" i="2"/>
  <c r="AT20" i="2"/>
  <c r="AL20" i="2"/>
  <c r="AS20" i="2"/>
  <c r="X20" i="2"/>
  <c r="Y20" i="2" s="1"/>
  <c r="AM20" i="2"/>
  <c r="AB20" i="2"/>
  <c r="M20" i="2"/>
  <c r="AT22" i="2"/>
  <c r="AS22" i="2"/>
  <c r="AL22" i="2"/>
  <c r="M22" i="2"/>
  <c r="AM22" i="2"/>
  <c r="AB22" i="2"/>
  <c r="X22" i="2"/>
  <c r="Y22" i="2" s="1"/>
  <c r="AL21" i="2"/>
  <c r="AT21" i="2"/>
  <c r="AS21" i="2"/>
  <c r="AB21" i="2"/>
  <c r="AM21" i="2"/>
  <c r="M21" i="2"/>
  <c r="X21" i="2"/>
  <c r="Y21" i="2" s="1"/>
  <c r="AE21" i="2"/>
  <c r="BA16" i="2" l="1"/>
  <c r="BB16" i="2"/>
  <c r="Q16" i="2" a="1"/>
  <c r="AF16" i="2" a="1"/>
  <c r="L16" i="2" a="1"/>
  <c r="AN16" i="2" a="1"/>
  <c r="G16" i="2" a="1"/>
  <c r="P16" i="2" a="1"/>
  <c r="L16" i="2" l="1"/>
  <c r="AF16" i="2"/>
  <c r="P16" i="2"/>
  <c r="AN16" i="2"/>
  <c r="Q16" i="2"/>
  <c r="G16" i="2"/>
  <c r="BC16" i="2"/>
  <c r="S16" i="2" a="1"/>
  <c r="R16" i="2" l="1"/>
  <c r="S16" i="2"/>
  <c r="AP16" i="2" s="1"/>
  <c r="O16" i="2"/>
  <c r="U16" i="2"/>
  <c r="AO16" i="2"/>
  <c r="AT16" i="2" l="1"/>
  <c r="AS16" i="2"/>
  <c r="AL16" i="2"/>
  <c r="X16" i="2"/>
  <c r="Y16" i="2" s="1"/>
  <c r="AM16" i="2"/>
  <c r="M16" i="2"/>
  <c r="AB16" i="2"/>
  <c r="AE16" i="2"/>
  <c r="E54" i="54" l="1"/>
  <c r="F54" i="54"/>
  <c r="G54" i="54"/>
  <c r="W196" i="89" a="1"/>
  <c r="K196" i="89" a="1"/>
  <c r="K197" i="89" a="1"/>
  <c r="L195" i="89" a="1"/>
  <c r="W195" i="89" a="1"/>
  <c r="I50" i="54" a="1"/>
  <c r="L197" i="89" a="1"/>
  <c r="F197" i="89" a="1"/>
  <c r="W197" i="89" a="1"/>
  <c r="F195" i="89" a="1"/>
  <c r="L196" i="89" a="1"/>
  <c r="F196" i="89" a="1"/>
  <c r="K195" i="89" a="1"/>
  <c r="I33" i="1" a="1"/>
  <c r="W197" i="89" l="1"/>
  <c r="F197" i="89"/>
  <c r="K197" i="89"/>
  <c r="L197" i="89"/>
  <c r="K196" i="89"/>
  <c r="W196" i="89"/>
  <c r="L196" i="89"/>
  <c r="F196" i="89"/>
  <c r="F195" i="89"/>
  <c r="K195" i="89"/>
  <c r="L195" i="89"/>
  <c r="W195" i="89"/>
  <c r="I33" i="1"/>
  <c r="I50" i="54"/>
  <c r="X2" i="527"/>
  <c r="S34" i="1" l="1"/>
  <c r="Q34" i="1"/>
  <c r="H53" i="54"/>
  <c r="I52" i="54"/>
  <c r="H52" i="54"/>
  <c r="I53" i="54"/>
  <c r="J4" i="2"/>
  <c r="K4" i="2" s="1"/>
  <c r="U2" i="527"/>
  <c r="R2" i="527"/>
  <c r="S235" i="89" a="1"/>
  <c r="S180" i="89" a="1"/>
  <c r="Z24" i="2"/>
  <c r="AV24" i="2" s="1" a="1"/>
  <c r="S197" i="89" a="1"/>
  <c r="AV24" i="2" l="1"/>
  <c r="S235" i="89"/>
  <c r="S180" i="89"/>
  <c r="T34" i="1"/>
  <c r="S197" i="89"/>
  <c r="J53" i="54"/>
  <c r="H54" i="54"/>
  <c r="J52" i="54"/>
  <c r="I54" i="54"/>
  <c r="R235" i="89" a="1"/>
  <c r="R180" i="89" a="1"/>
  <c r="R197" i="89" a="1"/>
  <c r="R197" i="89" l="1"/>
  <c r="R180" i="89"/>
  <c r="R235" i="89"/>
  <c r="J54" i="54"/>
  <c r="I26" i="2" l="1"/>
  <c r="N33" i="1" l="1"/>
  <c r="J33" i="1"/>
  <c r="AC3" i="1" a="1"/>
  <c r="C4" i="1" a="1"/>
  <c r="I3" i="1" a="1"/>
  <c r="I12" i="1" a="1"/>
  <c r="I8" i="1" a="1"/>
  <c r="C1" i="1" a="1"/>
  <c r="C8" i="1" a="1"/>
  <c r="C2" i="1" a="1"/>
  <c r="I1" i="1" a="1"/>
  <c r="I26" i="1" a="1"/>
  <c r="I16" i="1" a="1"/>
  <c r="I39" i="1" a="1"/>
  <c r="I9" i="1" a="1"/>
  <c r="I41" i="1" a="1"/>
  <c r="C9" i="1" a="1"/>
  <c r="I40" i="1" a="1"/>
  <c r="C10" i="1" a="1"/>
  <c r="C3" i="1" a="1"/>
  <c r="I18" i="1" a="1"/>
  <c r="C6" i="1" a="1"/>
  <c r="I27" i="1" a="1"/>
  <c r="I5" i="1" a="1"/>
  <c r="C5" i="1" a="1"/>
  <c r="I2" i="1" a="1"/>
  <c r="I7" i="1" a="1"/>
  <c r="I4" i="1" a="1"/>
  <c r="C7" i="1" a="1"/>
  <c r="I23" i="1" a="1"/>
  <c r="I37" i="1" a="1"/>
  <c r="I35" i="1" a="1"/>
  <c r="I25" i="1" a="1"/>
  <c r="I28" i="1" a="1"/>
  <c r="I6" i="1" a="1"/>
  <c r="I10" i="1" a="1"/>
  <c r="I13" i="1" a="1"/>
  <c r="I36" i="1" a="1"/>
  <c r="C2" i="1" l="1"/>
  <c r="C6" i="1"/>
  <c r="C7" i="1"/>
  <c r="C1" i="1"/>
  <c r="I41" i="1"/>
  <c r="I10" i="1"/>
  <c r="C9" i="1"/>
  <c r="AC3" i="1"/>
  <c r="I37" i="1"/>
  <c r="C10" i="1"/>
  <c r="I9" i="1"/>
  <c r="I16" i="1"/>
  <c r="I2" i="1"/>
  <c r="C4" i="1"/>
  <c r="I25" i="1"/>
  <c r="C3" i="1"/>
  <c r="I12" i="1"/>
  <c r="I23" i="1"/>
  <c r="C8" i="1"/>
  <c r="I5" i="1"/>
  <c r="I8" i="1"/>
  <c r="I7" i="1"/>
  <c r="I39" i="1"/>
  <c r="I13" i="1"/>
  <c r="I4" i="1"/>
  <c r="I27" i="1"/>
  <c r="I28" i="1"/>
  <c r="I35" i="1"/>
  <c r="I36" i="1"/>
  <c r="I3" i="1"/>
  <c r="I1" i="1"/>
  <c r="C5" i="1"/>
  <c r="I6" i="1"/>
  <c r="I26" i="1"/>
  <c r="I40" i="1"/>
  <c r="I18" i="1"/>
  <c r="BA18" i="2" l="1"/>
  <c r="BB18" i="2"/>
  <c r="L81" i="89"/>
  <c r="F234" i="89" a="1"/>
  <c r="W179" i="89" a="1"/>
  <c r="L39" i="89" a="1"/>
  <c r="F237" i="89" a="1"/>
  <c r="F179" i="89" a="1"/>
  <c r="Q18" i="2" a="1"/>
  <c r="K81" i="89"/>
  <c r="W33" i="89" a="1"/>
  <c r="L180" i="89" a="1"/>
  <c r="P18" i="2" a="1"/>
  <c r="W237" i="89" a="1"/>
  <c r="W81" i="89"/>
  <c r="K180" i="89" a="1"/>
  <c r="K233" i="89" a="1"/>
  <c r="L234" i="89" a="1"/>
  <c r="W233" i="89" a="1"/>
  <c r="K33" i="89" a="1"/>
  <c r="L33" i="89" a="1"/>
  <c r="W234" i="89" a="1"/>
  <c r="L235" i="89" a="1"/>
  <c r="W235" i="89" a="1"/>
  <c r="L233" i="89" a="1"/>
  <c r="G18" i="2" a="1"/>
  <c r="K235" i="89" a="1"/>
  <c r="K237" i="89" a="1"/>
  <c r="F81" i="89"/>
  <c r="F180" i="89" a="1"/>
  <c r="AN18" i="2" a="1"/>
  <c r="F33" i="89" a="1"/>
  <c r="W180" i="89" a="1"/>
  <c r="L237" i="89" a="1"/>
  <c r="F235" i="89" a="1"/>
  <c r="F39" i="89" a="1"/>
  <c r="W39" i="89" a="1"/>
  <c r="K39" i="89" a="1"/>
  <c r="F233" i="89" a="1"/>
  <c r="K234" i="89" a="1"/>
  <c r="AN18" i="2" l="1"/>
  <c r="F237" i="89"/>
  <c r="L237" i="89"/>
  <c r="W237" i="89"/>
  <c r="K237" i="89"/>
  <c r="W235" i="89"/>
  <c r="L233" i="89"/>
  <c r="W233" i="89"/>
  <c r="K234" i="89"/>
  <c r="F234" i="89"/>
  <c r="L234" i="89"/>
  <c r="K233" i="89"/>
  <c r="W234" i="89"/>
  <c r="K235" i="89"/>
  <c r="F233" i="89"/>
  <c r="F235" i="89"/>
  <c r="L235" i="89"/>
  <c r="K33" i="89"/>
  <c r="L33" i="89"/>
  <c r="F180" i="89"/>
  <c r="W180" i="89"/>
  <c r="L180" i="89"/>
  <c r="K180" i="89"/>
  <c r="W33" i="89"/>
  <c r="W179" i="89"/>
  <c r="F179" i="89"/>
  <c r="F33" i="89"/>
  <c r="L39" i="89"/>
  <c r="W39" i="89"/>
  <c r="K39" i="89"/>
  <c r="F39" i="89"/>
  <c r="BC18" i="2"/>
  <c r="G18" i="2"/>
  <c r="Q18" i="2"/>
  <c r="P18" i="2"/>
  <c r="S18" i="2" a="1"/>
  <c r="S18" i="2" l="1"/>
  <c r="AP18" i="2" s="1"/>
  <c r="R18" i="2"/>
  <c r="O18" i="2"/>
  <c r="Z18" i="2"/>
  <c r="AV18" i="2" s="1" a="1"/>
  <c r="AV18" i="2" l="1"/>
  <c r="U18" i="2"/>
  <c r="AO18" i="2"/>
  <c r="AT18" i="2"/>
  <c r="AS18" i="2"/>
  <c r="AL18" i="2"/>
  <c r="AM18" i="2"/>
  <c r="AB18" i="2"/>
  <c r="X18" i="2"/>
  <c r="Y18" i="2" s="1"/>
  <c r="M18" i="2"/>
  <c r="AE18" i="2"/>
  <c r="BA4" i="2" l="1"/>
  <c r="BB4" i="2"/>
  <c r="BA24" i="2"/>
  <c r="BB24" i="2"/>
  <c r="BA23" i="2"/>
  <c r="BB23" i="2"/>
  <c r="L24" i="2" a="1"/>
  <c r="G24" i="2" a="1"/>
  <c r="Q4" i="2" a="1"/>
  <c r="G23" i="2" a="1"/>
  <c r="AN24" i="2" a="1"/>
  <c r="L23" i="2" a="1"/>
  <c r="Q24" i="2" a="1"/>
  <c r="P24" i="2" a="1"/>
  <c r="AF4" i="2" a="1"/>
  <c r="Q23" i="2" a="1"/>
  <c r="G4" i="2" a="1"/>
  <c r="P4" i="2" a="1"/>
  <c r="AN23" i="2" a="1"/>
  <c r="AF24" i="2" a="1"/>
  <c r="AN4" i="2" a="1"/>
  <c r="AF23" i="2" a="1"/>
  <c r="L4" i="2" a="1"/>
  <c r="L4" i="2" l="1"/>
  <c r="AN4" i="2"/>
  <c r="BC23" i="2"/>
  <c r="BC4" i="2"/>
  <c r="AF4" i="2"/>
  <c r="G4" i="2"/>
  <c r="Q4" i="2"/>
  <c r="P4" i="2"/>
  <c r="BC24" i="2"/>
  <c r="Q23" i="2"/>
  <c r="AF23" i="2"/>
  <c r="P24" i="2"/>
  <c r="Q24" i="2"/>
  <c r="G23" i="2"/>
  <c r="AF24" i="2"/>
  <c r="L23" i="2"/>
  <c r="L24" i="2"/>
  <c r="AN24" i="2"/>
  <c r="AN23" i="2"/>
  <c r="G24" i="2"/>
  <c r="L27" i="2"/>
  <c r="S24" i="2" a="1"/>
  <c r="S4" i="2" a="1"/>
  <c r="S23" i="2" a="1"/>
  <c r="I28" i="2" l="1"/>
  <c r="L26" i="2"/>
  <c r="L28" i="2" s="1"/>
  <c r="S4" i="2"/>
  <c r="AO4" i="2" s="1"/>
  <c r="O4" i="2"/>
  <c r="AP4" i="2"/>
  <c r="U4" i="2"/>
  <c r="R4" i="2"/>
  <c r="R24" i="2"/>
  <c r="S23" i="2"/>
  <c r="AO23" i="2" s="1"/>
  <c r="S24" i="2"/>
  <c r="AP24" i="2" s="1"/>
  <c r="O24" i="2"/>
  <c r="U24" i="2"/>
  <c r="O23" i="2"/>
  <c r="U23" i="2"/>
  <c r="AP23" i="2"/>
  <c r="R23" i="2"/>
  <c r="AO24" i="2" l="1"/>
  <c r="AE4" i="2"/>
  <c r="AS4" i="2"/>
  <c r="AL4" i="2"/>
  <c r="AT4" i="2"/>
  <c r="M4" i="2"/>
  <c r="AB4" i="2"/>
  <c r="X4" i="2"/>
  <c r="Y4" i="2" s="1"/>
  <c r="AM4" i="2"/>
  <c r="AL24" i="2"/>
  <c r="AT24" i="2"/>
  <c r="AS24" i="2"/>
  <c r="M24" i="2"/>
  <c r="X24" i="2"/>
  <c r="Y24" i="2" s="1"/>
  <c r="AB24" i="2"/>
  <c r="AM24" i="2"/>
  <c r="AE23" i="2"/>
  <c r="AE24" i="2"/>
  <c r="AS23" i="2"/>
  <c r="AL23" i="2"/>
  <c r="AT23" i="2"/>
  <c r="M23" i="2"/>
  <c r="X23" i="2"/>
  <c r="Y23" i="2" s="1"/>
  <c r="AB23" i="2"/>
  <c r="AM23" i="2"/>
  <c r="AN9" i="2" a="1"/>
  <c r="T22" i="1" l="1"/>
  <c r="AN9" i="2"/>
  <c r="BA9" i="2"/>
  <c r="BB9" i="2"/>
  <c r="AF9" i="2" a="1"/>
  <c r="G9" i="2" a="1"/>
  <c r="L5" i="2" a="1"/>
  <c r="P9" i="2" a="1"/>
  <c r="Q9" i="2" a="1"/>
  <c r="Q9" i="2" l="1"/>
  <c r="P9" i="2"/>
  <c r="AF9" i="2"/>
  <c r="G9" i="2"/>
  <c r="BC9" i="2"/>
  <c r="L5" i="2"/>
  <c r="H27" i="89"/>
  <c r="S9" i="2" a="1"/>
  <c r="R9" i="2" l="1"/>
  <c r="S9" i="2"/>
  <c r="U9" i="2" s="1"/>
  <c r="O9" i="2"/>
  <c r="AP9" i="2" l="1"/>
  <c r="AO9" i="2"/>
  <c r="AE9" i="2"/>
  <c r="AT9" i="2"/>
  <c r="AS9" i="2"/>
  <c r="AL9" i="2"/>
  <c r="AM9" i="2"/>
  <c r="X9" i="2"/>
  <c r="Y9" i="2" s="1"/>
  <c r="M9" i="2"/>
  <c r="AB9" i="2"/>
  <c r="T29" i="1" l="1"/>
  <c r="H34" i="89"/>
  <c r="AE34" i="89"/>
  <c r="F27" i="89" a="1"/>
  <c r="K34" i="89" a="1"/>
  <c r="K27" i="89" a="1"/>
  <c r="F34" i="89" a="1"/>
  <c r="L26" i="89" a="1"/>
  <c r="F26" i="89" a="1"/>
  <c r="K26" i="89" a="1"/>
  <c r="L34" i="89" a="1"/>
  <c r="W27" i="89" a="1"/>
  <c r="L27" i="89" a="1"/>
  <c r="W34" i="89" a="1"/>
  <c r="W26" i="89" a="1"/>
  <c r="L34" i="89" l="1"/>
  <c r="W27" i="89"/>
  <c r="L26" i="89"/>
  <c r="W26" i="89"/>
  <c r="F26" i="89"/>
  <c r="F34" i="89"/>
  <c r="K27" i="89"/>
  <c r="K26" i="89"/>
  <c r="W34" i="89"/>
  <c r="L27" i="89"/>
  <c r="K34" i="89"/>
  <c r="I34" i="89" s="1"/>
  <c r="F27" i="89"/>
  <c r="AA34" i="89" a="1"/>
  <c r="N34" i="89" a="1"/>
  <c r="AA34" i="89" l="1"/>
  <c r="M34" i="89"/>
  <c r="N34" i="89"/>
  <c r="S34" i="89"/>
  <c r="R34" i="89" s="1" a="1"/>
  <c r="R34" i="89" l="1"/>
  <c r="P34" i="89"/>
  <c r="Q34" i="89" s="1"/>
  <c r="AC34" i="89"/>
  <c r="Y34" i="89"/>
  <c r="J34" i="89"/>
  <c r="U34" i="89"/>
  <c r="S33" i="89"/>
  <c r="R33" i="89" s="1" a="1"/>
  <c r="S234" i="89" a="1"/>
  <c r="R33" i="89" l="1"/>
  <c r="S234" i="89"/>
  <c r="R234" i="89" a="1"/>
  <c r="R234" i="89" l="1"/>
  <c r="AE237" i="89"/>
  <c r="N237" i="89" a="1"/>
  <c r="N237" i="89" l="1"/>
  <c r="M237" i="89"/>
  <c r="I237" i="89"/>
  <c r="AA237" i="89" a="1"/>
  <c r="AA237" i="89" l="1"/>
  <c r="J237" i="89"/>
  <c r="P237" i="89"/>
  <c r="Q237" i="89" l="1"/>
  <c r="Y237" i="89"/>
  <c r="AC237" i="89"/>
  <c r="U237" i="89"/>
  <c r="D237" i="89" s="1"/>
  <c r="AN11" i="2" a="1"/>
  <c r="A237" i="89" l="1"/>
  <c r="AN11" i="2"/>
  <c r="BA11" i="2"/>
  <c r="Q11" i="2" a="1"/>
  <c r="P11" i="2" a="1"/>
  <c r="G11" i="2" a="1"/>
  <c r="AF11" i="2" a="1"/>
  <c r="L11" i="2" a="1"/>
  <c r="L11" i="2" l="1"/>
  <c r="P11" i="2"/>
  <c r="AF11" i="2"/>
  <c r="Q11" i="2"/>
  <c r="G11" i="2"/>
  <c r="BB11" i="2"/>
  <c r="BC11" i="2" s="1"/>
  <c r="S11" i="2" a="1"/>
  <c r="R11" i="2" l="1"/>
  <c r="S11" i="2"/>
  <c r="U11" i="2" s="1"/>
  <c r="O11" i="2"/>
  <c r="AO11" i="2"/>
  <c r="AP11" i="2" l="1"/>
  <c r="AE11" i="2"/>
  <c r="AL11" i="2"/>
  <c r="AT11" i="2"/>
  <c r="AS11" i="2"/>
  <c r="M11" i="2"/>
  <c r="X11" i="2"/>
  <c r="Y11" i="2" s="1"/>
  <c r="AB11" i="2"/>
  <c r="AM11" i="2"/>
  <c r="L236" i="89" a="1"/>
  <c r="L236" i="89" l="1"/>
  <c r="AE236" i="89"/>
  <c r="K236" i="89" a="1"/>
  <c r="W236" i="89" a="1"/>
  <c r="F236" i="89" a="1"/>
  <c r="F236" i="89" l="1"/>
  <c r="W236" i="89"/>
  <c r="K236" i="89"/>
  <c r="M236" i="89" s="1"/>
  <c r="I236" i="89"/>
  <c r="AA236" i="89" a="1"/>
  <c r="N236" i="89" a="1"/>
  <c r="AA236" i="89" l="1"/>
  <c r="N236" i="89"/>
  <c r="P236" i="89"/>
  <c r="J236" i="89"/>
  <c r="Q236" i="89" l="1"/>
  <c r="AC236" i="89"/>
  <c r="Y236" i="89"/>
  <c r="U236" i="89"/>
  <c r="D236" i="89" s="1"/>
  <c r="A236" i="89" l="1"/>
  <c r="L7" i="89" a="1"/>
  <c r="L8" i="89" a="1"/>
  <c r="K8" i="89" a="1"/>
  <c r="W8" i="89" a="1"/>
  <c r="F8" i="89" a="1"/>
  <c r="K7" i="89" a="1"/>
  <c r="F7" i="89" a="1"/>
  <c r="W7" i="89" a="1"/>
  <c r="W8" i="89" l="1"/>
  <c r="K8" i="89"/>
  <c r="L8" i="89"/>
  <c r="W7" i="89"/>
  <c r="F8" i="89"/>
  <c r="F7" i="89"/>
  <c r="L7" i="89"/>
  <c r="K7" i="89"/>
  <c r="L213" i="89" a="1"/>
  <c r="K211" i="89" a="1"/>
  <c r="L211" i="89" a="1"/>
  <c r="F211" i="89" a="1"/>
  <c r="F213" i="89" a="1"/>
  <c r="K213" i="89" a="1"/>
  <c r="W213" i="89" a="1"/>
  <c r="W211" i="89" a="1"/>
  <c r="F211" i="89" l="1"/>
  <c r="L211" i="89"/>
  <c r="L213" i="89"/>
  <c r="W211" i="89"/>
  <c r="K213" i="89"/>
  <c r="K211" i="89"/>
  <c r="W213" i="89"/>
  <c r="F213" i="89"/>
  <c r="K212" i="89" a="1"/>
  <c r="F212" i="89" a="1"/>
  <c r="L212" i="89" a="1"/>
  <c r="W212" i="89" a="1"/>
  <c r="W212" i="89" l="1"/>
  <c r="L212" i="89"/>
  <c r="F212" i="89"/>
  <c r="K212" i="89"/>
  <c r="AB178" i="89" a="1"/>
  <c r="S178" i="89" a="1"/>
  <c r="AB178" i="89" l="1"/>
  <c r="S178" i="89"/>
  <c r="R178" i="89" a="1"/>
  <c r="R178" i="89" l="1"/>
  <c r="H35" i="1" l="1"/>
  <c r="AN15" i="2" a="1"/>
  <c r="AN15" i="2" l="1"/>
  <c r="L15" i="2" a="1"/>
  <c r="AB179" i="89" a="1"/>
  <c r="AB179" i="89" l="1"/>
  <c r="Q33" i="1"/>
  <c r="L15" i="2"/>
  <c r="S223" i="89" a="1"/>
  <c r="S14" i="89" a="1"/>
  <c r="Z19" i="2"/>
  <c r="AV19" i="2" s="1" a="1"/>
  <c r="S82" i="89" a="1"/>
  <c r="AN14" i="2" a="1"/>
  <c r="AV19" i="2" l="1"/>
  <c r="S82" i="89"/>
  <c r="S223" i="89"/>
  <c r="S14" i="89"/>
  <c r="T33" i="1"/>
  <c r="AN14" i="2"/>
  <c r="R82" i="89" a="1"/>
  <c r="R223" i="89" a="1"/>
  <c r="R14" i="89" a="1"/>
  <c r="L14" i="2" a="1"/>
  <c r="R14" i="89" l="1"/>
  <c r="R223" i="89"/>
  <c r="R82" i="89"/>
  <c r="L14" i="2"/>
  <c r="BA15" i="2"/>
  <c r="BB15" i="2"/>
  <c r="BA14" i="2"/>
  <c r="BB14" i="2"/>
  <c r="Q15" i="2" a="1"/>
  <c r="AF14" i="2" a="1"/>
  <c r="P14" i="2" a="1"/>
  <c r="P15" i="2" a="1"/>
  <c r="AF15" i="2" a="1"/>
  <c r="Q14" i="2" a="1"/>
  <c r="G15" i="2" a="1"/>
  <c r="G14" i="2" a="1"/>
  <c r="BC14" i="2" l="1"/>
  <c r="BC15" i="2"/>
  <c r="G15" i="2"/>
  <c r="P15" i="2"/>
  <c r="Q15" i="2"/>
  <c r="AF15" i="2"/>
  <c r="G14" i="2"/>
  <c r="P14" i="2"/>
  <c r="Q14" i="2"/>
  <c r="AF14" i="2"/>
  <c r="S14" i="2" a="1"/>
  <c r="S15" i="2" a="1"/>
  <c r="R15" i="2" l="1"/>
  <c r="S14" i="2"/>
  <c r="U14" i="2" s="1"/>
  <c r="S15" i="2"/>
  <c r="AO15" i="2" s="1"/>
  <c r="O15" i="2"/>
  <c r="O14" i="2"/>
  <c r="R14" i="2"/>
  <c r="Z15" i="2"/>
  <c r="AV15" i="2" s="1" a="1"/>
  <c r="AV15" i="2" l="1"/>
  <c r="AO14" i="2"/>
  <c r="AP14" i="2"/>
  <c r="AP15" i="2"/>
  <c r="U15" i="2"/>
  <c r="AT14" i="2"/>
  <c r="AL14" i="2"/>
  <c r="AS14" i="2"/>
  <c r="X14" i="2"/>
  <c r="Y14" i="2" s="1"/>
  <c r="AB14" i="2"/>
  <c r="AM14" i="2"/>
  <c r="M14" i="2"/>
  <c r="AE14" i="2"/>
  <c r="AE15" i="2"/>
  <c r="AS15" i="2"/>
  <c r="AT15" i="2"/>
  <c r="AL15" i="2"/>
  <c r="X15" i="2"/>
  <c r="Y15" i="2" s="1"/>
  <c r="M15" i="2"/>
  <c r="AB15" i="2"/>
  <c r="AM15" i="2"/>
  <c r="I24" i="1" a="1"/>
  <c r="I24" i="1" l="1"/>
  <c r="K63" i="89" a="1"/>
  <c r="K62" i="89" a="1"/>
  <c r="L82" i="89" a="1"/>
  <c r="F62" i="89" a="1"/>
  <c r="W63" i="89" a="1"/>
  <c r="L62" i="89" a="1"/>
  <c r="F63" i="89" a="1"/>
  <c r="W82" i="89" a="1"/>
  <c r="K82" i="89" a="1"/>
  <c r="W62" i="89" a="1"/>
  <c r="L63" i="89" a="1"/>
  <c r="W63" i="89" l="1"/>
  <c r="W82" i="89"/>
  <c r="W62" i="89"/>
  <c r="K82" i="89"/>
  <c r="F63" i="89"/>
  <c r="F62" i="89"/>
  <c r="K62" i="89"/>
  <c r="L63" i="89"/>
  <c r="K63" i="89"/>
  <c r="L82" i="89"/>
  <c r="L62" i="89"/>
  <c r="W75" i="89" a="1"/>
  <c r="L75" i="89" a="1"/>
  <c r="K75" i="89" a="1"/>
  <c r="F75" i="89" a="1"/>
  <c r="K75" i="89" l="1"/>
  <c r="L75" i="89"/>
  <c r="W75" i="89"/>
  <c r="F75" i="89"/>
  <c r="K76" i="89" a="1"/>
  <c r="L76" i="89" a="1"/>
  <c r="W76" i="89" a="1"/>
  <c r="W76" i="89" l="1"/>
  <c r="L76" i="89"/>
  <c r="K76" i="89"/>
  <c r="Q39" i="1" l="1"/>
  <c r="Q41" i="1"/>
  <c r="Q18" i="1"/>
  <c r="S18" i="1"/>
  <c r="Q23" i="1"/>
  <c r="Q26" i="1"/>
  <c r="S26" i="1"/>
  <c r="S39" i="1"/>
  <c r="S40" i="1"/>
  <c r="Q27" i="1"/>
  <c r="S37" i="1"/>
  <c r="Q40" i="1"/>
  <c r="S41" i="1"/>
  <c r="S27" i="1"/>
  <c r="Q35" i="1"/>
  <c r="S35" i="1"/>
  <c r="Q37" i="1"/>
  <c r="S188" i="89" a="1"/>
  <c r="S188" i="89" l="1"/>
  <c r="R188" i="89" a="1"/>
  <c r="I30" i="1" a="1"/>
  <c r="R188" i="89" l="1"/>
  <c r="I30" i="1"/>
  <c r="I32" i="1" a="1"/>
  <c r="I32" i="1" l="1"/>
  <c r="BB8" i="2" l="1"/>
  <c r="BA8" i="2"/>
  <c r="BB7" i="2"/>
  <c r="BA7" i="2"/>
  <c r="P7" i="2" a="1"/>
  <c r="AN7" i="2" a="1"/>
  <c r="Q8" i="2" a="1"/>
  <c r="L8" i="2" a="1"/>
  <c r="AF7" i="2" a="1"/>
  <c r="G8" i="2" a="1"/>
  <c r="Q7" i="2" a="1"/>
  <c r="L7" i="2" a="1"/>
  <c r="P8" i="2" a="1"/>
  <c r="G7" i="2" a="1"/>
  <c r="AN8" i="2" a="1"/>
  <c r="AF8" i="2" a="1"/>
  <c r="BC7" i="2" l="1"/>
  <c r="BC8" i="2"/>
  <c r="AN8" i="2"/>
  <c r="L8" i="2"/>
  <c r="G8" i="2"/>
  <c r="P7" i="2"/>
  <c r="AF8" i="2"/>
  <c r="AN7" i="2"/>
  <c r="G7" i="2"/>
  <c r="P8" i="2"/>
  <c r="AF7" i="2"/>
  <c r="L7" i="2"/>
  <c r="Q7" i="2"/>
  <c r="Q8" i="2"/>
  <c r="S7" i="2" a="1"/>
  <c r="S8" i="2" a="1"/>
  <c r="L29" i="2" l="1"/>
  <c r="J40" i="1"/>
  <c r="N40" i="1"/>
  <c r="S8" i="2"/>
  <c r="U8" i="2" s="1"/>
  <c r="S7" i="2"/>
  <c r="U7" i="2" s="1"/>
  <c r="O8" i="2"/>
  <c r="R8" i="2"/>
  <c r="AO8" i="2"/>
  <c r="R7" i="2"/>
  <c r="O7" i="2"/>
  <c r="Z7" i="2"/>
  <c r="AV7" i="2" s="1" a="1"/>
  <c r="AV7" i="2" l="1"/>
  <c r="AO7" i="2"/>
  <c r="AP8" i="2"/>
  <c r="AE7" i="2"/>
  <c r="AP7" i="2"/>
  <c r="AE8" i="2"/>
  <c r="AT7" i="2"/>
  <c r="AS7" i="2"/>
  <c r="AL7" i="2"/>
  <c r="X7" i="2"/>
  <c r="Y7" i="2" s="1"/>
  <c r="AM7" i="2"/>
  <c r="AB7" i="2"/>
  <c r="M7" i="2"/>
  <c r="AS8" i="2"/>
  <c r="AL8" i="2"/>
  <c r="AT8" i="2"/>
  <c r="AM8" i="2"/>
  <c r="M8" i="2"/>
  <c r="X8" i="2"/>
  <c r="Y8" i="2" s="1"/>
  <c r="AB8" i="2"/>
  <c r="F153" i="89" a="1"/>
  <c r="T17" i="1" l="1"/>
  <c r="F153" i="89"/>
  <c r="K153" i="89" a="1"/>
  <c r="AH17" i="1" l="1"/>
  <c r="U17" i="1"/>
  <c r="K153" i="89"/>
  <c r="L153" i="89" a="1"/>
  <c r="AA17" i="1" l="1"/>
  <c r="Y17" i="1"/>
  <c r="Z17" i="1"/>
  <c r="L153" i="89"/>
  <c r="W153" i="89" a="1"/>
  <c r="W153" i="89" l="1"/>
  <c r="N16" i="1" l="1"/>
  <c r="J16" i="1"/>
  <c r="N23" i="1"/>
  <c r="J23" i="1"/>
  <c r="N18" i="1"/>
  <c r="J18" i="1"/>
  <c r="J41" i="1" l="1"/>
  <c r="N41" i="1" l="1"/>
  <c r="W19" i="252" l="1"/>
  <c r="T19" i="252"/>
  <c r="W10" i="252"/>
  <c r="T8" i="252"/>
  <c r="W17" i="252"/>
  <c r="T11" i="252"/>
  <c r="T10" i="252"/>
  <c r="W18" i="252"/>
  <c r="T17" i="252"/>
  <c r="W16" i="252"/>
  <c r="T16" i="252"/>
  <c r="T14" i="252"/>
  <c r="W8" i="252"/>
  <c r="T18" i="252"/>
  <c r="W11" i="252"/>
  <c r="W14" i="252"/>
  <c r="T18" i="1" l="1"/>
  <c r="Q16" i="1"/>
  <c r="T16" i="1" s="1"/>
  <c r="T23" i="1"/>
  <c r="T41" i="1"/>
  <c r="S8" i="89" a="1"/>
  <c r="S8" i="89" l="1"/>
  <c r="T40" i="1"/>
  <c r="R8" i="89" a="1"/>
  <c r="R8" i="89" l="1"/>
  <c r="J10" i="252" a="1"/>
  <c r="J17" i="252" a="1"/>
  <c r="J20" i="252" a="1"/>
  <c r="J15" i="252" a="1"/>
  <c r="J12" i="252" a="1"/>
  <c r="J13" i="252" a="1"/>
  <c r="J14" i="252" a="1"/>
  <c r="J6" i="252" a="1"/>
  <c r="J8" i="252" a="1"/>
  <c r="J9" i="252" a="1"/>
  <c r="J19" i="252" a="1"/>
  <c r="J16" i="252" a="1"/>
  <c r="J11" i="252" a="1"/>
  <c r="J7" i="252" a="1"/>
  <c r="J18" i="252" a="1"/>
  <c r="J18" i="252" l="1"/>
  <c r="J7" i="252"/>
  <c r="J11" i="252"/>
  <c r="J16" i="252"/>
  <c r="J19" i="252"/>
  <c r="J9" i="252"/>
  <c r="J8" i="252"/>
  <c r="J6" i="252"/>
  <c r="J14" i="252"/>
  <c r="J13" i="252"/>
  <c r="J12" i="252"/>
  <c r="J15" i="252"/>
  <c r="J20" i="252"/>
  <c r="J17" i="252"/>
  <c r="J10" i="252"/>
  <c r="W20" i="252" l="1"/>
  <c r="T20" i="252"/>
  <c r="W7" i="252"/>
  <c r="T7" i="252"/>
  <c r="R165" i="444" l="1"/>
  <c r="T165" i="444" s="1"/>
  <c r="U165" i="444" s="1"/>
  <c r="G165" i="444"/>
  <c r="R164" i="444"/>
  <c r="S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T160" i="444"/>
  <c r="U160" i="444" s="1"/>
  <c r="V160" i="444" s="1"/>
  <c r="W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R157" i="444"/>
  <c r="S157" i="444" s="1"/>
  <c r="G157" i="444"/>
  <c r="R156" i="444"/>
  <c r="T156" i="444" s="1"/>
  <c r="U156" i="444" s="1"/>
  <c r="G156" i="444"/>
  <c r="R155" i="444"/>
  <c r="T155" i="444" s="1"/>
  <c r="U155" i="444" s="1"/>
  <c r="G155" i="444"/>
  <c r="S154" i="444"/>
  <c r="R154" i="444"/>
  <c r="T154" i="444" s="1"/>
  <c r="U154" i="444" s="1"/>
  <c r="V154" i="444" s="1"/>
  <c r="W154" i="444" s="1"/>
  <c r="G154" i="444"/>
  <c r="R153" i="444"/>
  <c r="G153" i="444"/>
  <c r="R152" i="444"/>
  <c r="T152" i="444" s="1"/>
  <c r="U152" i="444" s="1"/>
  <c r="G152" i="444"/>
  <c r="T151" i="444"/>
  <c r="U151" i="444" s="1"/>
  <c r="R151" i="444"/>
  <c r="S151" i="444" s="1"/>
  <c r="G151" i="444"/>
  <c r="S150" i="444"/>
  <c r="R150" i="444"/>
  <c r="T150" i="444" s="1"/>
  <c r="U150" i="444" s="1"/>
  <c r="G150" i="444"/>
  <c r="T149" i="444"/>
  <c r="U149" i="444" s="1"/>
  <c r="S149" i="444"/>
  <c r="R149" i="444"/>
  <c r="G149" i="444"/>
  <c r="R148" i="444"/>
  <c r="T148" i="444" s="1"/>
  <c r="U148" i="444" s="1"/>
  <c r="G148" i="444"/>
  <c r="T147" i="444"/>
  <c r="U147" i="444" s="1"/>
  <c r="S147" i="444"/>
  <c r="R147" i="444"/>
  <c r="G147" i="444"/>
  <c r="T146" i="444"/>
  <c r="U146" i="444" s="1"/>
  <c r="V146" i="444" s="1"/>
  <c r="W146" i="444" s="1"/>
  <c r="S146" i="444"/>
  <c r="R146" i="444"/>
  <c r="G146" i="444"/>
  <c r="R145" i="444"/>
  <c r="T145" i="444" s="1"/>
  <c r="U145" i="444" s="1"/>
  <c r="G145" i="444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S141" i="444"/>
  <c r="R141" i="444"/>
  <c r="T141" i="444" s="1"/>
  <c r="U141" i="444" s="1"/>
  <c r="G141" i="444"/>
  <c r="T140" i="444"/>
  <c r="U140" i="444" s="1"/>
  <c r="V140" i="444" s="1"/>
  <c r="W140" i="444" s="1"/>
  <c r="S140" i="444"/>
  <c r="R140" i="444"/>
  <c r="G140" i="444"/>
  <c r="R139" i="444"/>
  <c r="T139" i="444" s="1"/>
  <c r="U139" i="444" s="1"/>
  <c r="G139" i="444"/>
  <c r="R138" i="444"/>
  <c r="T138" i="444" s="1"/>
  <c r="U138" i="444" s="1"/>
  <c r="G138" i="444"/>
  <c r="T137" i="444"/>
  <c r="U137" i="444" s="1"/>
  <c r="R137" i="444"/>
  <c r="S137" i="444" s="1"/>
  <c r="G137" i="444"/>
  <c r="R136" i="444"/>
  <c r="T136" i="444" s="1"/>
  <c r="U136" i="444" s="1"/>
  <c r="G136" i="444"/>
  <c r="R135" i="444"/>
  <c r="T135" i="444" s="1"/>
  <c r="U135" i="444" s="1"/>
  <c r="G135" i="444"/>
  <c r="S134" i="444"/>
  <c r="R134" i="444"/>
  <c r="T134" i="444" s="1"/>
  <c r="U134" i="444" s="1"/>
  <c r="V134" i="444" s="1"/>
  <c r="W134" i="444" s="1"/>
  <c r="G134" i="444"/>
  <c r="R133" i="444"/>
  <c r="G133" i="444"/>
  <c r="T132" i="444"/>
  <c r="U132" i="444" s="1"/>
  <c r="R132" i="444"/>
  <c r="S132" i="444" s="1"/>
  <c r="G132" i="444"/>
  <c r="T131" i="444"/>
  <c r="U131" i="444" s="1"/>
  <c r="R131" i="444"/>
  <c r="S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S128" i="444"/>
  <c r="R128" i="444"/>
  <c r="T128" i="444" s="1"/>
  <c r="U128" i="444" s="1"/>
  <c r="G128" i="444"/>
  <c r="T127" i="444"/>
  <c r="U127" i="444" s="1"/>
  <c r="S127" i="444"/>
  <c r="R127" i="444"/>
  <c r="G127" i="444"/>
  <c r="T126" i="444"/>
  <c r="U126" i="444" s="1"/>
  <c r="V126" i="444" s="1"/>
  <c r="W126" i="444" s="1"/>
  <c r="S126" i="444"/>
  <c r="R126" i="444"/>
  <c r="G126" i="444"/>
  <c r="T125" i="444"/>
  <c r="U125" i="444" s="1"/>
  <c r="R125" i="444"/>
  <c r="S125" i="444" s="1"/>
  <c r="G125" i="444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T120" i="444"/>
  <c r="U120" i="444" s="1"/>
  <c r="V120" i="444" s="1"/>
  <c r="W120" i="444" s="1"/>
  <c r="S120" i="444"/>
  <c r="R120" i="444"/>
  <c r="G120" i="444"/>
  <c r="R119" i="444"/>
  <c r="T119" i="444" s="1"/>
  <c r="U119" i="444" s="1"/>
  <c r="G119" i="444"/>
  <c r="R118" i="444"/>
  <c r="T118" i="444" s="1"/>
  <c r="U118" i="444" s="1"/>
  <c r="G118" i="444"/>
  <c r="T117" i="444"/>
  <c r="U117" i="444" s="1"/>
  <c r="R117" i="444"/>
  <c r="S117" i="444" s="1"/>
  <c r="G117" i="444"/>
  <c r="R116" i="444"/>
  <c r="T116" i="444" s="1"/>
  <c r="U116" i="444" s="1"/>
  <c r="G116" i="444"/>
  <c r="T115" i="444"/>
  <c r="U115" i="444" s="1"/>
  <c r="R115" i="444"/>
  <c r="S115" i="444" s="1"/>
  <c r="G115" i="444"/>
  <c r="T114" i="444"/>
  <c r="U114" i="444" s="1"/>
  <c r="V114" i="444" s="1"/>
  <c r="W114" i="444" s="1"/>
  <c r="S114" i="444"/>
  <c r="R114" i="444"/>
  <c r="G114" i="444"/>
  <c r="R113" i="444"/>
  <c r="G113" i="444"/>
  <c r="T112" i="444"/>
  <c r="U112" i="444" s="1"/>
  <c r="V112" i="444" s="1"/>
  <c r="W112" i="444" s="1"/>
  <c r="S112" i="444"/>
  <c r="R112" i="444"/>
  <c r="G112" i="444"/>
  <c r="T111" i="444"/>
  <c r="U111" i="444" s="1"/>
  <c r="R111" i="444"/>
  <c r="S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S108" i="444"/>
  <c r="R108" i="444"/>
  <c r="T108" i="444" s="1"/>
  <c r="U108" i="444" s="1"/>
  <c r="G108" i="444"/>
  <c r="T107" i="444"/>
  <c r="U107" i="444" s="1"/>
  <c r="S107" i="444"/>
  <c r="R107" i="444"/>
  <c r="G107" i="444"/>
  <c r="T106" i="444"/>
  <c r="U106" i="444" s="1"/>
  <c r="V106" i="444" s="1"/>
  <c r="W106" i="444" s="1"/>
  <c r="S106" i="444"/>
  <c r="R106" i="444"/>
  <c r="G106" i="444"/>
  <c r="T105" i="444"/>
  <c r="U105" i="444" s="1"/>
  <c r="R105" i="444"/>
  <c r="S105" i="444" s="1"/>
  <c r="G105" i="444"/>
  <c r="R104" i="444"/>
  <c r="S104" i="444" s="1"/>
  <c r="G104" i="444"/>
  <c r="R103" i="444"/>
  <c r="T103" i="444" s="1"/>
  <c r="U103" i="444" s="1"/>
  <c r="G103" i="444"/>
  <c r="R102" i="444"/>
  <c r="T102" i="444" s="1"/>
  <c r="U102" i="444" s="1"/>
  <c r="G102" i="444"/>
  <c r="S101" i="444"/>
  <c r="R101" i="444"/>
  <c r="T101" i="444" s="1"/>
  <c r="U101" i="444" s="1"/>
  <c r="G101" i="444"/>
  <c r="T100" i="444"/>
  <c r="U100" i="444" s="1"/>
  <c r="V100" i="444" s="1"/>
  <c r="W100" i="444" s="1"/>
  <c r="S100" i="444"/>
  <c r="R100" i="444"/>
  <c r="G100" i="444"/>
  <c r="R99" i="444"/>
  <c r="T99" i="444" s="1"/>
  <c r="U99" i="444" s="1"/>
  <c r="G99" i="444"/>
  <c r="R98" i="444"/>
  <c r="T98" i="444" s="1"/>
  <c r="U98" i="444" s="1"/>
  <c r="G98" i="444"/>
  <c r="T97" i="444"/>
  <c r="U97" i="444" s="1"/>
  <c r="R97" i="444"/>
  <c r="S97" i="444" s="1"/>
  <c r="G97" i="444"/>
  <c r="R96" i="444"/>
  <c r="T96" i="444" s="1"/>
  <c r="U96" i="444" s="1"/>
  <c r="G96" i="444"/>
  <c r="T95" i="444"/>
  <c r="U95" i="444" s="1"/>
  <c r="S95" i="444"/>
  <c r="R95" i="444"/>
  <c r="G95" i="444"/>
  <c r="T94" i="444"/>
  <c r="U94" i="444" s="1"/>
  <c r="V94" i="444" s="1"/>
  <c r="W94" i="444" s="1"/>
  <c r="S94" i="444"/>
  <c r="R94" i="444"/>
  <c r="G94" i="444"/>
  <c r="R93" i="444"/>
  <c r="G93" i="444"/>
  <c r="T92" i="444"/>
  <c r="U92" i="444" s="1"/>
  <c r="S92" i="444"/>
  <c r="R92" i="444"/>
  <c r="G92" i="444"/>
  <c r="T91" i="444"/>
  <c r="U91" i="444" s="1"/>
  <c r="R91" i="444"/>
  <c r="S91" i="444" s="1"/>
  <c r="G91" i="444"/>
  <c r="R90" i="444"/>
  <c r="T90" i="444" s="1"/>
  <c r="U90" i="444" s="1"/>
  <c r="G90" i="444"/>
  <c r="T89" i="444"/>
  <c r="U89" i="444" s="1"/>
  <c r="V89" i="444" s="1"/>
  <c r="W89" i="444" s="1"/>
  <c r="S89" i="444"/>
  <c r="R89" i="444"/>
  <c r="G89" i="444"/>
  <c r="S88" i="444"/>
  <c r="R88" i="444"/>
  <c r="T88" i="444" s="1"/>
  <c r="U88" i="444" s="1"/>
  <c r="G88" i="444"/>
  <c r="T87" i="444"/>
  <c r="U87" i="444" s="1"/>
  <c r="S87" i="444"/>
  <c r="R87" i="444"/>
  <c r="G87" i="444"/>
  <c r="T86" i="444"/>
  <c r="U86" i="444" s="1"/>
  <c r="V86" i="444" s="1"/>
  <c r="W86" i="444" s="1"/>
  <c r="S86" i="444"/>
  <c r="R86" i="444"/>
  <c r="G86" i="444"/>
  <c r="T85" i="444"/>
  <c r="U85" i="444" s="1"/>
  <c r="R85" i="444"/>
  <c r="S85" i="444" s="1"/>
  <c r="G85" i="444"/>
  <c r="T84" i="444"/>
  <c r="U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T80" i="444"/>
  <c r="U80" i="444" s="1"/>
  <c r="V80" i="444" s="1"/>
  <c r="W80" i="444" s="1"/>
  <c r="S80" i="444"/>
  <c r="R80" i="444"/>
  <c r="G80" i="444"/>
  <c r="R79" i="444"/>
  <c r="T79" i="444" s="1"/>
  <c r="U79" i="444" s="1"/>
  <c r="G79" i="444"/>
  <c r="T78" i="444"/>
  <c r="U78" i="444" s="1"/>
  <c r="R78" i="444"/>
  <c r="S78" i="444" s="1"/>
  <c r="G78" i="444"/>
  <c r="T77" i="444"/>
  <c r="U77" i="444" s="1"/>
  <c r="R77" i="444"/>
  <c r="S77" i="444" s="1"/>
  <c r="G77" i="444"/>
  <c r="R76" i="444"/>
  <c r="T76" i="444" s="1"/>
  <c r="U76" i="444" s="1"/>
  <c r="G76" i="444"/>
  <c r="T75" i="444"/>
  <c r="U75" i="444" s="1"/>
  <c r="R75" i="444"/>
  <c r="S75" i="444" s="1"/>
  <c r="G75" i="444"/>
  <c r="T74" i="444"/>
  <c r="U74" i="444" s="1"/>
  <c r="V74" i="444" s="1"/>
  <c r="W74" i="444" s="1"/>
  <c r="S74" i="444"/>
  <c r="R74" i="444"/>
  <c r="G74" i="444"/>
  <c r="R73" i="444"/>
  <c r="G73" i="444"/>
  <c r="R72" i="444"/>
  <c r="T72" i="444" s="1"/>
  <c r="U72" i="444" s="1"/>
  <c r="G72" i="444"/>
  <c r="T71" i="444"/>
  <c r="U71" i="444" s="1"/>
  <c r="R71" i="444"/>
  <c r="S71" i="444" s="1"/>
  <c r="G71" i="444"/>
  <c r="S70" i="444"/>
  <c r="R70" i="444"/>
  <c r="T70" i="444" s="1"/>
  <c r="U70" i="444" s="1"/>
  <c r="G70" i="444"/>
  <c r="T69" i="444"/>
  <c r="U69" i="444" s="1"/>
  <c r="S69" i="444"/>
  <c r="R69" i="444"/>
  <c r="G69" i="444"/>
  <c r="S68" i="444"/>
  <c r="R68" i="444"/>
  <c r="T68" i="444" s="1"/>
  <c r="U68" i="444" s="1"/>
  <c r="G68" i="444"/>
  <c r="T67" i="444"/>
  <c r="U67" i="444" s="1"/>
  <c r="S67" i="444"/>
  <c r="R67" i="444"/>
  <c r="G67" i="444"/>
  <c r="T66" i="444"/>
  <c r="U66" i="444" s="1"/>
  <c r="V66" i="444" s="1"/>
  <c r="W66" i="444" s="1"/>
  <c r="S66" i="444"/>
  <c r="R66" i="444"/>
  <c r="G66" i="444"/>
  <c r="T65" i="444"/>
  <c r="U65" i="444" s="1"/>
  <c r="R65" i="444"/>
  <c r="S65" i="444" s="1"/>
  <c r="G65" i="444"/>
  <c r="T64" i="444"/>
  <c r="U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S61" i="444"/>
  <c r="R61" i="444"/>
  <c r="T61" i="444" s="1"/>
  <c r="U61" i="444" s="1"/>
  <c r="V61" i="444" s="1"/>
  <c r="W61" i="444" s="1"/>
  <c r="G61" i="444"/>
  <c r="T60" i="444"/>
  <c r="U60" i="444" s="1"/>
  <c r="V60" i="444" s="1"/>
  <c r="W60" i="444" s="1"/>
  <c r="S60" i="444"/>
  <c r="R60" i="444"/>
  <c r="G60" i="444"/>
  <c r="R59" i="444"/>
  <c r="T59" i="444" s="1"/>
  <c r="U59" i="444" s="1"/>
  <c r="G59" i="444"/>
  <c r="T58" i="444"/>
  <c r="U58" i="444" s="1"/>
  <c r="S58" i="444"/>
  <c r="R58" i="444"/>
  <c r="G58" i="444"/>
  <c r="T57" i="444"/>
  <c r="U57" i="444" s="1"/>
  <c r="R57" i="444"/>
  <c r="S57" i="444" s="1"/>
  <c r="G57" i="444"/>
  <c r="R56" i="444"/>
  <c r="T56" i="444" s="1"/>
  <c r="U56" i="444" s="1"/>
  <c r="G56" i="444"/>
  <c r="R55" i="444"/>
  <c r="T55" i="444" s="1"/>
  <c r="U55" i="444" s="1"/>
  <c r="G55" i="444"/>
  <c r="T54" i="444"/>
  <c r="U54" i="444" s="1"/>
  <c r="V54" i="444" s="1"/>
  <c r="W54" i="444" s="1"/>
  <c r="S54" i="444"/>
  <c r="R54" i="444"/>
  <c r="G54" i="444"/>
  <c r="R53" i="444"/>
  <c r="G53" i="444"/>
  <c r="T52" i="444"/>
  <c r="U52" i="444" s="1"/>
  <c r="V52" i="444" s="1"/>
  <c r="W52" i="444" s="1"/>
  <c r="S52" i="444"/>
  <c r="R52" i="444"/>
  <c r="G52" i="444"/>
  <c r="T51" i="444"/>
  <c r="U51" i="444" s="1"/>
  <c r="R51" i="444"/>
  <c r="S51" i="444" s="1"/>
  <c r="G51" i="444"/>
  <c r="R50" i="444"/>
  <c r="T50" i="444" s="1"/>
  <c r="U50" i="444" s="1"/>
  <c r="G50" i="444"/>
  <c r="T49" i="444"/>
  <c r="U49" i="444" s="1"/>
  <c r="S49" i="444"/>
  <c r="R49" i="444"/>
  <c r="G49" i="444"/>
  <c r="S48" i="444"/>
  <c r="R48" i="444"/>
  <c r="T48" i="444" s="1"/>
  <c r="U48" i="444" s="1"/>
  <c r="G48" i="444"/>
  <c r="T47" i="444"/>
  <c r="U47" i="444" s="1"/>
  <c r="S47" i="444"/>
  <c r="R47" i="444"/>
  <c r="G47" i="444"/>
  <c r="T46" i="444"/>
  <c r="U46" i="444" s="1"/>
  <c r="V46" i="444" s="1"/>
  <c r="W46" i="444" s="1"/>
  <c r="S46" i="444"/>
  <c r="R46" i="444"/>
  <c r="G46" i="444"/>
  <c r="T45" i="444"/>
  <c r="U45" i="444" s="1"/>
  <c r="R45" i="444"/>
  <c r="S45" i="444" s="1"/>
  <c r="G45" i="444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T40" i="444"/>
  <c r="U40" i="444" s="1"/>
  <c r="V40" i="444" s="1"/>
  <c r="W40" i="444" s="1"/>
  <c r="S40" i="444"/>
  <c r="R40" i="444"/>
  <c r="G40" i="444"/>
  <c r="R39" i="444"/>
  <c r="T39" i="444" s="1"/>
  <c r="U39" i="444" s="1"/>
  <c r="G39" i="444"/>
  <c r="T38" i="444"/>
  <c r="U38" i="444" s="1"/>
  <c r="R38" i="444"/>
  <c r="S38" i="444" s="1"/>
  <c r="G38" i="444"/>
  <c r="T37" i="444"/>
  <c r="U37" i="444" s="1"/>
  <c r="R37" i="444"/>
  <c r="S37" i="444" s="1"/>
  <c r="G37" i="444"/>
  <c r="R36" i="444"/>
  <c r="T36" i="444" s="1"/>
  <c r="U36" i="444" s="1"/>
  <c r="G36" i="444"/>
  <c r="R35" i="444"/>
  <c r="T35" i="444" s="1"/>
  <c r="U35" i="444" s="1"/>
  <c r="G35" i="444"/>
  <c r="T34" i="444"/>
  <c r="U34" i="444" s="1"/>
  <c r="V34" i="444" s="1"/>
  <c r="W34" i="444" s="1"/>
  <c r="S34" i="444"/>
  <c r="R34" i="444"/>
  <c r="G34" i="444"/>
  <c r="R33" i="444"/>
  <c r="G33" i="444"/>
  <c r="R32" i="444"/>
  <c r="T32" i="444" s="1"/>
  <c r="U32" i="444" s="1"/>
  <c r="G32" i="444"/>
  <c r="T31" i="444"/>
  <c r="U31" i="444" s="1"/>
  <c r="R31" i="444"/>
  <c r="S31" i="444" s="1"/>
  <c r="G31" i="444"/>
  <c r="R30" i="444"/>
  <c r="T30" i="444" s="1"/>
  <c r="U30" i="444" s="1"/>
  <c r="G30" i="444"/>
  <c r="T29" i="444"/>
  <c r="U29" i="444" s="1"/>
  <c r="V29" i="444" s="1"/>
  <c r="W29" i="444" s="1"/>
  <c r="S29" i="444"/>
  <c r="R29" i="444"/>
  <c r="G29" i="444"/>
  <c r="S28" i="444"/>
  <c r="R28" i="444"/>
  <c r="T28" i="444" s="1"/>
  <c r="U28" i="444" s="1"/>
  <c r="G28" i="444"/>
  <c r="T27" i="444"/>
  <c r="U27" i="444" s="1"/>
  <c r="S27" i="444"/>
  <c r="R27" i="444"/>
  <c r="G27" i="444"/>
  <c r="T26" i="444"/>
  <c r="U26" i="444" s="1"/>
  <c r="V26" i="444" s="1"/>
  <c r="W26" i="444" s="1"/>
  <c r="S26" i="444"/>
  <c r="R26" i="444"/>
  <c r="G26" i="444"/>
  <c r="T25" i="444"/>
  <c r="U25" i="444" s="1"/>
  <c r="R25" i="444"/>
  <c r="S25" i="444" s="1"/>
  <c r="G25" i="444"/>
  <c r="T24" i="444"/>
  <c r="U24" i="444" s="1"/>
  <c r="R24" i="444"/>
  <c r="S24" i="444" s="1"/>
  <c r="G24" i="444"/>
  <c r="R23" i="444"/>
  <c r="T23" i="444" s="1"/>
  <c r="U23" i="444" s="1"/>
  <c r="G23" i="444"/>
  <c r="R22" i="444"/>
  <c r="T22" i="444" s="1"/>
  <c r="U22" i="444" s="1"/>
  <c r="G22" i="444"/>
  <c r="R21" i="444"/>
  <c r="T21" i="444" s="1"/>
  <c r="U21" i="444" s="1"/>
  <c r="G21" i="444"/>
  <c r="T20" i="444"/>
  <c r="U20" i="444" s="1"/>
  <c r="V20" i="444" s="1"/>
  <c r="W20" i="444" s="1"/>
  <c r="S20" i="444"/>
  <c r="R20" i="444"/>
  <c r="G20" i="444"/>
  <c r="R19" i="444"/>
  <c r="T19" i="444" s="1"/>
  <c r="U19" i="444" s="1"/>
  <c r="G19" i="444"/>
  <c r="R18" i="444"/>
  <c r="T18" i="444" s="1"/>
  <c r="U18" i="444" s="1"/>
  <c r="G18" i="444"/>
  <c r="T17" i="444"/>
  <c r="U17" i="444" s="1"/>
  <c r="R17" i="444"/>
  <c r="S17" i="444" s="1"/>
  <c r="G17" i="444"/>
  <c r="R16" i="444"/>
  <c r="T16" i="444" s="1"/>
  <c r="U16" i="444" s="1"/>
  <c r="G16" i="444"/>
  <c r="T15" i="444"/>
  <c r="U15" i="444" s="1"/>
  <c r="R15" i="444"/>
  <c r="S15" i="444" s="1"/>
  <c r="G15" i="444"/>
  <c r="T14" i="444"/>
  <c r="U14" i="444" s="1"/>
  <c r="V14" i="444" s="1"/>
  <c r="W14" i="444" s="1"/>
  <c r="S14" i="444"/>
  <c r="R14" i="444"/>
  <c r="G14" i="444"/>
  <c r="R13" i="444"/>
  <c r="G13" i="444"/>
  <c r="R12" i="444"/>
  <c r="T12" i="444" s="1"/>
  <c r="U12" i="444" s="1"/>
  <c r="G12" i="444"/>
  <c r="T11" i="444"/>
  <c r="U11" i="444" s="1"/>
  <c r="R11" i="444"/>
  <c r="S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S8" i="444"/>
  <c r="R8" i="444"/>
  <c r="T8" i="444" s="1"/>
  <c r="U8" i="444" s="1"/>
  <c r="G8" i="444"/>
  <c r="T7" i="444"/>
  <c r="U7" i="444" s="1"/>
  <c r="S7" i="444"/>
  <c r="R7" i="444"/>
  <c r="G7" i="444"/>
  <c r="T6" i="444"/>
  <c r="U6" i="444" s="1"/>
  <c r="V6" i="444" s="1"/>
  <c r="W6" i="444" s="1"/>
  <c r="S6" i="444"/>
  <c r="R6" i="444"/>
  <c r="G6" i="444"/>
  <c r="T5" i="444"/>
  <c r="U5" i="444" s="1"/>
  <c r="R5" i="444"/>
  <c r="S5" i="444" s="1"/>
  <c r="G5" i="444"/>
  <c r="R4" i="444"/>
  <c r="S4" i="444" s="1"/>
  <c r="G4" i="444"/>
  <c r="R3" i="444"/>
  <c r="T3" i="444" s="1"/>
  <c r="U3" i="444" s="1"/>
  <c r="G3" i="444"/>
  <c r="R2" i="444"/>
  <c r="T2" i="444" s="1"/>
  <c r="U2" i="444" s="1"/>
  <c r="G2" i="444"/>
  <c r="B2" i="383"/>
  <c r="B3" i="383" s="1"/>
  <c r="B5" i="383" s="1"/>
  <c r="C42" i="54"/>
  <c r="D42" i="54" s="1"/>
  <c r="C40" i="54"/>
  <c r="I32" i="54"/>
  <c r="I31" i="54"/>
  <c r="D31" i="54"/>
  <c r="C31" i="54"/>
  <c r="I30" i="54"/>
  <c r="C29" i="54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H9" i="54"/>
  <c r="G9" i="54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R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S83" i="385" s="1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S82" i="385" s="1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S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R80" i="385" s="1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P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P70" i="385" l="1"/>
  <c r="R70" i="385" s="1"/>
  <c r="P74" i="385"/>
  <c r="R74" i="385" s="1"/>
  <c r="P77" i="385"/>
  <c r="S77" i="385" s="1"/>
  <c r="P50" i="385"/>
  <c r="R50" i="385" s="1"/>
  <c r="P76" i="385"/>
  <c r="R76" i="385" s="1"/>
  <c r="P79" i="385"/>
  <c r="R79" i="385" s="1"/>
  <c r="P75" i="385"/>
  <c r="S75" i="385" s="1"/>
  <c r="P78" i="385"/>
  <c r="S78" i="385" s="1"/>
  <c r="R81" i="385"/>
  <c r="S84" i="385"/>
  <c r="R83" i="385"/>
  <c r="S80" i="385"/>
  <c r="S79" i="385"/>
  <c r="R82" i="385"/>
  <c r="R75" i="385"/>
  <c r="R78" i="385"/>
  <c r="D38" i="385"/>
  <c r="P24" i="385"/>
  <c r="R24" i="385" s="1"/>
  <c r="D29" i="415"/>
  <c r="E44" i="415"/>
  <c r="P51" i="385"/>
  <c r="S51" i="385" s="1"/>
  <c r="P16" i="385"/>
  <c r="R16" i="385" s="1"/>
  <c r="E12" i="415"/>
  <c r="E11" i="415"/>
  <c r="E15" i="415"/>
  <c r="E17" i="415"/>
  <c r="P67" i="385"/>
  <c r="S67" i="385" s="1"/>
  <c r="P72" i="385"/>
  <c r="S72" i="385" s="1"/>
  <c r="G12" i="385"/>
  <c r="P52" i="385"/>
  <c r="S52" i="385" s="1"/>
  <c r="P71" i="385"/>
  <c r="S71" i="385" s="1"/>
  <c r="P48" i="385"/>
  <c r="S48" i="385" s="1"/>
  <c r="P73" i="385"/>
  <c r="S73" i="385" s="1"/>
  <c r="P66" i="385"/>
  <c r="R66" i="385" s="1"/>
  <c r="P49" i="385"/>
  <c r="R49" i="385" s="1"/>
  <c r="P69" i="385"/>
  <c r="R69" i="385" s="1"/>
  <c r="P68" i="385"/>
  <c r="S68" i="385" s="1"/>
  <c r="E13" i="415"/>
  <c r="E10" i="415"/>
  <c r="S74" i="385"/>
  <c r="R77" i="385"/>
  <c r="G52" i="385"/>
  <c r="G28" i="385"/>
  <c r="S19" i="385"/>
  <c r="S18" i="385"/>
  <c r="F33" i="385"/>
  <c r="I45" i="385"/>
  <c r="I55" i="385"/>
  <c r="F39" i="385"/>
  <c r="P57" i="385"/>
  <c r="S57" i="385" s="1"/>
  <c r="I117" i="385"/>
  <c r="G15" i="385"/>
  <c r="R20" i="385"/>
  <c r="S22" i="385"/>
  <c r="I157" i="385"/>
  <c r="G33" i="385"/>
  <c r="G9" i="385"/>
  <c r="S17" i="385"/>
  <c r="L18" i="385"/>
  <c r="D41" i="415"/>
  <c r="L13" i="385"/>
  <c r="K19" i="385"/>
  <c r="E14" i="415"/>
  <c r="E45" i="415"/>
  <c r="L41" i="385"/>
  <c r="K26" i="385"/>
  <c r="K34" i="385"/>
  <c r="L50" i="385"/>
  <c r="K7" i="385"/>
  <c r="L26" i="385"/>
  <c r="E16" i="415"/>
  <c r="K21" i="385"/>
  <c r="D7" i="415"/>
  <c r="K36" i="385"/>
  <c r="C8" i="415"/>
  <c r="C29" i="415"/>
  <c r="K29" i="385"/>
  <c r="K10" i="385"/>
  <c r="E42" i="415"/>
  <c r="K6" i="385"/>
  <c r="L16" i="385"/>
  <c r="C9" i="415"/>
  <c r="C49" i="415"/>
  <c r="D8" i="415"/>
  <c r="E43" i="415"/>
  <c r="K41" i="385"/>
  <c r="L21" i="385"/>
  <c r="L29" i="385"/>
  <c r="K38" i="385"/>
  <c r="K18" i="385"/>
  <c r="K24" i="385"/>
  <c r="R18" i="385"/>
  <c r="V151" i="444"/>
  <c r="W151" i="444" s="1"/>
  <c r="V69" i="444"/>
  <c r="W69" i="444" s="1"/>
  <c r="S20" i="385"/>
  <c r="V15" i="444"/>
  <c r="W15" i="444" s="1"/>
  <c r="V132" i="444"/>
  <c r="W132" i="444" s="1"/>
  <c r="V58" i="444"/>
  <c r="W58" i="444" s="1"/>
  <c r="V38" i="444"/>
  <c r="W38" i="444" s="1"/>
  <c r="V27" i="444"/>
  <c r="W27" i="444" s="1"/>
  <c r="V107" i="444"/>
  <c r="W107" i="444" s="1"/>
  <c r="V9" i="444"/>
  <c r="W9" i="444" s="1"/>
  <c r="V57" i="444"/>
  <c r="W57" i="444" s="1"/>
  <c r="V129" i="444"/>
  <c r="W129" i="444" s="1"/>
  <c r="V137" i="444"/>
  <c r="W137" i="444" s="1"/>
  <c r="V28" i="444"/>
  <c r="W28" i="444" s="1"/>
  <c r="V150" i="444"/>
  <c r="W150" i="444" s="1"/>
  <c r="V17" i="444"/>
  <c r="W17" i="444" s="1"/>
  <c r="V25" i="444"/>
  <c r="W25" i="444" s="1"/>
  <c r="V31" i="444"/>
  <c r="W31" i="444" s="1"/>
  <c r="V105" i="444"/>
  <c r="W105" i="444" s="1"/>
  <c r="V125" i="444"/>
  <c r="W125" i="444" s="1"/>
  <c r="V131" i="444"/>
  <c r="W131" i="444" s="1"/>
  <c r="R19" i="385"/>
  <c r="V10" i="444"/>
  <c r="W10" i="444" s="1"/>
  <c r="V45" i="444"/>
  <c r="W45" i="444" s="1"/>
  <c r="V51" i="444"/>
  <c r="W51" i="444" s="1"/>
  <c r="V75" i="444"/>
  <c r="W75" i="444" s="1"/>
  <c r="V101" i="444"/>
  <c r="W101" i="444" s="1"/>
  <c r="V70" i="444"/>
  <c r="W70" i="444" s="1"/>
  <c r="V77" i="444"/>
  <c r="W77" i="444" s="1"/>
  <c r="V108" i="444"/>
  <c r="W108" i="444" s="1"/>
  <c r="V65" i="444"/>
  <c r="W65" i="444" s="1"/>
  <c r="V47" i="444"/>
  <c r="W47" i="444" s="1"/>
  <c r="V71" i="444"/>
  <c r="W71" i="444" s="1"/>
  <c r="V147" i="444"/>
  <c r="W147" i="444" s="1"/>
  <c r="V7" i="444"/>
  <c r="W7" i="444" s="1"/>
  <c r="V78" i="444"/>
  <c r="W78" i="444" s="1"/>
  <c r="V91" i="444"/>
  <c r="W91" i="444" s="1"/>
  <c r="V97" i="444"/>
  <c r="W97" i="444" s="1"/>
  <c r="V141" i="444"/>
  <c r="W141" i="444" s="1"/>
  <c r="V8" i="444"/>
  <c r="W8" i="444" s="1"/>
  <c r="V110" i="444"/>
  <c r="W110" i="444" s="1"/>
  <c r="V149" i="444"/>
  <c r="W149" i="444" s="1"/>
  <c r="V49" i="444"/>
  <c r="W49" i="444" s="1"/>
  <c r="V67" i="444"/>
  <c r="W67" i="444" s="1"/>
  <c r="V92" i="444"/>
  <c r="W92" i="444" s="1"/>
  <c r="V111" i="444"/>
  <c r="W111" i="444" s="1"/>
  <c r="V117" i="444"/>
  <c r="W117" i="444" s="1"/>
  <c r="V87" i="444"/>
  <c r="W87" i="444" s="1"/>
  <c r="V37" i="444"/>
  <c r="W37" i="444" s="1"/>
  <c r="R17" i="385"/>
  <c r="S23" i="385"/>
  <c r="S21" i="385"/>
  <c r="V109" i="444"/>
  <c r="W109" i="444" s="1"/>
  <c r="V115" i="444"/>
  <c r="W115" i="444" s="1"/>
  <c r="I36" i="385"/>
  <c r="P43" i="385"/>
  <c r="F28" i="385"/>
  <c r="F21" i="385"/>
  <c r="P27" i="385"/>
  <c r="P37" i="385"/>
  <c r="G41" i="385"/>
  <c r="P44" i="385"/>
  <c r="L53" i="385"/>
  <c r="I63" i="385"/>
  <c r="P64" i="385"/>
  <c r="L10" i="385"/>
  <c r="D12" i="385"/>
  <c r="K13" i="385"/>
  <c r="D15" i="385"/>
  <c r="K16" i="385"/>
  <c r="G21" i="385"/>
  <c r="R22" i="385"/>
  <c r="I24" i="385"/>
  <c r="I29" i="385"/>
  <c r="D31" i="385"/>
  <c r="P32" i="385"/>
  <c r="L34" i="385"/>
  <c r="F36" i="385"/>
  <c r="P39" i="385"/>
  <c r="D43" i="385"/>
  <c r="P46" i="385"/>
  <c r="I48" i="385"/>
  <c r="D50" i="385"/>
  <c r="D52" i="385"/>
  <c r="I56" i="385"/>
  <c r="C6" i="415"/>
  <c r="C27" i="415"/>
  <c r="D23" i="385"/>
  <c r="D40" i="385"/>
  <c r="P41" i="385"/>
  <c r="I7" i="385"/>
  <c r="D9" i="385"/>
  <c r="D18" i="385"/>
  <c r="D26" i="385"/>
  <c r="G36" i="385"/>
  <c r="I41" i="385"/>
  <c r="I50" i="385"/>
  <c r="P53" i="385"/>
  <c r="I66" i="385"/>
  <c r="I70" i="385"/>
  <c r="I74" i="385"/>
  <c r="I78" i="385"/>
  <c r="I82" i="385"/>
  <c r="I86" i="385"/>
  <c r="I90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I190" i="385"/>
  <c r="D27" i="415"/>
  <c r="C54" i="415"/>
  <c r="V85" i="444"/>
  <c r="W85" i="444" s="1"/>
  <c r="D6" i="385"/>
  <c r="P7" i="385"/>
  <c r="F9" i="385"/>
  <c r="P10" i="385"/>
  <c r="F12" i="385"/>
  <c r="F15" i="385"/>
  <c r="I21" i="385"/>
  <c r="F31" i="385"/>
  <c r="P34" i="385"/>
  <c r="F43" i="385"/>
  <c r="D45" i="385"/>
  <c r="K48" i="385"/>
  <c r="K50" i="385"/>
  <c r="F52" i="385"/>
  <c r="I59" i="385"/>
  <c r="P60" i="385"/>
  <c r="C7" i="415"/>
  <c r="D54" i="415"/>
  <c r="F45" i="385"/>
  <c r="C28" i="415"/>
  <c r="T113" i="444"/>
  <c r="U113" i="444" s="1"/>
  <c r="S113" i="444"/>
  <c r="S118" i="444"/>
  <c r="V118" i="444" s="1"/>
  <c r="W118" i="444" s="1"/>
  <c r="F6" i="385"/>
  <c r="I18" i="385"/>
  <c r="I26" i="385"/>
  <c r="D28" i="385"/>
  <c r="I31" i="385"/>
  <c r="I43" i="385"/>
  <c r="G45" i="385"/>
  <c r="I62" i="385"/>
  <c r="P63" i="385"/>
  <c r="D28" i="415"/>
  <c r="B4" i="383"/>
  <c r="V11" i="444"/>
  <c r="W11" i="444" s="1"/>
  <c r="V48" i="444"/>
  <c r="W48" i="444" s="1"/>
  <c r="T104" i="444"/>
  <c r="U104" i="444" s="1"/>
  <c r="V104" i="444" s="1"/>
  <c r="W104" i="444" s="1"/>
  <c r="V127" i="444"/>
  <c r="W127" i="444" s="1"/>
  <c r="V157" i="444"/>
  <c r="W157" i="444" s="1"/>
  <c r="S161" i="444"/>
  <c r="V161" i="444" s="1"/>
  <c r="W161" i="444" s="1"/>
  <c r="T53" i="444"/>
  <c r="U53" i="444" s="1"/>
  <c r="S53" i="444"/>
  <c r="V95" i="444"/>
  <c r="W95" i="444" s="1"/>
  <c r="F23" i="385"/>
  <c r="T44" i="444"/>
  <c r="U44" i="444" s="1"/>
  <c r="V44" i="444" s="1"/>
  <c r="W44" i="444" s="1"/>
  <c r="S72" i="444"/>
  <c r="V72" i="444" s="1"/>
  <c r="W72" i="444" s="1"/>
  <c r="S81" i="444"/>
  <c r="V81" i="444" s="1"/>
  <c r="W81" i="444" s="1"/>
  <c r="S90" i="444"/>
  <c r="V90" i="444" s="1"/>
  <c r="W90" i="444" s="1"/>
  <c r="S152" i="444"/>
  <c r="V152" i="444" s="1"/>
  <c r="W152" i="444" s="1"/>
  <c r="S35" i="444"/>
  <c r="V35" i="444" s="1"/>
  <c r="W35" i="444" s="1"/>
  <c r="S138" i="444"/>
  <c r="V138" i="444" s="1"/>
  <c r="W138" i="444" s="1"/>
  <c r="D33" i="385"/>
  <c r="I38" i="385"/>
  <c r="I89" i="385"/>
  <c r="I145" i="385"/>
  <c r="D8" i="385"/>
  <c r="K52" i="385"/>
  <c r="D5" i="385"/>
  <c r="P15" i="385"/>
  <c r="P26" i="385"/>
  <c r="K45" i="385"/>
  <c r="F49" i="385"/>
  <c r="S50" i="385"/>
  <c r="D9" i="415"/>
  <c r="S12" i="444"/>
  <c r="V12" i="444" s="1"/>
  <c r="W12" i="444" s="1"/>
  <c r="S21" i="444"/>
  <c r="V21" i="444" s="1"/>
  <c r="W21" i="444" s="1"/>
  <c r="S30" i="444"/>
  <c r="V30" i="444" s="1"/>
  <c r="W30" i="444" s="1"/>
  <c r="V128" i="444"/>
  <c r="W128" i="444" s="1"/>
  <c r="I12" i="385"/>
  <c r="I52" i="385"/>
  <c r="I77" i="385"/>
  <c r="I113" i="385"/>
  <c r="I133" i="385"/>
  <c r="I173" i="385"/>
  <c r="K12" i="385"/>
  <c r="I23" i="385"/>
  <c r="I65" i="385"/>
  <c r="L9" i="385"/>
  <c r="D14" i="385"/>
  <c r="G20" i="385"/>
  <c r="D25" i="385"/>
  <c r="F5" i="385"/>
  <c r="P6" i="385"/>
  <c r="F8" i="385"/>
  <c r="F11" i="385"/>
  <c r="G17" i="385"/>
  <c r="R21" i="385"/>
  <c r="K23" i="385"/>
  <c r="F25" i="385"/>
  <c r="I28" i="385"/>
  <c r="D30" i="385"/>
  <c r="K33" i="385"/>
  <c r="F35" i="385"/>
  <c r="P38" i="385"/>
  <c r="L45" i="385"/>
  <c r="I47" i="385"/>
  <c r="G49" i="385"/>
  <c r="P62" i="385"/>
  <c r="D19" i="415"/>
  <c r="C34" i="415"/>
  <c r="T133" i="444"/>
  <c r="U133" i="444" s="1"/>
  <c r="S133" i="444"/>
  <c r="S158" i="444"/>
  <c r="V158" i="444" s="1"/>
  <c r="W158" i="444" s="1"/>
  <c r="I15" i="385"/>
  <c r="P29" i="385"/>
  <c r="I97" i="385"/>
  <c r="I125" i="385"/>
  <c r="I141" i="385"/>
  <c r="I169" i="385"/>
  <c r="I185" i="385"/>
  <c r="D11" i="385"/>
  <c r="D35" i="385"/>
  <c r="P59" i="385"/>
  <c r="L12" i="385"/>
  <c r="F17" i="385"/>
  <c r="G40" i="385"/>
  <c r="G5" i="385"/>
  <c r="G8" i="385"/>
  <c r="P9" i="385"/>
  <c r="G11" i="385"/>
  <c r="P12" i="385"/>
  <c r="F14" i="385"/>
  <c r="I20" i="385"/>
  <c r="G25" i="385"/>
  <c r="L33" i="385"/>
  <c r="D37" i="385"/>
  <c r="I40" i="385"/>
  <c r="D42" i="385"/>
  <c r="D44" i="385"/>
  <c r="P47" i="385"/>
  <c r="D51" i="385"/>
  <c r="I54" i="385"/>
  <c r="P55" i="385"/>
  <c r="I61" i="385"/>
  <c r="C20" i="415"/>
  <c r="D34" i="415"/>
  <c r="V68" i="444"/>
  <c r="W68" i="444" s="1"/>
  <c r="T124" i="444"/>
  <c r="U124" i="444" s="1"/>
  <c r="V124" i="444" s="1"/>
  <c r="W124" i="444" s="1"/>
  <c r="P56" i="385"/>
  <c r="I69" i="385"/>
  <c r="D20" i="415"/>
  <c r="C46" i="415"/>
  <c r="V64" i="444"/>
  <c r="W64" i="444" s="1"/>
  <c r="T73" i="444"/>
  <c r="U73" i="444" s="1"/>
  <c r="S73" i="444"/>
  <c r="T153" i="444"/>
  <c r="U153" i="444" s="1"/>
  <c r="S153" i="444"/>
  <c r="I5" i="385"/>
  <c r="I8" i="385"/>
  <c r="I11" i="385"/>
  <c r="K14" i="385"/>
  <c r="K20" i="385"/>
  <c r="R23" i="385"/>
  <c r="I25" i="385"/>
  <c r="K30" i="385"/>
  <c r="P33" i="385"/>
  <c r="G37" i="385"/>
  <c r="K40" i="385"/>
  <c r="K42" i="385"/>
  <c r="F44" i="385"/>
  <c r="F51" i="385"/>
  <c r="D53" i="385"/>
  <c r="P58" i="385"/>
  <c r="P65" i="385"/>
  <c r="C35" i="415"/>
  <c r="C47" i="415"/>
  <c r="P13" i="385"/>
  <c r="I6" i="385"/>
  <c r="I109" i="385"/>
  <c r="K15" i="385"/>
  <c r="L38" i="385"/>
  <c r="I30" i="385"/>
  <c r="I42" i="385"/>
  <c r="I76" i="385"/>
  <c r="I112" i="385"/>
  <c r="D19" i="385"/>
  <c r="F32" i="385"/>
  <c r="P35" i="385"/>
  <c r="L42" i="385"/>
  <c r="G44" i="385"/>
  <c r="K49" i="385"/>
  <c r="F53" i="385"/>
  <c r="I57" i="385"/>
  <c r="C21" i="415"/>
  <c r="D47" i="415"/>
  <c r="T13" i="444"/>
  <c r="U13" i="444" s="1"/>
  <c r="S13" i="444"/>
  <c r="S18" i="444"/>
  <c r="V18" i="444" s="1"/>
  <c r="W18" i="444" s="1"/>
  <c r="S55" i="444"/>
  <c r="V55" i="444" s="1"/>
  <c r="W55" i="444" s="1"/>
  <c r="P31" i="385"/>
  <c r="I105" i="385"/>
  <c r="I161" i="385"/>
  <c r="I189" i="385"/>
  <c r="I58" i="385"/>
  <c r="I17" i="385"/>
  <c r="P45" i="385"/>
  <c r="I132" i="385"/>
  <c r="I152" i="385"/>
  <c r="I180" i="385"/>
  <c r="P28" i="385"/>
  <c r="K5" i="385"/>
  <c r="D7" i="385"/>
  <c r="K8" i="385"/>
  <c r="K11" i="385"/>
  <c r="D13" i="385"/>
  <c r="L17" i="385"/>
  <c r="I22" i="385"/>
  <c r="K25" i="385"/>
  <c r="G32" i="385"/>
  <c r="I37" i="385"/>
  <c r="D39" i="385"/>
  <c r="P40" i="385"/>
  <c r="L49" i="385"/>
  <c r="I51" i="385"/>
  <c r="G53" i="385"/>
  <c r="I64" i="385"/>
  <c r="D21" i="415"/>
  <c r="C36" i="415"/>
  <c r="T4" i="444"/>
  <c r="U4" i="444" s="1"/>
  <c r="V4" i="444" s="1"/>
  <c r="W4" i="444" s="1"/>
  <c r="S32" i="444"/>
  <c r="V32" i="444" s="1"/>
  <c r="W32" i="444" s="1"/>
  <c r="S41" i="444"/>
  <c r="V41" i="444" s="1"/>
  <c r="W41" i="444" s="1"/>
  <c r="S50" i="444"/>
  <c r="V50" i="444" s="1"/>
  <c r="W50" i="444" s="1"/>
  <c r="T144" i="444"/>
  <c r="U144" i="444" s="1"/>
  <c r="V144" i="444" s="1"/>
  <c r="W144" i="444" s="1"/>
  <c r="D47" i="385"/>
  <c r="I85" i="385"/>
  <c r="I121" i="385"/>
  <c r="I149" i="385"/>
  <c r="K9" i="385"/>
  <c r="D49" i="385"/>
  <c r="I35" i="385"/>
  <c r="I68" i="385"/>
  <c r="I104" i="385"/>
  <c r="I172" i="385"/>
  <c r="L14" i="385"/>
  <c r="L5" i="385"/>
  <c r="L8" i="385"/>
  <c r="D10" i="385"/>
  <c r="P11" i="385"/>
  <c r="F13" i="385"/>
  <c r="P14" i="385"/>
  <c r="F16" i="385"/>
  <c r="F19" i="385"/>
  <c r="K22" i="385"/>
  <c r="D24" i="385"/>
  <c r="L25" i="385"/>
  <c r="F27" i="385"/>
  <c r="P30" i="385"/>
  <c r="P42" i="385"/>
  <c r="I44" i="385"/>
  <c r="D46" i="385"/>
  <c r="D48" i="385"/>
  <c r="P54" i="385"/>
  <c r="P61" i="385"/>
  <c r="D39" i="415"/>
  <c r="C48" i="415"/>
  <c r="S135" i="444"/>
  <c r="V135" i="444" s="1"/>
  <c r="W135" i="444" s="1"/>
  <c r="I93" i="385"/>
  <c r="I129" i="385"/>
  <c r="I165" i="385"/>
  <c r="F20" i="385"/>
  <c r="F47" i="385"/>
  <c r="D32" i="385"/>
  <c r="I88" i="385"/>
  <c r="I116" i="385"/>
  <c r="I136" i="385"/>
  <c r="I168" i="385"/>
  <c r="D16" i="385"/>
  <c r="G13" i="385"/>
  <c r="I99" i="385"/>
  <c r="I123" i="385"/>
  <c r="I155" i="385"/>
  <c r="D22" i="415"/>
  <c r="D40" i="415"/>
  <c r="D48" i="415"/>
  <c r="V88" i="444"/>
  <c r="W88" i="444" s="1"/>
  <c r="T164" i="444"/>
  <c r="U164" i="444" s="1"/>
  <c r="V164" i="444" s="1"/>
  <c r="W164" i="444" s="1"/>
  <c r="F18" i="385"/>
  <c r="I9" i="385"/>
  <c r="I73" i="385"/>
  <c r="I101" i="385"/>
  <c r="I137" i="385"/>
  <c r="I153" i="385"/>
  <c r="I177" i="385"/>
  <c r="L6" i="385"/>
  <c r="P36" i="385"/>
  <c r="F40" i="385"/>
  <c r="G30" i="385"/>
  <c r="G14" i="385"/>
  <c r="G50" i="385"/>
  <c r="G46" i="385"/>
  <c r="G42" i="385"/>
  <c r="G38" i="385"/>
  <c r="G34" i="385"/>
  <c r="G26" i="385"/>
  <c r="G22" i="385"/>
  <c r="G18" i="385"/>
  <c r="G10" i="385"/>
  <c r="G6" i="385"/>
  <c r="F50" i="385"/>
  <c r="F46" i="385"/>
  <c r="F42" i="385"/>
  <c r="F38" i="385"/>
  <c r="F34" i="385"/>
  <c r="F30" i="385"/>
  <c r="G51" i="385"/>
  <c r="G47" i="385"/>
  <c r="G43" i="385"/>
  <c r="G39" i="385"/>
  <c r="G35" i="385"/>
  <c r="G31" i="385"/>
  <c r="G27" i="385"/>
  <c r="G23" i="385"/>
  <c r="G19" i="385"/>
  <c r="I14" i="385"/>
  <c r="D22" i="385"/>
  <c r="F37" i="385"/>
  <c r="I72" i="385"/>
  <c r="I84" i="385"/>
  <c r="I92" i="385"/>
  <c r="I100" i="385"/>
  <c r="I108" i="385"/>
  <c r="I120" i="385"/>
  <c r="I128" i="385"/>
  <c r="I140" i="385"/>
  <c r="I144" i="385"/>
  <c r="I156" i="385"/>
  <c r="I160" i="385"/>
  <c r="I176" i="385"/>
  <c r="I184" i="385"/>
  <c r="I188" i="385"/>
  <c r="F22" i="385"/>
  <c r="L30" i="385"/>
  <c r="F7" i="385"/>
  <c r="L22" i="385"/>
  <c r="K37" i="385"/>
  <c r="I46" i="385"/>
  <c r="I53" i="385"/>
  <c r="I67" i="385"/>
  <c r="I75" i="385"/>
  <c r="I87" i="385"/>
  <c r="I95" i="385"/>
  <c r="I103" i="385"/>
  <c r="I107" i="385"/>
  <c r="I115" i="385"/>
  <c r="I127" i="385"/>
  <c r="I131" i="385"/>
  <c r="I135" i="385"/>
  <c r="I147" i="385"/>
  <c r="I159" i="385"/>
  <c r="I167" i="385"/>
  <c r="I175" i="385"/>
  <c r="I187" i="385"/>
  <c r="P5" i="385"/>
  <c r="G7" i="385"/>
  <c r="P8" i="385"/>
  <c r="F10" i="385"/>
  <c r="I19" i="385"/>
  <c r="F24" i="385"/>
  <c r="P25" i="385"/>
  <c r="I27" i="385"/>
  <c r="F29" i="385"/>
  <c r="L37" i="385"/>
  <c r="D41" i="385"/>
  <c r="K44" i="385"/>
  <c r="K46" i="385"/>
  <c r="F48" i="385"/>
  <c r="R51" i="385"/>
  <c r="I60" i="385"/>
  <c r="V5" i="444"/>
  <c r="W5" i="444" s="1"/>
  <c r="V84" i="444"/>
  <c r="W84" i="444" s="1"/>
  <c r="T93" i="444"/>
  <c r="U93" i="444" s="1"/>
  <c r="S93" i="444"/>
  <c r="S98" i="444"/>
  <c r="V98" i="444" s="1"/>
  <c r="W98" i="444" s="1"/>
  <c r="S155" i="444"/>
  <c r="V155" i="444" s="1"/>
  <c r="W155" i="444" s="1"/>
  <c r="F26" i="385"/>
  <c r="D20" i="385"/>
  <c r="I81" i="385"/>
  <c r="I181" i="385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L35" i="385"/>
  <c r="L23" i="385"/>
  <c r="L19" i="385"/>
  <c r="L11" i="385"/>
  <c r="L7" i="385"/>
  <c r="D51" i="415"/>
  <c r="C38" i="415"/>
  <c r="D31" i="415"/>
  <c r="C18" i="415"/>
  <c r="L51" i="385"/>
  <c r="L47" i="385"/>
  <c r="L43" i="385"/>
  <c r="L39" i="385"/>
  <c r="L31" i="385"/>
  <c r="L27" i="385"/>
  <c r="L15" i="385"/>
  <c r="C51" i="415"/>
  <c r="C31" i="415"/>
  <c r="D24" i="415"/>
  <c r="K51" i="385"/>
  <c r="K47" i="385"/>
  <c r="K43" i="385"/>
  <c r="K39" i="385"/>
  <c r="K35" i="385"/>
  <c r="K31" i="385"/>
  <c r="K27" i="385"/>
  <c r="D37" i="415"/>
  <c r="C24" i="415"/>
  <c r="D50" i="415"/>
  <c r="C37" i="415"/>
  <c r="D30" i="415"/>
  <c r="C50" i="415"/>
  <c r="C30" i="415"/>
  <c r="D23" i="415"/>
  <c r="D36" i="415"/>
  <c r="C23" i="415"/>
  <c r="L52" i="385"/>
  <c r="L48" i="385"/>
  <c r="L44" i="385"/>
  <c r="L40" i="385"/>
  <c r="L36" i="385"/>
  <c r="L32" i="385"/>
  <c r="L28" i="385"/>
  <c r="L24" i="385"/>
  <c r="L20" i="385"/>
  <c r="D35" i="415"/>
  <c r="C22" i="415"/>
  <c r="D53" i="415"/>
  <c r="C40" i="415"/>
  <c r="D33" i="415"/>
  <c r="C53" i="415"/>
  <c r="D46" i="415"/>
  <c r="C33" i="415"/>
  <c r="D26" i="415"/>
  <c r="D6" i="415"/>
  <c r="D17" i="385"/>
  <c r="I33" i="385"/>
  <c r="K28" i="385"/>
  <c r="I49" i="385"/>
  <c r="I80" i="385"/>
  <c r="I96" i="385"/>
  <c r="I124" i="385"/>
  <c r="I148" i="385"/>
  <c r="I164" i="385"/>
  <c r="K17" i="385"/>
  <c r="D27" i="385"/>
  <c r="G16" i="385"/>
  <c r="D29" i="385"/>
  <c r="I32" i="385"/>
  <c r="D34" i="385"/>
  <c r="I71" i="385"/>
  <c r="I79" i="385"/>
  <c r="I83" i="385"/>
  <c r="I91" i="385"/>
  <c r="I111" i="385"/>
  <c r="I119" i="385"/>
  <c r="I139" i="385"/>
  <c r="I143" i="385"/>
  <c r="I151" i="385"/>
  <c r="I163" i="385"/>
  <c r="I171" i="385"/>
  <c r="I179" i="385"/>
  <c r="I183" i="385"/>
  <c r="I191" i="385"/>
  <c r="I10" i="385"/>
  <c r="I13" i="385"/>
  <c r="I16" i="385"/>
  <c r="D21" i="385"/>
  <c r="G24" i="385"/>
  <c r="G29" i="385"/>
  <c r="K32" i="385"/>
  <c r="I34" i="385"/>
  <c r="D36" i="385"/>
  <c r="I39" i="385"/>
  <c r="F41" i="385"/>
  <c r="L46" i="385"/>
  <c r="G48" i="385"/>
  <c r="K53" i="385"/>
  <c r="C26" i="415"/>
  <c r="C41" i="415"/>
  <c r="E41" i="415" s="1"/>
  <c r="D49" i="415"/>
  <c r="S121" i="444"/>
  <c r="V121" i="444" s="1"/>
  <c r="W121" i="444" s="1"/>
  <c r="S130" i="444"/>
  <c r="V130" i="444" s="1"/>
  <c r="W130" i="444" s="1"/>
  <c r="V24" i="444"/>
  <c r="W24" i="444" s="1"/>
  <c r="T33" i="444"/>
  <c r="U33" i="444" s="1"/>
  <c r="S33" i="444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2" i="444"/>
  <c r="V2" i="444" s="1"/>
  <c r="W2" i="444" s="1"/>
  <c r="S22" i="444"/>
  <c r="V22" i="444" s="1"/>
  <c r="W22" i="444" s="1"/>
  <c r="S42" i="444"/>
  <c r="V42" i="444" s="1"/>
  <c r="W42" i="444" s="1"/>
  <c r="S62" i="444"/>
  <c r="V62" i="444" s="1"/>
  <c r="W62" i="444" s="1"/>
  <c r="S82" i="444"/>
  <c r="V82" i="444" s="1"/>
  <c r="W82" i="444" s="1"/>
  <c r="S102" i="444"/>
  <c r="V102" i="444" s="1"/>
  <c r="W102" i="444" s="1"/>
  <c r="S122" i="444"/>
  <c r="V122" i="444" s="1"/>
  <c r="W122" i="444" s="1"/>
  <c r="S142" i="444"/>
  <c r="V142" i="444" s="1"/>
  <c r="W142" i="444" s="1"/>
  <c r="S162" i="444"/>
  <c r="V162" i="444" s="1"/>
  <c r="W162" i="444" s="1"/>
  <c r="S145" i="444"/>
  <c r="V145" i="444" s="1"/>
  <c r="W145" i="444" s="1"/>
  <c r="S165" i="444"/>
  <c r="V165" i="444" s="1"/>
  <c r="W165" i="444" s="1"/>
  <c r="S148" i="444"/>
  <c r="V148" i="444" s="1"/>
  <c r="W148" i="444" s="1"/>
  <c r="S70" i="385" l="1"/>
  <c r="S24" i="385"/>
  <c r="S76" i="385"/>
  <c r="S16" i="385"/>
  <c r="R52" i="385"/>
  <c r="E32" i="415"/>
  <c r="E29" i="415"/>
  <c r="S49" i="385"/>
  <c r="R72" i="385"/>
  <c r="R67" i="385"/>
  <c r="R73" i="385"/>
  <c r="R48" i="385"/>
  <c r="S69" i="385"/>
  <c r="R68" i="385"/>
  <c r="S66" i="385"/>
  <c r="E8" i="415"/>
  <c r="R71" i="385"/>
  <c r="E20" i="415"/>
  <c r="E54" i="415"/>
  <c r="E9" i="415"/>
  <c r="J33" i="385"/>
  <c r="H33" i="385"/>
  <c r="R57" i="385"/>
  <c r="E40" i="415"/>
  <c r="E22" i="415"/>
  <c r="E28" i="415"/>
  <c r="E5" i="415"/>
  <c r="M33" i="385"/>
  <c r="E33" i="385" s="1"/>
  <c r="E49" i="415"/>
  <c r="E30" i="415"/>
  <c r="E33" i="415"/>
  <c r="E26" i="415"/>
  <c r="E7" i="415"/>
  <c r="E25" i="415"/>
  <c r="M39" i="385"/>
  <c r="E39" i="385" s="1"/>
  <c r="E31" i="415"/>
  <c r="E51" i="415"/>
  <c r="E23" i="415"/>
  <c r="E47" i="415"/>
  <c r="E52" i="415"/>
  <c r="E19" i="415"/>
  <c r="E50" i="415"/>
  <c r="E39" i="415"/>
  <c r="E34" i="415"/>
  <c r="V133" i="444"/>
  <c r="W133" i="444" s="1"/>
  <c r="V153" i="444"/>
  <c r="W153" i="444" s="1"/>
  <c r="M17" i="385"/>
  <c r="E17" i="385" s="1"/>
  <c r="J17" i="385"/>
  <c r="H17" i="385"/>
  <c r="M31" i="385"/>
  <c r="E31" i="385" s="1"/>
  <c r="J31" i="385"/>
  <c r="H31" i="385"/>
  <c r="S40" i="385"/>
  <c r="R40" i="385"/>
  <c r="S26" i="385"/>
  <c r="R26" i="385"/>
  <c r="V53" i="444"/>
  <c r="W53" i="444" s="1"/>
  <c r="S46" i="385"/>
  <c r="R46" i="385"/>
  <c r="S44" i="385"/>
  <c r="R44" i="385"/>
  <c r="S36" i="385"/>
  <c r="R36" i="385"/>
  <c r="M27" i="385"/>
  <c r="E27" i="385" s="1"/>
  <c r="J27" i="385"/>
  <c r="H27" i="385"/>
  <c r="S47" i="385"/>
  <c r="R47" i="385"/>
  <c r="R38" i="385"/>
  <c r="S38" i="385"/>
  <c r="V113" i="444"/>
  <c r="W113" i="444" s="1"/>
  <c r="M9" i="385"/>
  <c r="E9" i="385" s="1"/>
  <c r="H9" i="385"/>
  <c r="J9" i="385"/>
  <c r="M21" i="385"/>
  <c r="E21" i="385" s="1"/>
  <c r="J21" i="385"/>
  <c r="H21" i="385"/>
  <c r="R7" i="385"/>
  <c r="S7" i="385"/>
  <c r="S32" i="385"/>
  <c r="R32" i="385"/>
  <c r="M28" i="385"/>
  <c r="E28" i="385" s="1"/>
  <c r="J28" i="385"/>
  <c r="H28" i="385"/>
  <c r="V13" i="444"/>
  <c r="W13" i="444" s="1"/>
  <c r="R43" i="385"/>
  <c r="S43" i="385"/>
  <c r="S37" i="385"/>
  <c r="R37" i="385"/>
  <c r="S10" i="385"/>
  <c r="R10" i="385"/>
  <c r="M35" i="385"/>
  <c r="E35" i="385" s="1"/>
  <c r="J35" i="385"/>
  <c r="H35" i="385"/>
  <c r="R13" i="385"/>
  <c r="S13" i="385"/>
  <c r="E53" i="415"/>
  <c r="M29" i="385"/>
  <c r="E29" i="385" s="1"/>
  <c r="J29" i="385"/>
  <c r="H29" i="385"/>
  <c r="J42" i="385"/>
  <c r="H42" i="385"/>
  <c r="M42" i="385"/>
  <c r="E42" i="385" s="1"/>
  <c r="M47" i="385"/>
  <c r="E47" i="385" s="1"/>
  <c r="J47" i="385"/>
  <c r="H47" i="385"/>
  <c r="M19" i="385"/>
  <c r="E19" i="385" s="1"/>
  <c r="J19" i="385"/>
  <c r="H19" i="385"/>
  <c r="J45" i="385"/>
  <c r="H45" i="385"/>
  <c r="M45" i="385"/>
  <c r="E45" i="385" s="1"/>
  <c r="S42" i="385"/>
  <c r="R42" i="385"/>
  <c r="J30" i="385"/>
  <c r="H30" i="385"/>
  <c r="M30" i="385"/>
  <c r="E30" i="385" s="1"/>
  <c r="J38" i="385"/>
  <c r="H38" i="385"/>
  <c r="M38" i="385"/>
  <c r="E38" i="385" s="1"/>
  <c r="E37" i="415"/>
  <c r="J46" i="385"/>
  <c r="H46" i="385"/>
  <c r="M46" i="385"/>
  <c r="E46" i="385" s="1"/>
  <c r="M20" i="385"/>
  <c r="E20" i="385" s="1"/>
  <c r="J20" i="385"/>
  <c r="H20" i="385"/>
  <c r="H16" i="385"/>
  <c r="M16" i="385"/>
  <c r="E16" i="385" s="1"/>
  <c r="J16" i="385"/>
  <c r="E35" i="415"/>
  <c r="V73" i="444"/>
  <c r="W73" i="444" s="1"/>
  <c r="S29" i="385"/>
  <c r="R29" i="385"/>
  <c r="M25" i="385"/>
  <c r="E25" i="385" s="1"/>
  <c r="H25" i="385"/>
  <c r="J25" i="385"/>
  <c r="J39" i="385"/>
  <c r="M36" i="385"/>
  <c r="E36" i="385" s="1"/>
  <c r="J36" i="385"/>
  <c r="H36" i="385"/>
  <c r="S25" i="385"/>
  <c r="R25" i="385"/>
  <c r="J50" i="385"/>
  <c r="H50" i="385"/>
  <c r="M50" i="385"/>
  <c r="E50" i="385" s="1"/>
  <c r="S14" i="385"/>
  <c r="R14" i="385"/>
  <c r="E21" i="415"/>
  <c r="S65" i="385"/>
  <c r="R65" i="385"/>
  <c r="S41" i="385"/>
  <c r="R41" i="385"/>
  <c r="H39" i="385"/>
  <c r="S55" i="385"/>
  <c r="R55" i="385"/>
  <c r="M15" i="385"/>
  <c r="E15" i="385" s="1"/>
  <c r="J15" i="385"/>
  <c r="H15" i="385"/>
  <c r="E24" i="415"/>
  <c r="M24" i="385"/>
  <c r="E24" i="385" s="1"/>
  <c r="J24" i="385"/>
  <c r="H24" i="385"/>
  <c r="H13" i="385"/>
  <c r="M13" i="385"/>
  <c r="E13" i="385" s="1"/>
  <c r="J13" i="385"/>
  <c r="S58" i="385"/>
  <c r="R58" i="385"/>
  <c r="R63" i="385"/>
  <c r="S63" i="385"/>
  <c r="S60" i="385"/>
  <c r="R60" i="385"/>
  <c r="S59" i="385"/>
  <c r="R59" i="385"/>
  <c r="E38" i="415"/>
  <c r="J18" i="385"/>
  <c r="H18" i="385"/>
  <c r="M18" i="385"/>
  <c r="E18" i="385" s="1"/>
  <c r="S11" i="385"/>
  <c r="R11" i="385"/>
  <c r="S28" i="385"/>
  <c r="R28" i="385"/>
  <c r="J53" i="385"/>
  <c r="H53" i="385"/>
  <c r="M53" i="385"/>
  <c r="E53" i="385" s="1"/>
  <c r="E46" i="415"/>
  <c r="J14" i="385"/>
  <c r="H14" i="385"/>
  <c r="M14" i="385"/>
  <c r="E14" i="385" s="1"/>
  <c r="S15" i="385"/>
  <c r="R15" i="385"/>
  <c r="J10" i="385"/>
  <c r="H10" i="385"/>
  <c r="M10" i="385"/>
  <c r="E10" i="385" s="1"/>
  <c r="M37" i="385"/>
  <c r="E37" i="385" s="1"/>
  <c r="J37" i="385"/>
  <c r="H37" i="385"/>
  <c r="E36" i="415"/>
  <c r="M51" i="385"/>
  <c r="E51" i="385" s="1"/>
  <c r="J51" i="385"/>
  <c r="H51" i="385"/>
  <c r="S12" i="385"/>
  <c r="R12" i="385"/>
  <c r="M11" i="385"/>
  <c r="E11" i="385" s="1"/>
  <c r="J11" i="385"/>
  <c r="H11" i="385"/>
  <c r="J52" i="385"/>
  <c r="M52" i="385"/>
  <c r="E52" i="385" s="1"/>
  <c r="H52" i="385"/>
  <c r="S31" i="385"/>
  <c r="R31" i="385"/>
  <c r="M12" i="385"/>
  <c r="E12" i="385" s="1"/>
  <c r="H12" i="385"/>
  <c r="J12" i="385"/>
  <c r="E18" i="415"/>
  <c r="V33" i="444"/>
  <c r="W33" i="444" s="1"/>
  <c r="J26" i="385"/>
  <c r="H26" i="385"/>
  <c r="M26" i="385"/>
  <c r="E26" i="385" s="1"/>
  <c r="S8" i="385"/>
  <c r="R8" i="385"/>
  <c r="M44" i="385"/>
  <c r="E44" i="385" s="1"/>
  <c r="J44" i="385"/>
  <c r="H44" i="385"/>
  <c r="M8" i="385"/>
  <c r="E8" i="385" s="1"/>
  <c r="J8" i="385"/>
  <c r="H8" i="385"/>
  <c r="E27" i="415"/>
  <c r="S56" i="385"/>
  <c r="R56" i="385"/>
  <c r="S9" i="385"/>
  <c r="R9" i="385"/>
  <c r="R6" i="385"/>
  <c r="S6" i="385"/>
  <c r="E6" i="415"/>
  <c r="M48" i="385"/>
  <c r="E48" i="385" s="1"/>
  <c r="J48" i="385"/>
  <c r="H48" i="385"/>
  <c r="S27" i="385"/>
  <c r="R27" i="385"/>
  <c r="J34" i="385"/>
  <c r="H34" i="385"/>
  <c r="M34" i="385"/>
  <c r="E34" i="385" s="1"/>
  <c r="E48" i="415"/>
  <c r="S5" i="385"/>
  <c r="R5" i="385"/>
  <c r="M7" i="385"/>
  <c r="E7" i="385" s="1"/>
  <c r="H7" i="385"/>
  <c r="J7" i="385"/>
  <c r="S45" i="385"/>
  <c r="R45" i="385"/>
  <c r="S35" i="385"/>
  <c r="R35" i="385"/>
  <c r="M5" i="385"/>
  <c r="E5" i="385" s="1"/>
  <c r="H5" i="385"/>
  <c r="J5" i="385"/>
  <c r="S64" i="385"/>
  <c r="R64" i="385"/>
  <c r="J6" i="385"/>
  <c r="H6" i="385"/>
  <c r="M6" i="385"/>
  <c r="E6" i="385" s="1"/>
  <c r="S53" i="385"/>
  <c r="R53" i="385"/>
  <c r="S30" i="385"/>
  <c r="R30" i="385"/>
  <c r="M41" i="385"/>
  <c r="E41" i="385" s="1"/>
  <c r="J41" i="385"/>
  <c r="H41" i="385"/>
  <c r="V93" i="444"/>
  <c r="W93" i="444" s="1"/>
  <c r="S61" i="385"/>
  <c r="R61" i="385"/>
  <c r="J32" i="385"/>
  <c r="H32" i="385"/>
  <c r="M32" i="385"/>
  <c r="E32" i="385" s="1"/>
  <c r="R62" i="385"/>
  <c r="S62" i="385"/>
  <c r="M43" i="385"/>
  <c r="E43" i="385" s="1"/>
  <c r="J43" i="385"/>
  <c r="H43" i="385"/>
  <c r="S39" i="385"/>
  <c r="R39" i="385"/>
  <c r="J40" i="385"/>
  <c r="M40" i="385"/>
  <c r="E40" i="385" s="1"/>
  <c r="H40" i="385"/>
  <c r="J22" i="385"/>
  <c r="H22" i="385"/>
  <c r="M22" i="385"/>
  <c r="E22" i="385" s="1"/>
  <c r="S54" i="385"/>
  <c r="R54" i="385"/>
  <c r="S33" i="385"/>
  <c r="R33" i="385"/>
  <c r="M49" i="385"/>
  <c r="E49" i="385" s="1"/>
  <c r="J49" i="385"/>
  <c r="H49" i="385"/>
  <c r="M23" i="385"/>
  <c r="E23" i="385" s="1"/>
  <c r="J23" i="385"/>
  <c r="H23" i="385"/>
  <c r="S34" i="385"/>
  <c r="R34" i="385"/>
  <c r="S63" i="89" a="1"/>
  <c r="S63" i="89" l="1"/>
  <c r="R63" i="89" a="1"/>
  <c r="R63" i="89" l="1"/>
  <c r="AE235" i="89"/>
  <c r="M235" i="89" l="1"/>
  <c r="I235" i="89"/>
  <c r="AA235" i="89" a="1"/>
  <c r="N235" i="89" a="1"/>
  <c r="AA235" i="89" l="1"/>
  <c r="N235" i="89"/>
  <c r="P235" i="89"/>
  <c r="Q235" i="89" s="1"/>
  <c r="AE234" i="89"/>
  <c r="AC235" i="89" l="1"/>
  <c r="Y235" i="89"/>
  <c r="U235" i="89"/>
  <c r="J235" i="89"/>
  <c r="A235" i="89" l="1"/>
  <c r="D235" i="89"/>
  <c r="M234" i="89" l="1"/>
  <c r="I234" i="89"/>
  <c r="AA234" i="89" a="1"/>
  <c r="N234" i="89" a="1"/>
  <c r="AA234" i="89" l="1"/>
  <c r="N234" i="89"/>
  <c r="AE233" i="89"/>
  <c r="P234" i="89" l="1"/>
  <c r="Q234" i="89" s="1"/>
  <c r="AC234" i="89"/>
  <c r="Y234" i="89"/>
  <c r="U234" i="89"/>
  <c r="J234" i="89"/>
  <c r="D234" i="89" l="1"/>
  <c r="A234" i="89"/>
  <c r="K239" i="89" l="1"/>
  <c r="I233" i="89"/>
  <c r="AA233" i="89" a="1"/>
  <c r="AA233" i="89" l="1"/>
  <c r="I239" i="89"/>
  <c r="M233" i="89"/>
  <c r="N233" i="89" a="1"/>
  <c r="N233" i="89" l="1"/>
  <c r="S233" i="89" a="1"/>
  <c r="P233" i="89" l="1"/>
  <c r="Q233" i="89" s="1"/>
  <c r="S233" i="89"/>
  <c r="R233" i="89" a="1"/>
  <c r="R233" i="89" l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P224" i="89" l="1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 l="1"/>
  <c r="Q223" i="89" s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 l="1"/>
  <c r="P226" i="89" s="1"/>
  <c r="Q226" i="89" s="1"/>
  <c r="W221" i="89"/>
  <c r="J221" i="89"/>
  <c r="I221" i="89"/>
  <c r="S222" i="89" a="1"/>
  <c r="Q222" i="89" l="1"/>
  <c r="S222" i="89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P213" i="89" l="1"/>
  <c r="Q213" i="89" s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S212" i="89" a="1"/>
  <c r="P212" i="89" l="1"/>
  <c r="Q212" i="89" s="1"/>
  <c r="S212" i="89"/>
  <c r="R212" i="89" a="1"/>
  <c r="R212" i="89" l="1"/>
  <c r="AC212" i="89"/>
  <c r="Y212" i="89"/>
  <c r="U212" i="89"/>
  <c r="J212" i="89"/>
  <c r="K216" i="89" l="1"/>
  <c r="M211" i="89"/>
  <c r="I211" i="89"/>
  <c r="H211" i="89"/>
  <c r="AA211" i="89" a="1"/>
  <c r="AA211" i="89" l="1"/>
  <c r="K217" i="89"/>
  <c r="I215" i="89"/>
  <c r="M218" i="89" s="1"/>
  <c r="I217" i="89"/>
  <c r="I219" i="89" s="1"/>
  <c r="N211" i="89" a="1"/>
  <c r="N211" i="89" l="1"/>
  <c r="W210" i="89"/>
  <c r="I210" i="89"/>
  <c r="S211" i="89" a="1"/>
  <c r="P211" i="89" l="1"/>
  <c r="P215" i="89" s="1"/>
  <c r="Q215" i="89" s="1"/>
  <c r="S211" i="89"/>
  <c r="R211" i="89" a="1"/>
  <c r="R211" i="89" l="1"/>
  <c r="C217" i="89"/>
  <c r="C218" i="89" s="1"/>
  <c r="Q211" i="89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N205" i="89" a="1"/>
  <c r="N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F204" i="89" a="1"/>
  <c r="F204" i="89" l="1"/>
  <c r="N204" i="89" a="1"/>
  <c r="N204" i="89" l="1"/>
  <c r="P204" i="89" l="1"/>
  <c r="Q204" i="89" s="1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M203" i="89"/>
  <c r="I203" i="89"/>
  <c r="H203" i="89"/>
  <c r="F203" i="89" a="1"/>
  <c r="F203" i="89" l="1"/>
  <c r="AE203" i="89"/>
  <c r="I206" i="89"/>
  <c r="I208" i="89"/>
  <c r="N203" i="89" a="1"/>
  <c r="N203" i="89" l="1"/>
  <c r="P203" i="89" l="1"/>
  <c r="P206" i="89" s="1"/>
  <c r="Q206" i="89" s="1"/>
  <c r="I202" i="89"/>
  <c r="S203" i="89" a="1"/>
  <c r="Q203" i="89" l="1"/>
  <c r="Q202" i="89" s="1"/>
  <c r="S203" i="89"/>
  <c r="R203" i="89" a="1"/>
  <c r="R203" i="89" l="1"/>
  <c r="AC203" i="89"/>
  <c r="Y203" i="89"/>
  <c r="U203" i="89"/>
  <c r="J203" i="89"/>
  <c r="Y207" i="89" l="1"/>
  <c r="M197" i="89" l="1"/>
  <c r="H197" i="89"/>
  <c r="I197" i="89" l="1"/>
  <c r="AE197" i="89"/>
  <c r="AA197" i="89" a="1"/>
  <c r="N197" i="89" a="1"/>
  <c r="AA197" i="89" l="1"/>
  <c r="N197" i="89"/>
  <c r="P197" i="89" l="1"/>
  <c r="Q197" i="89" s="1"/>
  <c r="AE196" i="89"/>
  <c r="AC197" i="89" l="1"/>
  <c r="Y197" i="89"/>
  <c r="U197" i="89"/>
  <c r="J197" i="89"/>
  <c r="M196" i="89" l="1"/>
  <c r="K198" i="89"/>
  <c r="I196" i="89"/>
  <c r="AA196" i="89" a="1"/>
  <c r="N196" i="89" a="1"/>
  <c r="AA196" i="89" l="1"/>
  <c r="N196" i="89"/>
  <c r="P196" i="89" l="1"/>
  <c r="Q196" i="89" s="1"/>
  <c r="S196" i="89"/>
  <c r="R196" i="89" s="1" a="1"/>
  <c r="R196" i="89" l="1"/>
  <c r="AC196" i="89"/>
  <c r="Y196" i="89"/>
  <c r="U196" i="89"/>
  <c r="J196" i="89"/>
  <c r="K199" i="89" l="1"/>
  <c r="H195" i="89"/>
  <c r="I195" i="89" l="1"/>
  <c r="M195" i="89"/>
  <c r="AE195" i="89"/>
  <c r="AA195" i="89" a="1"/>
  <c r="N195" i="89" a="1"/>
  <c r="AA195" i="89" l="1"/>
  <c r="I198" i="89"/>
  <c r="I200" i="89"/>
  <c r="N195" i="89"/>
  <c r="P195" i="89" l="1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P188" i="89" l="1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89" i="89"/>
  <c r="I191" i="89"/>
  <c r="N186" i="89"/>
  <c r="D186" i="89"/>
  <c r="P186" i="89" l="1"/>
  <c r="J185" i="89"/>
  <c r="I185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M180" i="89" l="1"/>
  <c r="I180" i="89" l="1"/>
  <c r="AE180" i="89"/>
  <c r="AA180" i="89" a="1"/>
  <c r="N180" i="89" a="1"/>
  <c r="AA180" i="89" l="1"/>
  <c r="N180" i="89"/>
  <c r="D180" i="89"/>
  <c r="P180" i="89" l="1"/>
  <c r="Q180" i="89" s="1"/>
  <c r="AE179" i="89"/>
  <c r="AC180" i="89" l="1"/>
  <c r="Y180" i="89"/>
  <c r="U180" i="89"/>
  <c r="J180" i="89"/>
  <c r="L179" i="89" a="1"/>
  <c r="L179" i="89" l="1"/>
  <c r="K179" i="89" a="1"/>
  <c r="K179" i="89" l="1"/>
  <c r="M179" i="89" s="1"/>
  <c r="K181" i="89"/>
  <c r="I179" i="89"/>
  <c r="N179" i="89" a="1"/>
  <c r="N179" i="89" l="1"/>
  <c r="D179" i="89"/>
  <c r="Z179" i="89" a="1"/>
  <c r="Z179" i="89" l="1"/>
  <c r="P179" i="89"/>
  <c r="S179" i="89" a="1"/>
  <c r="S179" i="89" l="1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I178" i="89"/>
  <c r="H178" i="89"/>
  <c r="AA178" i="89" a="1"/>
  <c r="F178" i="89" a="1"/>
  <c r="AA178" i="89" l="1"/>
  <c r="M178" i="89"/>
  <c r="F178" i="89"/>
  <c r="AE178" i="89"/>
  <c r="I183" i="89"/>
  <c r="I181" i="89"/>
  <c r="N178" i="89" a="1"/>
  <c r="N178" i="89" l="1"/>
  <c r="D178" i="89"/>
  <c r="Z178" i="89" a="1"/>
  <c r="Z178" i="89" l="1"/>
  <c r="P178" i="89"/>
  <c r="J177" i="89"/>
  <c r="I177" i="89"/>
  <c r="K177" i="89" l="1"/>
  <c r="P181" i="89"/>
  <c r="Q181" i="89" s="1"/>
  <c r="Q178" i="89"/>
  <c r="Q177" i="89" s="1"/>
  <c r="AC178" i="89" l="1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P171" i="89" l="1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P170" i="89" l="1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M169" i="89" l="1"/>
  <c r="I169" i="89"/>
  <c r="F169" i="89"/>
  <c r="AE169" i="89"/>
  <c r="AA169" i="89" a="1"/>
  <c r="N169" i="89" a="1"/>
  <c r="AA169" i="89" l="1"/>
  <c r="I174" i="89"/>
  <c r="I172" i="89"/>
  <c r="N169" i="89"/>
  <c r="D169" i="89"/>
  <c r="P169" i="89" l="1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K162" i="89"/>
  <c r="L164" i="89"/>
  <c r="M160" i="89"/>
  <c r="I160" i="89"/>
  <c r="I162" i="89" l="1"/>
  <c r="I163" i="89" s="1"/>
  <c r="P160" i="89"/>
  <c r="Q160" i="89" s="1"/>
  <c r="Q162" i="89" s="1"/>
  <c r="K164" i="89"/>
  <c r="K163" i="89"/>
  <c r="AG154" i="89" l="1"/>
  <c r="AC160" i="89" l="1"/>
  <c r="Y160" i="89"/>
  <c r="U160" i="89"/>
  <c r="J160" i="89"/>
  <c r="Y162" i="89" l="1"/>
  <c r="Y163" i="89" s="1"/>
  <c r="M154" i="89" l="1"/>
  <c r="I154" i="89" l="1"/>
  <c r="AA154" i="89" a="1"/>
  <c r="N154" i="89" a="1"/>
  <c r="AA154" i="89" l="1"/>
  <c r="N154" i="89"/>
  <c r="P154" i="89"/>
  <c r="Q154" i="89" s="1"/>
  <c r="AG153" i="89" l="1"/>
  <c r="AC154" i="89" l="1"/>
  <c r="Y154" i="89"/>
  <c r="U154" i="89"/>
  <c r="J154" i="89"/>
  <c r="T155" i="89" l="1"/>
  <c r="M153" i="89" l="1"/>
  <c r="L157" i="89"/>
  <c r="L166" i="89" s="1"/>
  <c r="K155" i="89"/>
  <c r="I155" i="89" l="1"/>
  <c r="I156" i="89" s="1"/>
  <c r="K157" i="89"/>
  <c r="K166" i="89" s="1"/>
  <c r="K156" i="89"/>
  <c r="N153" i="89" a="1"/>
  <c r="N153" i="89" l="1"/>
  <c r="P153" i="89" l="1"/>
  <c r="Q153" i="89" s="1"/>
  <c r="Q155" i="89" s="1"/>
  <c r="Q165" i="89" s="1"/>
  <c r="S153" i="89" a="1"/>
  <c r="Z152" i="89" l="1"/>
  <c r="S153" i="89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H136" i="89"/>
  <c r="F136" i="89" a="1"/>
  <c r="I136" i="89" l="1"/>
  <c r="F136" i="89"/>
  <c r="AG136" i="89"/>
  <c r="N136" i="89"/>
  <c r="I139" i="89" l="1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K131" i="89"/>
  <c r="L133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6" i="89"/>
  <c r="K125" i="89"/>
  <c r="N122" i="89"/>
  <c r="P122" i="89" l="1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I116" i="89" s="1"/>
  <c r="H116" i="89"/>
  <c r="F116" i="89" a="1"/>
  <c r="M116" i="89" l="1"/>
  <c r="F116" i="89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F115" i="89" a="1"/>
  <c r="M115" i="89" l="1"/>
  <c r="F115" i="89"/>
  <c r="I117" i="89"/>
  <c r="I118" i="89" s="1"/>
  <c r="N115" i="89"/>
  <c r="P115" i="89" l="1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AG102" i="89" l="1"/>
  <c r="P102" i="89"/>
  <c r="Q102" i="89" s="1"/>
  <c r="AG101" i="89" l="1"/>
  <c r="S102" i="89" a="1"/>
  <c r="S102" i="89" l="1"/>
  <c r="R102" i="89" a="1"/>
  <c r="R102" i="89" l="1"/>
  <c r="AC102" i="89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M82" i="89" l="1"/>
  <c r="H82" i="89"/>
  <c r="I82" i="89" l="1"/>
  <c r="AE82" i="89"/>
  <c r="P82" i="89" l="1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S81" i="89" a="1"/>
  <c r="N81" i="89" l="1"/>
  <c r="S81" i="89"/>
  <c r="R81" i="89" a="1"/>
  <c r="R81" i="89" l="1"/>
  <c r="P81" i="89"/>
  <c r="Q81" i="89" s="1"/>
  <c r="Q83" i="89" s="1"/>
  <c r="AC81" i="89"/>
  <c r="Y81" i="89"/>
  <c r="U81" i="89"/>
  <c r="J81" i="89"/>
  <c r="Y84" i="89" l="1"/>
  <c r="Y85" i="89" s="1"/>
  <c r="M76" i="89" l="1"/>
  <c r="I76" i="89"/>
  <c r="H76" i="89"/>
  <c r="AE76" i="89" l="1"/>
  <c r="P76" i="89"/>
  <c r="Q76" i="89" s="1"/>
  <c r="AE75" i="89" l="1"/>
  <c r="S76" i="89" a="1"/>
  <c r="S76" i="89" l="1"/>
  <c r="R76" i="89" a="1"/>
  <c r="R76" i="89" l="1"/>
  <c r="AC76" i="89"/>
  <c r="Y76" i="89"/>
  <c r="U76" i="89"/>
  <c r="J76" i="89"/>
  <c r="W79" i="89" l="1"/>
  <c r="T77" i="89" l="1"/>
  <c r="K78" i="89" l="1"/>
  <c r="K77" i="89"/>
  <c r="I75" i="89"/>
  <c r="M75" i="89" l="1"/>
  <c r="I77" i="89"/>
  <c r="I78" i="89" s="1"/>
  <c r="K85" i="89"/>
  <c r="N75" i="89" a="1"/>
  <c r="N75" i="89" l="1"/>
  <c r="P75" i="89" l="1"/>
  <c r="Q75" i="89" s="1"/>
  <c r="Q77" i="89" s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I69" i="89"/>
  <c r="H69" i="89"/>
  <c r="F69" i="89" a="1"/>
  <c r="F69" i="89" l="1"/>
  <c r="AE69" i="89"/>
  <c r="N69" i="89" a="1"/>
  <c r="N69" i="89" l="1"/>
  <c r="P69" i="89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F68" i="89" a="1"/>
  <c r="M68" i="89" l="1"/>
  <c r="F68" i="89"/>
  <c r="I70" i="89"/>
  <c r="I71" i="89" s="1"/>
  <c r="N79" i="89"/>
  <c r="K79" i="89"/>
  <c r="S68" i="89" a="1"/>
  <c r="N68" i="89" a="1"/>
  <c r="N68" i="89" l="1"/>
  <c r="S68" i="89"/>
  <c r="R68" i="89" a="1"/>
  <c r="R68" i="89" l="1"/>
  <c r="P68" i="89"/>
  <c r="Q68" i="89" s="1"/>
  <c r="Q70" i="89" s="1"/>
  <c r="AC68" i="89"/>
  <c r="Y68" i="89"/>
  <c r="U68" i="89"/>
  <c r="J68" i="89"/>
  <c r="Y71" i="89" l="1"/>
  <c r="Y72" i="89" s="1"/>
  <c r="M63" i="89" l="1"/>
  <c r="I63" i="89"/>
  <c r="H63" i="89"/>
  <c r="AA63" i="89" a="1"/>
  <c r="AA63" i="89" l="1"/>
  <c r="AE63" i="89"/>
  <c r="N63" i="89" a="1"/>
  <c r="N63" i="89" l="1"/>
  <c r="P63" i="89" l="1"/>
  <c r="Q63" i="89" s="1"/>
  <c r="AE62" i="89"/>
  <c r="AC63" i="89" l="1"/>
  <c r="Y63" i="89"/>
  <c r="U63" i="89"/>
  <c r="J63" i="89"/>
  <c r="T64" i="89" l="1"/>
  <c r="K64" i="89" l="1"/>
  <c r="M62" i="89"/>
  <c r="I62" i="89"/>
  <c r="AA62" i="89" a="1"/>
  <c r="AA62" i="89" l="1"/>
  <c r="I64" i="89"/>
  <c r="I65" i="89" s="1"/>
  <c r="K72" i="89"/>
  <c r="K65" i="89"/>
  <c r="K73" i="89" s="1"/>
  <c r="N62" i="89" a="1"/>
  <c r="N62" i="89" l="1"/>
  <c r="P62" i="89" l="1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N56" i="89" a="1"/>
  <c r="N56" i="89" l="1"/>
  <c r="P56" i="89" l="1"/>
  <c r="Q56" i="89" s="1"/>
  <c r="AE55" i="89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F55" i="89" a="1"/>
  <c r="M55" i="89" l="1"/>
  <c r="F55" i="89"/>
  <c r="I57" i="89"/>
  <c r="N55" i="89" a="1"/>
  <c r="N55" i="89" l="1"/>
  <c r="G57" i="89"/>
  <c r="I60" i="89"/>
  <c r="I58" i="89"/>
  <c r="P55" i="89" l="1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N50" i="89" a="1"/>
  <c r="N50" i="89" l="1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F49" i="89" a="1"/>
  <c r="M49" i="89" l="1"/>
  <c r="F49" i="89"/>
  <c r="K60" i="89"/>
  <c r="K59" i="89"/>
  <c r="N49" i="89" a="1"/>
  <c r="N49" i="89" l="1"/>
  <c r="P49" i="89"/>
  <c r="Q49" i="89" s="1"/>
  <c r="Q51" i="89" s="1"/>
  <c r="I48" i="89" l="1"/>
  <c r="P47" i="89"/>
  <c r="L46" i="89"/>
  <c r="K46" i="89"/>
  <c r="AE40" i="89"/>
  <c r="AC49" i="89" l="1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P40" i="89"/>
  <c r="Q40" i="89" s="1"/>
  <c r="AE39" i="89" l="1"/>
  <c r="AC40" i="89" l="1"/>
  <c r="Y40" i="89"/>
  <c r="U40" i="89"/>
  <c r="J40" i="89"/>
  <c r="A40" i="89"/>
  <c r="W43" i="89" l="1"/>
  <c r="T41" i="89" l="1"/>
  <c r="K42" i="89" l="1"/>
  <c r="K41" i="89"/>
  <c r="I39" i="89"/>
  <c r="M39" i="89" l="1"/>
  <c r="I41" i="89"/>
  <c r="I42" i="89" s="1"/>
  <c r="N39" i="89" a="1"/>
  <c r="N39" i="89" l="1"/>
  <c r="P39" i="89" l="1"/>
  <c r="P42" i="89" s="1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AE33" i="89" l="1"/>
  <c r="W37" i="89" l="1"/>
  <c r="T35" i="89" l="1"/>
  <c r="K36" i="89" l="1"/>
  <c r="K35" i="89"/>
  <c r="I33" i="89" l="1"/>
  <c r="M33" i="89"/>
  <c r="K44" i="89"/>
  <c r="L44" i="89"/>
  <c r="K43" i="89"/>
  <c r="AA33" i="89" a="1"/>
  <c r="N33" i="89" a="1"/>
  <c r="AA33" i="89" l="1"/>
  <c r="I35" i="89"/>
  <c r="I36" i="89" s="1"/>
  <c r="K37" i="89"/>
  <c r="N33" i="89"/>
  <c r="P33" i="89" l="1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M27" i="89" l="1"/>
  <c r="I27" i="89"/>
  <c r="AA27" i="89" a="1"/>
  <c r="AA27" i="89" l="1"/>
  <c r="AE27" i="89"/>
  <c r="N27" i="89" a="1"/>
  <c r="N27" i="89" l="1"/>
  <c r="P27" i="89" l="1"/>
  <c r="Q27" i="89" s="1"/>
  <c r="A27" i="89" l="1"/>
  <c r="AE26" i="89"/>
  <c r="AC27" i="89" l="1"/>
  <c r="Y27" i="89"/>
  <c r="U27" i="89"/>
  <c r="J27" i="89"/>
  <c r="T28" i="89" l="1"/>
  <c r="L30" i="89" l="1"/>
  <c r="K28" i="89"/>
  <c r="M26" i="89"/>
  <c r="I26" i="89"/>
  <c r="AA26" i="89" a="1"/>
  <c r="AA26" i="89" l="1"/>
  <c r="I28" i="89"/>
  <c r="K31" i="89"/>
  <c r="K30" i="89"/>
  <c r="K29" i="89"/>
  <c r="N26" i="89" a="1"/>
  <c r="N26" i="89" l="1"/>
  <c r="I29" i="89"/>
  <c r="P26" i="89" l="1"/>
  <c r="P29" i="89" l="1"/>
  <c r="Q26" i="89"/>
  <c r="Q28" i="89" s="1"/>
  <c r="A26" i="89"/>
  <c r="A29" i="89" s="1"/>
  <c r="I25" i="89"/>
  <c r="AL24" i="89"/>
  <c r="AK24" i="89"/>
  <c r="AJ20" i="89"/>
  <c r="AL21" i="89" s="1"/>
  <c r="AK21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F20" i="89"/>
  <c r="AE20" i="89"/>
  <c r="AA20" i="89" a="1"/>
  <c r="N20" i="89" a="1"/>
  <c r="AA20" i="89" l="1"/>
  <c r="I23" i="89"/>
  <c r="N20" i="89"/>
  <c r="P20" i="89"/>
  <c r="Q20" i="89" s="1"/>
  <c r="AJ19" i="89" l="1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L19" i="89"/>
  <c r="K19" i="89"/>
  <c r="K23" i="89" l="1"/>
  <c r="K22" i="89"/>
  <c r="L23" i="89"/>
  <c r="K21" i="89"/>
  <c r="M19" i="89"/>
  <c r="I19" i="89"/>
  <c r="AA19" i="89" a="1"/>
  <c r="F19" i="89"/>
  <c r="AA19" i="89" l="1"/>
  <c r="I21" i="89"/>
  <c r="I22" i="89" s="1"/>
  <c r="G18" i="89"/>
  <c r="N19" i="89" a="1"/>
  <c r="N19" i="89" l="1"/>
  <c r="AC19" i="89"/>
  <c r="Y19" i="89"/>
  <c r="U19" i="89"/>
  <c r="J19" i="89"/>
  <c r="P19" i="89" l="1"/>
  <c r="Y21" i="89"/>
  <c r="Y22" i="89" s="1"/>
  <c r="P22" i="89" l="1"/>
  <c r="P23" i="89" s="1"/>
  <c r="Q19" i="89"/>
  <c r="Q21" i="89" s="1"/>
  <c r="W14" i="89" a="1"/>
  <c r="W14" i="89" l="1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 l="1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6" i="89"/>
  <c r="K17" i="89"/>
  <c r="N13" i="89" a="1"/>
  <c r="N13" i="89" l="1"/>
  <c r="P13" i="89" l="1"/>
  <c r="P16" i="89" s="1"/>
  <c r="AI12" i="89"/>
  <c r="AH12" i="89"/>
  <c r="AI11" i="89"/>
  <c r="AH11" i="89"/>
  <c r="AJ11" i="89" s="1"/>
  <c r="S13" i="89" a="1"/>
  <c r="Q13" i="89" l="1"/>
  <c r="Q15" i="89" s="1"/>
  <c r="Q17" i="89" s="1"/>
  <c r="S13" i="89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N8" i="89" a="1"/>
  <c r="AA8" i="89" l="1"/>
  <c r="N8" i="89"/>
  <c r="P8" i="89" l="1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1" i="89"/>
  <c r="K10" i="89"/>
  <c r="K18" i="89" s="1"/>
  <c r="N7" i="89" a="1"/>
  <c r="N7" i="89" l="1"/>
  <c r="P7" i="89" l="1"/>
  <c r="P10" i="89" s="1"/>
  <c r="K5" i="89"/>
  <c r="H43" i="2"/>
  <c r="H42" i="2"/>
  <c r="H41" i="2"/>
  <c r="H40" i="2"/>
  <c r="J38" i="2"/>
  <c r="J37" i="2"/>
  <c r="J36" i="2"/>
  <c r="J35" i="2"/>
  <c r="J34" i="2"/>
  <c r="J33" i="2"/>
  <c r="J32" i="2"/>
  <c r="J31" i="2"/>
  <c r="Q7" i="89" l="1"/>
  <c r="Q9" i="89" s="1"/>
  <c r="Q11" i="89" s="1"/>
  <c r="J40" i="2"/>
  <c r="I40" i="2" s="1"/>
  <c r="J43" i="2"/>
  <c r="I43" i="2" s="1"/>
  <c r="J41" i="2"/>
  <c r="I41" i="2" s="1"/>
  <c r="J42" i="2"/>
  <c r="I42" i="2" s="1"/>
  <c r="Q5" i="89" l="1"/>
  <c r="AC7" i="89"/>
  <c r="Y7" i="89"/>
  <c r="U7" i="89"/>
  <c r="J7" i="89"/>
  <c r="J11" i="89" s="1"/>
  <c r="Y9" i="89" l="1"/>
  <c r="Y10" i="89" l="1"/>
  <c r="P11" i="89"/>
  <c r="Q32" i="1" l="1"/>
  <c r="BA19" i="2" l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BB19" i="2"/>
  <c r="BC19" i="2" s="1"/>
  <c r="G19" i="2" a="1"/>
  <c r="G19" i="2" l="1"/>
  <c r="O19" i="2"/>
  <c r="S19" i="2" a="1"/>
  <c r="S19" i="2" l="1"/>
  <c r="AO19" i="2" s="1"/>
  <c r="AP19" i="2" l="1"/>
  <c r="U19" i="2"/>
  <c r="AE19" i="2"/>
  <c r="AT19" i="2"/>
  <c r="AS19" i="2"/>
  <c r="AL19" i="2"/>
  <c r="AB19" i="2"/>
  <c r="M19" i="2"/>
  <c r="Q25" i="1" l="1"/>
  <c r="AM19" i="2"/>
  <c r="X19" i="2"/>
  <c r="Y19" i="2" s="1"/>
  <c r="BA13" i="2" l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BB13" i="2"/>
  <c r="BC13" i="2" s="1"/>
  <c r="G13" i="2" a="1"/>
  <c r="G13" i="2" l="1"/>
  <c r="O13" i="2"/>
  <c r="S13" i="2" a="1"/>
  <c r="S13" i="2" l="1"/>
  <c r="U13" i="2" s="1"/>
  <c r="AP13" i="2" l="1"/>
  <c r="AO13" i="2"/>
  <c r="AE13" i="2"/>
  <c r="AT13" i="2"/>
  <c r="AS13" i="2"/>
  <c r="AL13" i="2"/>
  <c r="AB13" i="2"/>
  <c r="M13" i="2"/>
  <c r="AM13" i="2" l="1"/>
  <c r="X13" i="2"/>
  <c r="Y13" i="2" s="1"/>
  <c r="BA12" i="2" l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BB12" i="2"/>
  <c r="BC12" i="2" s="1"/>
  <c r="G12" i="2" a="1"/>
  <c r="G12" i="2" l="1"/>
  <c r="O12" i="2"/>
  <c r="S12" i="2" a="1"/>
  <c r="S12" i="2" l="1"/>
  <c r="AO12" i="2" s="1"/>
  <c r="Z12" i="2"/>
  <c r="AV12" i="2" s="1" a="1"/>
  <c r="AV12" i="2" l="1"/>
  <c r="U12" i="2"/>
  <c r="AP12" i="2"/>
  <c r="AE12" i="2"/>
  <c r="AT12" i="2"/>
  <c r="AS12" i="2"/>
  <c r="AL12" i="2"/>
  <c r="Q36" i="1" s="1"/>
  <c r="AB12" i="2"/>
  <c r="M12" i="2"/>
  <c r="AM12" i="2" l="1"/>
  <c r="X12" i="2"/>
  <c r="Y12" i="2" s="1"/>
  <c r="BA10" i="2" l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BB10" i="2"/>
  <c r="BC10" i="2" s="1"/>
  <c r="G10" i="2" a="1"/>
  <c r="G10" i="2" l="1"/>
  <c r="O10" i="2"/>
  <c r="S10" i="2" a="1"/>
  <c r="S10" i="2" l="1"/>
  <c r="AO10" i="2" s="1"/>
  <c r="Z10" i="2"/>
  <c r="AV10" i="2" s="1" a="1"/>
  <c r="AV10" i="2" l="1"/>
  <c r="AP10" i="2"/>
  <c r="U10" i="2"/>
  <c r="AE10" i="2"/>
  <c r="AT10" i="2"/>
  <c r="AS10" i="2"/>
  <c r="AL10" i="2"/>
  <c r="AB10" i="2"/>
  <c r="M10" i="2"/>
  <c r="Q24" i="1" l="1"/>
  <c r="AM10" i="2"/>
  <c r="X10" i="2"/>
  <c r="Y10" i="2" s="1"/>
  <c r="Q28" i="1" l="1"/>
  <c r="BA6" i="2" l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BB6" i="2"/>
  <c r="BC6" i="2" s="1"/>
  <c r="G6" i="2" a="1"/>
  <c r="G6" i="2" l="1"/>
  <c r="O6" i="2"/>
  <c r="S6" i="2" a="1"/>
  <c r="S6" i="2" l="1"/>
  <c r="U6" i="2" s="1"/>
  <c r="Z6" i="2"/>
  <c r="AV6" i="2" s="1" a="1"/>
  <c r="AV6" i="2" l="1"/>
  <c r="AP6" i="2"/>
  <c r="AO6" i="2"/>
  <c r="AE6" i="2"/>
  <c r="AT6" i="2"/>
  <c r="AS6" i="2"/>
  <c r="AL6" i="2"/>
  <c r="AB6" i="2"/>
  <c r="M6" i="2"/>
  <c r="T31" i="1" l="1"/>
  <c r="AM6" i="2"/>
  <c r="X6" i="2"/>
  <c r="Y6" i="2" s="1"/>
  <c r="Q30" i="1" l="1"/>
  <c r="BA5" i="2"/>
  <c r="AN5" i="2" a="1"/>
  <c r="AN5" i="2" l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U5" i="2" s="1"/>
  <c r="AO5" i="2" l="1"/>
  <c r="AP5" i="2"/>
  <c r="AE5" i="2"/>
  <c r="AT5" i="2"/>
  <c r="AS5" i="2"/>
  <c r="AL5" i="2"/>
  <c r="AB5" i="2"/>
  <c r="M5" i="2"/>
  <c r="U2" i="2"/>
  <c r="R2" i="2"/>
  <c r="Q2" i="2" a="1"/>
  <c r="Q2" i="2" l="1"/>
  <c r="S2" i="2" s="1"/>
  <c r="AM5" i="2"/>
  <c r="X5" i="2"/>
  <c r="Y5" i="2" s="1"/>
  <c r="P2" i="2" a="1"/>
  <c r="P2" i="2" l="1"/>
  <c r="L2" i="2" a="1"/>
  <c r="L2" i="2" l="1"/>
  <c r="I2" i="2" l="1"/>
  <c r="X1" i="2"/>
  <c r="R1" i="2"/>
  <c r="O1" i="2"/>
  <c r="H1" i="2"/>
  <c r="N39" i="1" l="1"/>
  <c r="J39" i="1"/>
  <c r="T39" i="1" l="1"/>
  <c r="N37" i="1" l="1"/>
  <c r="J37" i="1"/>
  <c r="T37" i="1" l="1"/>
  <c r="N36" i="1" l="1"/>
  <c r="J36" i="1"/>
  <c r="T36" i="1" l="1"/>
  <c r="N35" i="1" l="1"/>
  <c r="J35" i="1"/>
  <c r="T35" i="1" l="1"/>
  <c r="N32" i="1" l="1"/>
  <c r="J32" i="1"/>
  <c r="T32" i="1" l="1"/>
  <c r="N30" i="1" l="1"/>
  <c r="J30" i="1"/>
  <c r="T30" i="1" l="1"/>
  <c r="N28" i="1" l="1"/>
  <c r="J28" i="1"/>
  <c r="T28" i="1" l="1"/>
  <c r="N27" i="1" l="1"/>
  <c r="J27" i="1"/>
  <c r="T27" i="1" l="1"/>
  <c r="N26" i="1" l="1"/>
  <c r="J26" i="1"/>
  <c r="T26" i="1" l="1"/>
  <c r="N25" i="1" l="1"/>
  <c r="J25" i="1"/>
  <c r="T25" i="1" l="1"/>
  <c r="N24" i="1" l="1"/>
  <c r="J24" i="1"/>
  <c r="T24" i="1" l="1"/>
  <c r="Q14" i="1" l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38" i="1" l="1"/>
  <c r="AH38" i="1"/>
  <c r="P20" i="1"/>
  <c r="P21" i="1"/>
  <c r="P19" i="1"/>
  <c r="AH21" i="1"/>
  <c r="AH20" i="1"/>
  <c r="AH19" i="1"/>
  <c r="P29" i="1"/>
  <c r="AD29" i="1" s="1"/>
  <c r="AH29" i="1"/>
  <c r="P31" i="1"/>
  <c r="AD31" i="1" s="1"/>
  <c r="AH31" i="1"/>
  <c r="P22" i="1"/>
  <c r="AD22" i="1" s="1"/>
  <c r="AH22" i="1"/>
  <c r="P34" i="1"/>
  <c r="AH34" i="1"/>
  <c r="P15" i="1"/>
  <c r="AH15" i="1"/>
  <c r="BD21" i="2"/>
  <c r="BD22" i="2"/>
  <c r="BD20" i="2"/>
  <c r="AK21" i="2"/>
  <c r="V20" i="2"/>
  <c r="AK20" i="2"/>
  <c r="AI22" i="2"/>
  <c r="AI20" i="2"/>
  <c r="V22" i="2"/>
  <c r="V21" i="2"/>
  <c r="AI21" i="2"/>
  <c r="AK22" i="2"/>
  <c r="W21" i="2"/>
  <c r="W22" i="2"/>
  <c r="W20" i="2"/>
  <c r="BD16" i="2"/>
  <c r="AI16" i="2"/>
  <c r="AK16" i="2"/>
  <c r="V16" i="2"/>
  <c r="W16" i="2"/>
  <c r="J55" i="54"/>
  <c r="P33" i="1"/>
  <c r="AH33" i="1"/>
  <c r="BD18" i="2"/>
  <c r="V18" i="2"/>
  <c r="AK18" i="2"/>
  <c r="W18" i="2"/>
  <c r="BD4" i="2"/>
  <c r="AK4" i="2"/>
  <c r="V4" i="2"/>
  <c r="AI4" i="2"/>
  <c r="W4" i="2"/>
  <c r="BD24" i="2"/>
  <c r="BD23" i="2"/>
  <c r="V23" i="2"/>
  <c r="AK24" i="2"/>
  <c r="AI24" i="2"/>
  <c r="AK23" i="2"/>
  <c r="V24" i="2"/>
  <c r="AI23" i="2"/>
  <c r="W24" i="2"/>
  <c r="W23" i="2"/>
  <c r="BD9" i="2"/>
  <c r="V9" i="2"/>
  <c r="AK9" i="2"/>
  <c r="W9" i="2"/>
  <c r="AI9" i="2"/>
  <c r="BD11" i="2"/>
  <c r="AI11" i="2"/>
  <c r="AK11" i="2"/>
  <c r="V11" i="2"/>
  <c r="W11" i="2"/>
  <c r="BD15" i="2"/>
  <c r="BD14" i="2"/>
  <c r="AI14" i="2"/>
  <c r="AK14" i="2"/>
  <c r="V14" i="2"/>
  <c r="AK15" i="2"/>
  <c r="V15" i="2"/>
  <c r="AI15" i="2"/>
  <c r="W14" i="2"/>
  <c r="W15" i="2"/>
  <c r="P40" i="1"/>
  <c r="AH40" i="1"/>
  <c r="P41" i="1"/>
  <c r="V41" i="1" s="1"/>
  <c r="BD8" i="2"/>
  <c r="BD7" i="2"/>
  <c r="AK7" i="2"/>
  <c r="V7" i="2"/>
  <c r="AI7" i="2"/>
  <c r="AI8" i="2"/>
  <c r="V8" i="2"/>
  <c r="AK8" i="2"/>
  <c r="W8" i="2"/>
  <c r="W7" i="2"/>
  <c r="P23" i="1"/>
  <c r="P18" i="1"/>
  <c r="V18" i="1" s="1"/>
  <c r="P16" i="1"/>
  <c r="BD19" i="2"/>
  <c r="AK19" i="2"/>
  <c r="V19" i="2"/>
  <c r="AI19" i="2"/>
  <c r="W19" i="2"/>
  <c r="BD13" i="2"/>
  <c r="V13" i="2"/>
  <c r="AK13" i="2"/>
  <c r="AI13" i="2"/>
  <c r="W13" i="2"/>
  <c r="BD12" i="2"/>
  <c r="V12" i="2"/>
  <c r="AK12" i="2"/>
  <c r="AI12" i="2"/>
  <c r="W12" i="2"/>
  <c r="BD10" i="2"/>
  <c r="V10" i="2"/>
  <c r="AK10" i="2"/>
  <c r="AI10" i="2"/>
  <c r="W10" i="2"/>
  <c r="BD6" i="2"/>
  <c r="V6" i="2"/>
  <c r="AK6" i="2"/>
  <c r="AI6" i="2"/>
  <c r="W6" i="2"/>
  <c r="BD5" i="2"/>
  <c r="AK5" i="2"/>
  <c r="AI5" i="2"/>
  <c r="V5" i="2"/>
  <c r="W5" i="2"/>
  <c r="AH41" i="1"/>
  <c r="P39" i="1"/>
  <c r="AH39" i="1"/>
  <c r="P37" i="1"/>
  <c r="AH37" i="1"/>
  <c r="P36" i="1"/>
  <c r="AH36" i="1"/>
  <c r="P35" i="1"/>
  <c r="AH35" i="1"/>
  <c r="P32" i="1"/>
  <c r="AH32" i="1"/>
  <c r="P30" i="1"/>
  <c r="AH30" i="1"/>
  <c r="P28" i="1"/>
  <c r="AH28" i="1"/>
  <c r="P27" i="1"/>
  <c r="AH27" i="1"/>
  <c r="P26" i="1"/>
  <c r="AH26" i="1"/>
  <c r="P25" i="1"/>
  <c r="AH25" i="1"/>
  <c r="P24" i="1"/>
  <c r="AH24" i="1"/>
  <c r="AH23" i="1"/>
  <c r="AH18" i="1"/>
  <c r="AH16" i="1"/>
  <c r="P14" i="1"/>
  <c r="AH14" i="1"/>
  <c r="P13" i="1"/>
  <c r="AH13" i="1"/>
  <c r="P12" i="1"/>
  <c r="AH12" i="1"/>
  <c r="AH10" i="1" s="1"/>
  <c r="AD8" i="1"/>
  <c r="AD38" i="1" l="1"/>
  <c r="V38" i="1"/>
  <c r="AD19" i="1"/>
  <c r="V19" i="1"/>
  <c r="AD21" i="1"/>
  <c r="V21" i="1"/>
  <c r="V20" i="1"/>
  <c r="AD20" i="1"/>
  <c r="V31" i="1"/>
  <c r="V22" i="1"/>
  <c r="V29" i="1"/>
  <c r="AD34" i="1"/>
  <c r="V34" i="1"/>
  <c r="AD15" i="1"/>
  <c r="V15" i="1"/>
  <c r="S33" i="1"/>
  <c r="V33" i="1" s="1"/>
  <c r="S23" i="1"/>
  <c r="V23" i="1" s="1"/>
  <c r="AD33" i="1"/>
  <c r="S28" i="1"/>
  <c r="V28" i="1" s="1"/>
  <c r="S25" i="1"/>
  <c r="V25" i="1" s="1"/>
  <c r="S36" i="1"/>
  <c r="S30" i="1"/>
  <c r="V30" i="1" s="1"/>
  <c r="S24" i="1"/>
  <c r="V24" i="1" s="1"/>
  <c r="S32" i="1"/>
  <c r="V32" i="1" s="1"/>
  <c r="S14" i="1"/>
  <c r="V14" i="1" s="1"/>
  <c r="AD40" i="1"/>
  <c r="V40" i="1"/>
  <c r="S16" i="1"/>
  <c r="V16" i="1" s="1"/>
  <c r="W1" i="2"/>
  <c r="V1" i="2"/>
  <c r="J7" i="1"/>
  <c r="AD39" i="1"/>
  <c r="V39" i="1"/>
  <c r="AD35" i="1"/>
  <c r="V35" i="1"/>
  <c r="AI1" i="2"/>
  <c r="AJ17" i="2" s="1"/>
  <c r="AD26" i="1"/>
  <c r="V26" i="1"/>
  <c r="AD27" i="1"/>
  <c r="V27" i="1"/>
  <c r="AD30" i="1"/>
  <c r="AD23" i="1"/>
  <c r="AD28" i="1"/>
  <c r="AD13" i="1"/>
  <c r="V13" i="1"/>
  <c r="AD16" i="1"/>
  <c r="AD14" i="1"/>
  <c r="AD18" i="1"/>
  <c r="AD24" i="1"/>
  <c r="AD25" i="1"/>
  <c r="AD37" i="1"/>
  <c r="V37" i="1"/>
  <c r="AD32" i="1"/>
  <c r="AD36" i="1"/>
  <c r="AD41" i="1"/>
  <c r="AD12" i="1"/>
  <c r="V12" i="1"/>
  <c r="P10" i="1"/>
  <c r="P7" i="1"/>
  <c r="AJ21" i="2" l="1"/>
  <c r="AJ22" i="2"/>
  <c r="AJ20" i="2"/>
  <c r="AJ16" i="2"/>
  <c r="AJ4" i="2"/>
  <c r="AJ24" i="2"/>
  <c r="AJ23" i="2"/>
  <c r="AJ11" i="2"/>
  <c r="AJ9" i="2"/>
  <c r="AJ15" i="2"/>
  <c r="AJ14" i="2"/>
  <c r="V9" i="1"/>
  <c r="AJ13" i="2"/>
  <c r="AJ8" i="2"/>
  <c r="AJ7" i="2"/>
  <c r="AJ12" i="2"/>
  <c r="AJ19" i="2"/>
  <c r="S10" i="1"/>
  <c r="AD10" i="1"/>
  <c r="V36" i="1"/>
  <c r="S7" i="1"/>
  <c r="AJ10" i="2"/>
  <c r="AJ5" i="2"/>
  <c r="AJ6" i="2"/>
  <c r="D7" i="1" l="1"/>
  <c r="AE6" i="1"/>
  <c r="V6" i="1"/>
  <c r="S6" i="1"/>
  <c r="P6" i="1"/>
  <c r="J6" i="1" l="1"/>
  <c r="D6" i="1" l="1"/>
  <c r="AE5" i="1"/>
  <c r="V5" i="1"/>
  <c r="V7" i="1" s="1"/>
  <c r="V10" i="1" s="1"/>
  <c r="S5" i="1"/>
  <c r="P5" i="1"/>
  <c r="X34" i="89" l="1"/>
  <c r="AD34" i="89"/>
  <c r="AD237" i="89"/>
  <c r="X237" i="89"/>
  <c r="AD236" i="89"/>
  <c r="X236" i="89"/>
  <c r="X235" i="89"/>
  <c r="AD235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AD160" i="89"/>
  <c r="AD162" i="89" s="1"/>
  <c r="X160" i="89"/>
  <c r="X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X129" i="89"/>
  <c r="X131" i="89" s="1"/>
  <c r="AD129" i="89"/>
  <c r="AD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AD108" i="89"/>
  <c r="AD110" i="89" s="1"/>
  <c r="X108" i="89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3" i="89"/>
  <c r="AD33" i="89"/>
  <c r="AD35" i="89" s="1"/>
  <c r="X27" i="89"/>
  <c r="AD27" i="89"/>
  <c r="AD26" i="89"/>
  <c r="AD28" i="89" s="1"/>
  <c r="X26" i="89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B1" i="2"/>
  <c r="K1" i="2"/>
  <c r="L1" i="2"/>
  <c r="O38" i="1" l="1"/>
  <c r="U38" i="1"/>
  <c r="O20" i="1"/>
  <c r="O21" i="1"/>
  <c r="O19" i="1"/>
  <c r="U19" i="1"/>
  <c r="U20" i="1"/>
  <c r="U21" i="1"/>
  <c r="O29" i="1"/>
  <c r="U29" i="1"/>
  <c r="O31" i="1"/>
  <c r="U31" i="1"/>
  <c r="O22" i="1"/>
  <c r="U22" i="1"/>
  <c r="O34" i="1"/>
  <c r="R34" i="1"/>
  <c r="U34" i="1"/>
  <c r="O15" i="1"/>
  <c r="U15" i="1"/>
  <c r="AH20" i="2"/>
  <c r="AH21" i="2"/>
  <c r="AG20" i="2"/>
  <c r="AG21" i="2"/>
  <c r="AG22" i="2"/>
  <c r="AH22" i="2"/>
  <c r="AH16" i="2"/>
  <c r="AG16" i="2"/>
  <c r="O33" i="1"/>
  <c r="R33" i="1"/>
  <c r="U33" i="1"/>
  <c r="AH4" i="2"/>
  <c r="AG4" i="2"/>
  <c r="AH24" i="2"/>
  <c r="AG24" i="2"/>
  <c r="AH23" i="2"/>
  <c r="AG23" i="2"/>
  <c r="AG9" i="2"/>
  <c r="AH9" i="2"/>
  <c r="AH11" i="2"/>
  <c r="AG11" i="2"/>
  <c r="X110" i="89"/>
  <c r="X146" i="89"/>
  <c r="R40" i="1"/>
  <c r="R26" i="1"/>
  <c r="R18" i="1"/>
  <c r="R39" i="1"/>
  <c r="R37" i="1"/>
  <c r="R23" i="1"/>
  <c r="R41" i="1"/>
  <c r="R35" i="1"/>
  <c r="R27" i="1"/>
  <c r="R32" i="1"/>
  <c r="R25" i="1"/>
  <c r="R36" i="1"/>
  <c r="R24" i="1"/>
  <c r="R28" i="1"/>
  <c r="R30" i="1"/>
  <c r="X103" i="89"/>
  <c r="AG15" i="2"/>
  <c r="AH14" i="2"/>
  <c r="AG14" i="2"/>
  <c r="AH15" i="2"/>
  <c r="X70" i="89"/>
  <c r="O40" i="1"/>
  <c r="U40" i="1"/>
  <c r="X9" i="89"/>
  <c r="X77" i="89"/>
  <c r="AH7" i="2"/>
  <c r="AG7" i="2"/>
  <c r="AG8" i="2"/>
  <c r="AH8" i="2"/>
  <c r="O23" i="1"/>
  <c r="O16" i="1"/>
  <c r="O18" i="1"/>
  <c r="R16" i="1"/>
  <c r="U23" i="1"/>
  <c r="U18" i="1"/>
  <c r="U16" i="1"/>
  <c r="O41" i="1"/>
  <c r="U41" i="1"/>
  <c r="X41" i="89"/>
  <c r="X35" i="89"/>
  <c r="X124" i="89"/>
  <c r="X91" i="89"/>
  <c r="X51" i="89"/>
  <c r="X97" i="89"/>
  <c r="X64" i="89"/>
  <c r="X206" i="89"/>
  <c r="X208" i="89" s="1"/>
  <c r="X155" i="89"/>
  <c r="X139" i="89"/>
  <c r="X117" i="89"/>
  <c r="X28" i="89"/>
  <c r="X83" i="89"/>
  <c r="X21" i="89"/>
  <c r="X57" i="89"/>
  <c r="X15" i="89"/>
  <c r="J5" i="1"/>
  <c r="AG19" i="2"/>
  <c r="AH19" i="2"/>
  <c r="AG13" i="2"/>
  <c r="AH13" i="2"/>
  <c r="AG12" i="2"/>
  <c r="AH12" i="2"/>
  <c r="AG10" i="2"/>
  <c r="AH10" i="2"/>
  <c r="AG6" i="2"/>
  <c r="AH6" i="2"/>
  <c r="AG5" i="2"/>
  <c r="AH5" i="2"/>
  <c r="O39" i="1"/>
  <c r="U39" i="1"/>
  <c r="O37" i="1"/>
  <c r="U37" i="1"/>
  <c r="O36" i="1"/>
  <c r="U36" i="1"/>
  <c r="O35" i="1"/>
  <c r="U35" i="1"/>
  <c r="O32" i="1"/>
  <c r="U32" i="1"/>
  <c r="O30" i="1"/>
  <c r="U30" i="1"/>
  <c r="O28" i="1"/>
  <c r="U28" i="1"/>
  <c r="O27" i="1"/>
  <c r="U27" i="1"/>
  <c r="O26" i="1"/>
  <c r="U26" i="1"/>
  <c r="O25" i="1"/>
  <c r="U25" i="1"/>
  <c r="O24" i="1"/>
  <c r="U24" i="1"/>
  <c r="R14" i="1"/>
  <c r="O14" i="1"/>
  <c r="U14" i="1"/>
  <c r="R13" i="1"/>
  <c r="O13" i="1"/>
  <c r="U13" i="1"/>
  <c r="R12" i="1"/>
  <c r="W10" i="1"/>
  <c r="O12" i="1"/>
  <c r="U12" i="1"/>
  <c r="X215" i="89"/>
  <c r="X181" i="89"/>
  <c r="X189" i="89"/>
  <c r="X198" i="89"/>
  <c r="X200" i="89" s="1"/>
  <c r="X172" i="89"/>
  <c r="X12" i="89" s="1"/>
  <c r="X226" i="89"/>
  <c r="Y38" i="1" l="1"/>
  <c r="AA38" i="1"/>
  <c r="Z38" i="1"/>
  <c r="W38" i="1"/>
  <c r="AA21" i="1"/>
  <c r="Y21" i="1"/>
  <c r="Z21" i="1"/>
  <c r="AA20" i="1"/>
  <c r="Z20" i="1"/>
  <c r="Y20" i="1"/>
  <c r="AA19" i="1"/>
  <c r="Y19" i="1"/>
  <c r="Z19" i="1"/>
  <c r="W19" i="1"/>
  <c r="W20" i="1"/>
  <c r="W21" i="1"/>
  <c r="AA29" i="1"/>
  <c r="Y29" i="1"/>
  <c r="Z29" i="1"/>
  <c r="W29" i="1"/>
  <c r="W31" i="1"/>
  <c r="AA31" i="1"/>
  <c r="Z31" i="1"/>
  <c r="Y31" i="1"/>
  <c r="W22" i="1"/>
  <c r="AA22" i="1"/>
  <c r="Y22" i="1"/>
  <c r="Z22" i="1"/>
  <c r="W34" i="1"/>
  <c r="R1" i="1"/>
  <c r="AA34" i="1"/>
  <c r="Z34" i="1"/>
  <c r="Y34" i="1"/>
  <c r="W15" i="1"/>
  <c r="AA15" i="1"/>
  <c r="Y15" i="1"/>
  <c r="Z15" i="1"/>
  <c r="W33" i="1"/>
  <c r="AA33" i="1"/>
  <c r="Y33" i="1"/>
  <c r="Z33" i="1"/>
  <c r="U9" i="1"/>
  <c r="W40" i="1"/>
  <c r="Y40" i="1"/>
  <c r="Z40" i="1"/>
  <c r="AA40" i="1"/>
  <c r="AA26" i="1"/>
  <c r="Z26" i="1"/>
  <c r="Y26" i="1"/>
  <c r="Y30" i="1"/>
  <c r="AA30" i="1"/>
  <c r="Z30" i="1"/>
  <c r="Z37" i="1"/>
  <c r="AA37" i="1"/>
  <c r="Y37" i="1"/>
  <c r="R6" i="1"/>
  <c r="R5" i="1"/>
  <c r="AA12" i="1"/>
  <c r="Y12" i="1"/>
  <c r="Z12" i="1"/>
  <c r="Z35" i="1"/>
  <c r="Y35" i="1"/>
  <c r="AA35" i="1"/>
  <c r="Y25" i="1"/>
  <c r="AA25" i="1"/>
  <c r="Z25" i="1"/>
  <c r="W41" i="1"/>
  <c r="W39" i="1"/>
  <c r="W37" i="1"/>
  <c r="W36" i="1"/>
  <c r="W35" i="1"/>
  <c r="W32" i="1"/>
  <c r="W30" i="1"/>
  <c r="W28" i="1"/>
  <c r="W27" i="1"/>
  <c r="W26" i="1"/>
  <c r="W25" i="1"/>
  <c r="W24" i="1"/>
  <c r="W23" i="1"/>
  <c r="W18" i="1"/>
  <c r="W16" i="1"/>
  <c r="W14" i="1"/>
  <c r="W13" i="1"/>
  <c r="W12" i="1"/>
  <c r="AA13" i="1"/>
  <c r="Z13" i="1"/>
  <c r="Y13" i="1"/>
  <c r="Z39" i="1"/>
  <c r="AA39" i="1"/>
  <c r="Y39" i="1"/>
  <c r="Y23" i="1"/>
  <c r="AA23" i="1"/>
  <c r="Z23" i="1"/>
  <c r="O6" i="1"/>
  <c r="O5" i="1"/>
  <c r="AA16" i="1"/>
  <c r="Z16" i="1"/>
  <c r="Y16" i="1"/>
  <c r="U5" i="1"/>
  <c r="AA14" i="1"/>
  <c r="Y14" i="1"/>
  <c r="Z14" i="1"/>
  <c r="U6" i="1"/>
  <c r="Y24" i="1"/>
  <c r="AA24" i="1"/>
  <c r="Z24" i="1"/>
  <c r="Z32" i="1"/>
  <c r="Y32" i="1"/>
  <c r="AA32" i="1"/>
  <c r="Z27" i="1"/>
  <c r="Y27" i="1"/>
  <c r="AA27" i="1"/>
  <c r="Y18" i="1"/>
  <c r="AA18" i="1"/>
  <c r="Z18" i="1"/>
  <c r="AA41" i="1"/>
  <c r="Z41" i="1"/>
  <c r="Y41" i="1"/>
  <c r="AA36" i="1"/>
  <c r="Z36" i="1"/>
  <c r="Y36" i="1"/>
  <c r="Y28" i="1"/>
  <c r="AA28" i="1"/>
  <c r="Z28" i="1"/>
  <c r="Z10" i="1" l="1"/>
  <c r="AA6" i="1"/>
  <c r="AB6" i="1" s="1"/>
  <c r="AA5" i="1"/>
  <c r="D5" i="1"/>
  <c r="W6" i="1"/>
  <c r="O8" i="1"/>
  <c r="O7" i="1"/>
  <c r="R8" i="1"/>
  <c r="R7" i="1"/>
  <c r="U8" i="1"/>
  <c r="U7" i="1"/>
  <c r="U10" i="1" s="1"/>
  <c r="W5" i="1"/>
  <c r="AA8" i="1" l="1"/>
  <c r="AB5" i="1"/>
  <c r="AA7" i="1"/>
  <c r="AA10" i="1" s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 l="1"/>
  <c r="D3" i="1" l="1"/>
  <c r="W2" i="1" l="1"/>
  <c r="J2" i="1" l="1"/>
  <c r="D2" i="1" l="1"/>
  <c r="T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13" i="446" l="1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X4" i="446"/>
  <c r="X14" i="446" l="1"/>
  <c r="AG4" i="446"/>
  <c r="AG14" i="446" s="1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Z55" i="338"/>
  <c r="AB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V54" i="338" a="1"/>
  <c r="U54" i="338" a="1"/>
  <c r="L54" i="338" a="1"/>
  <c r="L54" i="338" l="1"/>
  <c r="U54" i="338"/>
  <c r="V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L53" i="338" l="1"/>
  <c r="U53" i="338"/>
  <c r="V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U52" i="338" a="1"/>
  <c r="V52" i="338" a="1"/>
  <c r="L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L51" i="338" l="1"/>
  <c r="V51" i="338"/>
  <c r="U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U50" i="338" a="1"/>
  <c r="V50" i="338" a="1"/>
  <c r="L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U48" i="338" a="1"/>
  <c r="V48" i="338" a="1"/>
  <c r="L48" i="338" a="1"/>
  <c r="L48" i="338" l="1"/>
  <c r="V48" i="338"/>
  <c r="U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L47" i="338" l="1"/>
  <c r="U47" i="338"/>
  <c r="V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L45" i="338" l="1"/>
  <c r="V45" i="338"/>
  <c r="U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B42" i="338"/>
  <c r="AD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Z41" i="338"/>
  <c r="AB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L40" i="338" l="1"/>
  <c r="U40" i="338"/>
  <c r="V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L37" i="338" l="1"/>
  <c r="U37" i="338"/>
  <c r="V37" i="338"/>
  <c r="AD37" i="338"/>
  <c r="Z37" i="338"/>
  <c r="AB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L36" i="338" l="1"/>
  <c r="U36" i="338"/>
  <c r="V36" i="338"/>
  <c r="AD36" i="338"/>
  <c r="Z36" i="338"/>
  <c r="AB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L35" i="338" l="1"/>
  <c r="V35" i="338"/>
  <c r="U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V34" i="338" a="1"/>
  <c r="U34" i="338" a="1"/>
  <c r="L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Z32" i="338"/>
  <c r="AB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L31" i="338" l="1"/>
  <c r="U31" i="338"/>
  <c r="V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U29" i="338"/>
  <c r="V29" i="338"/>
  <c r="AB29" i="338"/>
  <c r="AD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Z18" i="338"/>
  <c r="AB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V17" i="338" a="1"/>
  <c r="U17" i="338" a="1"/>
  <c r="L17" i="338" a="1"/>
  <c r="L17" i="338" l="1"/>
  <c r="U17" i="338"/>
  <c r="V17" i="338"/>
  <c r="AD17" i="338"/>
  <c r="Z17" i="338"/>
  <c r="AB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 l="1"/>
  <c r="I14" i="338" a="1"/>
  <c r="I14" i="338" l="1"/>
  <c r="J14" i="338" a="1"/>
  <c r="J14" i="338" l="1"/>
  <c r="AT14" i="338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L14" i="338" l="1"/>
  <c r="U14" i="338"/>
  <c r="V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V13" i="338" a="1"/>
  <c r="U13" i="338" a="1"/>
  <c r="L13" i="338" a="1"/>
  <c r="L13" i="338" l="1"/>
  <c r="U13" i="338"/>
  <c r="V13" i="338"/>
  <c r="AB13" i="338"/>
  <c r="AD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V12" i="338" a="1"/>
  <c r="U12" i="338" a="1"/>
  <c r="L12" i="338" a="1"/>
  <c r="L12" i="338" l="1"/>
  <c r="U12" i="338"/>
  <c r="V12" i="338"/>
  <c r="AB12" i="338"/>
  <c r="AD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L10" i="338" l="1"/>
  <c r="U10" i="338"/>
  <c r="V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L9" i="338" l="1"/>
  <c r="U9" i="338"/>
  <c r="V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42" i="338" a="1"/>
  <c r="AP50" i="338" a="1"/>
  <c r="AU17" i="338" a="1"/>
  <c r="AU34" i="338" a="1"/>
  <c r="AU51" i="338" a="1"/>
  <c r="AP33" i="338" a="1"/>
  <c r="AP18" i="338" a="1"/>
  <c r="AU49" i="338" a="1"/>
  <c r="AP52" i="338" a="1"/>
  <c r="AU45" i="338" a="1"/>
  <c r="AU33" i="338" a="1"/>
  <c r="AP51" i="338" a="1"/>
  <c r="AU53" i="338" a="1"/>
  <c r="AP32" i="338" a="1"/>
  <c r="AU40" i="338" a="1"/>
  <c r="AU46" i="338" a="1"/>
  <c r="AP8" i="338" a="1"/>
  <c r="AP12" i="338" a="1"/>
  <c r="AP37" i="338" a="1"/>
  <c r="AP10" i="338" a="1"/>
  <c r="AP41" i="338" a="1"/>
  <c r="AU15" i="338" a="1"/>
  <c r="AP46" i="338" a="1"/>
  <c r="AP38" i="338" a="1"/>
  <c r="AU30" i="338" a="1"/>
  <c r="AU29" i="338" a="1"/>
  <c r="AU52" i="338" a="1"/>
  <c r="AU18" i="338" a="1"/>
  <c r="AP44" i="338" a="1"/>
  <c r="AU42" i="338" a="1"/>
  <c r="AP35" i="338" a="1"/>
  <c r="AU36" i="338" a="1"/>
  <c r="AP11" i="338" a="1"/>
  <c r="AP13" i="338" a="1"/>
  <c r="AU44" i="338" a="1"/>
  <c r="AP31" i="338" a="1"/>
  <c r="AP16" i="338" a="1"/>
  <c r="AU48" i="338" a="1"/>
  <c r="AU50" i="338" a="1"/>
  <c r="AU11" i="338" a="1"/>
  <c r="AU39" i="338" a="1"/>
  <c r="AP39" i="338" a="1"/>
  <c r="AP30" i="338" a="1"/>
  <c r="AP53" i="338" a="1"/>
  <c r="AU54" i="338" a="1"/>
  <c r="AU37" i="338" a="1"/>
  <c r="AP34" i="338" a="1"/>
  <c r="AP9" i="338" a="1"/>
  <c r="AP15" i="338" a="1"/>
  <c r="AU8" i="338" a="1"/>
  <c r="AU31" i="338" a="1"/>
  <c r="AU35" i="338" a="1"/>
  <c r="AP49" i="338" a="1"/>
  <c r="AU13" i="338" a="1"/>
  <c r="AU10" i="338" a="1"/>
  <c r="AP29" i="338" a="1"/>
  <c r="AU32" i="338" a="1"/>
  <c r="AU12" i="338" a="1"/>
  <c r="AU9" i="338" a="1"/>
  <c r="AP45" i="338" a="1"/>
  <c r="AU41" i="338" a="1"/>
  <c r="AP40" i="338" a="1"/>
  <c r="AP36" i="338" a="1"/>
  <c r="AP48" i="338" a="1"/>
  <c r="AP14" i="338" a="1"/>
  <c r="AP47" i="338" a="1"/>
  <c r="AU16" i="338" a="1"/>
  <c r="AP17" i="338" a="1"/>
  <c r="AU38" i="338" a="1"/>
  <c r="AU47" i="338" a="1"/>
  <c r="AP54" i="338" a="1"/>
  <c r="H8" i="338" l="1"/>
  <c r="AP40" i="338"/>
  <c r="AP38" i="338"/>
  <c r="AU8" i="338"/>
  <c r="AU46" i="338"/>
  <c r="AU12" i="338"/>
  <c r="AU44" i="338"/>
  <c r="AP16" i="338"/>
  <c r="AU38" i="338"/>
  <c r="AU16" i="338"/>
  <c r="AU15" i="338"/>
  <c r="AU39" i="338"/>
  <c r="AU50" i="338"/>
  <c r="AU18" i="338"/>
  <c r="AU52" i="338"/>
  <c r="AU29" i="338"/>
  <c r="AU17" i="338"/>
  <c r="AU32" i="338"/>
  <c r="AP35" i="338"/>
  <c r="AU54" i="338"/>
  <c r="AU30" i="338"/>
  <c r="AP39" i="338"/>
  <c r="AP18" i="338"/>
  <c r="AP31" i="338"/>
  <c r="AU40" i="338"/>
  <c r="AP17" i="338"/>
  <c r="AP14" i="338"/>
  <c r="AP32" i="338"/>
  <c r="AP37" i="338"/>
  <c r="AU42" i="338"/>
  <c r="AP15" i="338"/>
  <c r="AP8" i="338"/>
  <c r="AP41" i="338"/>
  <c r="AU9" i="338"/>
  <c r="AU36" i="338"/>
  <c r="AP9" i="338"/>
  <c r="AP36" i="338"/>
  <c r="AU49" i="338"/>
  <c r="AU37" i="338"/>
  <c r="AP11" i="338"/>
  <c r="AU45" i="338"/>
  <c r="AP33" i="338"/>
  <c r="AP10" i="338"/>
  <c r="AU34" i="338"/>
  <c r="AP50" i="338"/>
  <c r="AU48" i="338"/>
  <c r="AU35" i="338"/>
  <c r="AP51" i="338"/>
  <c r="AP42" i="338"/>
  <c r="AP30" i="338"/>
  <c r="AP48" i="338"/>
  <c r="AP46" i="338"/>
  <c r="AP45" i="338"/>
  <c r="AP34" i="338"/>
  <c r="AP47" i="338"/>
  <c r="AP53" i="338"/>
  <c r="AP49" i="338"/>
  <c r="AP29" i="338"/>
  <c r="AU33" i="338"/>
  <c r="AU53" i="338"/>
  <c r="AP13" i="338"/>
  <c r="AP12" i="338"/>
  <c r="AU10" i="338"/>
  <c r="AU51" i="338"/>
  <c r="AP44" i="338"/>
  <c r="AU41" i="338"/>
  <c r="AU31" i="338"/>
  <c r="AU11" i="338"/>
  <c r="AP54" i="338"/>
  <c r="AU47" i="338"/>
  <c r="AP52" i="338"/>
  <c r="AU13" i="338"/>
  <c r="AN3" i="338"/>
  <c r="V20" i="252"/>
  <c r="U20" i="252"/>
  <c r="O8" i="338"/>
  <c r="Q2" i="338"/>
  <c r="Q4" i="338" s="1"/>
  <c r="E4" i="338"/>
  <c r="E1" i="338" s="1"/>
  <c r="AM3" i="338"/>
  <c r="K8" i="338"/>
  <c r="U8" i="338" a="1"/>
  <c r="V8" i="338" a="1"/>
  <c r="L8" i="338" a="1"/>
  <c r="Q44" i="338" a="1"/>
  <c r="Q17" i="338" a="1"/>
  <c r="Q38" i="338" a="1"/>
  <c r="Q16" i="338" a="1"/>
  <c r="Q52" i="338" a="1"/>
  <c r="Q39" i="338" a="1"/>
  <c r="Q15" i="338" a="1"/>
  <c r="Q47" i="338" a="1"/>
  <c r="Q41" i="338" a="1"/>
  <c r="Q51" i="338" a="1"/>
  <c r="Q31" i="338" a="1"/>
  <c r="Q33" i="338" a="1"/>
  <c r="Q34" i="338" a="1"/>
  <c r="Q35" i="338" a="1"/>
  <c r="Q36" i="338" a="1"/>
  <c r="Q37" i="338" a="1"/>
  <c r="Q50" i="338" a="1"/>
  <c r="Q32" i="338" a="1"/>
  <c r="Q8" i="338" a="1"/>
  <c r="Q46" i="338" a="1"/>
  <c r="Q11" i="338" a="1"/>
  <c r="Q30" i="338" a="1"/>
  <c r="Q54" i="338" a="1"/>
  <c r="Q18" i="338" a="1"/>
  <c r="Q10" i="338" a="1"/>
  <c r="Q42" i="338" a="1"/>
  <c r="Q53" i="338" a="1"/>
  <c r="Q49" i="338" a="1"/>
  <c r="Q48" i="338" a="1"/>
  <c r="Q9" i="338" a="1"/>
  <c r="Q14" i="338" a="1"/>
  <c r="Q45" i="338" a="1"/>
  <c r="Q13" i="338" a="1"/>
  <c r="Q40" i="338" a="1"/>
  <c r="Q12" i="338" a="1"/>
  <c r="Q29" i="338" a="1"/>
  <c r="Q55" i="338" a="1"/>
  <c r="AN16" i="338"/>
  <c r="AR12" i="338"/>
  <c r="AM38" i="338"/>
  <c r="AM44" i="338"/>
  <c r="AN8" i="338"/>
  <c r="AR50" i="338"/>
  <c r="AN13" i="338"/>
  <c r="AN44" i="338"/>
  <c r="AM15" i="338"/>
  <c r="AN51" i="338"/>
  <c r="AN31" i="338"/>
  <c r="AS8" i="338"/>
  <c r="AM13" i="338"/>
  <c r="AS48" i="338"/>
  <c r="AM34" i="338"/>
  <c r="AM32" i="338"/>
  <c r="AM51" i="338"/>
  <c r="AM31" i="338"/>
  <c r="AM40" i="338"/>
  <c r="AS12" i="338"/>
  <c r="AR18" i="338"/>
  <c r="AS35" i="338"/>
  <c r="AN48" i="338"/>
  <c r="AM39" i="338"/>
  <c r="AS45" i="338"/>
  <c r="AR34" i="338"/>
  <c r="AR10" i="338"/>
  <c r="AN38" i="338"/>
  <c r="AN50" i="338"/>
  <c r="AN40" i="338"/>
  <c r="AR46" i="338"/>
  <c r="AM48" i="338"/>
  <c r="AS34" i="338"/>
  <c r="AN39" i="338"/>
  <c r="AM50" i="338"/>
  <c r="AR48" i="338"/>
  <c r="AS50" i="338"/>
  <c r="AS49" i="338"/>
  <c r="AM16" i="338"/>
  <c r="AR49" i="338"/>
  <c r="AM9" i="338"/>
  <c r="AM8" i="338"/>
  <c r="AR40" i="338"/>
  <c r="AR35" i="338"/>
  <c r="AS10" i="338"/>
  <c r="AS46" i="338"/>
  <c r="AR8" i="338"/>
  <c r="AN34" i="338"/>
  <c r="AS37" i="338"/>
  <c r="AN32" i="338"/>
  <c r="AR53" i="338"/>
  <c r="AS18" i="338"/>
  <c r="AS40" i="338"/>
  <c r="AM47" i="338"/>
  <c r="AR45" i="338"/>
  <c r="AN15" i="338"/>
  <c r="AS36" i="338"/>
  <c r="AS29" i="338"/>
  <c r="AR37" i="338"/>
  <c r="AR32" i="338"/>
  <c r="L8" i="338" l="1"/>
  <c r="V8" i="338"/>
  <c r="U8" i="338"/>
  <c r="Q29" i="338"/>
  <c r="Q12" i="338"/>
  <c r="Q40" i="338"/>
  <c r="Q13" i="338"/>
  <c r="Q45" i="338"/>
  <c r="Q14" i="338"/>
  <c r="Q9" i="338"/>
  <c r="Q48" i="338"/>
  <c r="Q49" i="338"/>
  <c r="Q53" i="338"/>
  <c r="Q42" i="338"/>
  <c r="Q10" i="338"/>
  <c r="Q18" i="338"/>
  <c r="Q54" i="338"/>
  <c r="Q30" i="338"/>
  <c r="Q11" i="338"/>
  <c r="Q46" i="338"/>
  <c r="Q8" i="338"/>
  <c r="Q32" i="338"/>
  <c r="Q50" i="338"/>
  <c r="Q37" i="338"/>
  <c r="Q36" i="338"/>
  <c r="Q35" i="338"/>
  <c r="Q34" i="338"/>
  <c r="Q33" i="338"/>
  <c r="Q31" i="338"/>
  <c r="Q51" i="338"/>
  <c r="Q41" i="338"/>
  <c r="Q47" i="338"/>
  <c r="Q15" i="338"/>
  <c r="Q39" i="338"/>
  <c r="Q52" i="338"/>
  <c r="Q16" i="338"/>
  <c r="Q38" i="338"/>
  <c r="Q17" i="338"/>
  <c r="Q44" i="338"/>
  <c r="Q55" i="338"/>
  <c r="E2" i="338"/>
  <c r="AT37" i="338"/>
  <c r="AO53" i="338"/>
  <c r="AT48" i="338"/>
  <c r="AT53" i="338"/>
  <c r="AT39" i="338"/>
  <c r="AO49" i="338"/>
  <c r="AO39" i="338"/>
  <c r="AO9" i="338"/>
  <c r="AT9" i="338"/>
  <c r="AT40" i="338"/>
  <c r="AO31" i="338"/>
  <c r="AO52" i="338"/>
  <c r="AT31" i="338"/>
  <c r="AT11" i="338"/>
  <c r="AO12" i="338"/>
  <c r="AT42" i="338"/>
  <c r="AT12" i="338"/>
  <c r="AD8" i="338"/>
  <c r="AB8" i="338"/>
  <c r="Z8" i="338"/>
  <c r="AT34" i="338"/>
  <c r="AT45" i="338"/>
  <c r="AT49" i="338"/>
  <c r="AT29" i="338"/>
  <c r="AO30" i="338"/>
  <c r="AO10" i="338"/>
  <c r="AT41" i="338"/>
  <c r="AO33" i="338"/>
  <c r="AO54" i="338"/>
  <c r="AT33" i="338"/>
  <c r="AT54" i="338"/>
  <c r="AO8" i="338"/>
  <c r="AO15" i="338"/>
  <c r="AO35" i="338"/>
  <c r="AO46" i="338"/>
  <c r="AT17" i="338"/>
  <c r="AO18" i="338"/>
  <c r="AT18" i="338"/>
  <c r="AT38" i="338"/>
  <c r="AO51" i="338"/>
  <c r="AT15" i="338"/>
  <c r="AT35" i="338"/>
  <c r="AT46" i="338"/>
  <c r="AO29" i="338"/>
  <c r="AO50" i="338"/>
  <c r="AO40" i="338"/>
  <c r="AT30" i="338"/>
  <c r="AT10" i="338"/>
  <c r="AO42" i="338"/>
  <c r="AO13" i="338"/>
  <c r="AT44" i="338"/>
  <c r="AT13" i="338"/>
  <c r="AO45" i="338"/>
  <c r="AO14" i="338"/>
  <c r="AO16" i="338"/>
  <c r="AO36" i="338"/>
  <c r="AO47" i="338"/>
  <c r="AT16" i="338"/>
  <c r="AT36" i="338"/>
  <c r="AT47" i="338"/>
  <c r="AO38" i="338"/>
  <c r="AT8" i="338"/>
  <c r="AT50" i="338"/>
  <c r="AT51" i="338"/>
  <c r="AO41" i="338"/>
  <c r="AO11" i="338"/>
  <c r="AT52" i="338"/>
  <c r="AO32" i="338"/>
  <c r="AT32" i="338"/>
  <c r="AO44" i="338"/>
  <c r="AO34" i="338"/>
  <c r="AO17" i="338"/>
  <c r="AO37" i="338"/>
  <c r="AO48" i="338"/>
  <c r="AS32" i="338"/>
  <c r="AS13" i="338"/>
  <c r="AR17" i="338"/>
  <c r="AM12" i="338"/>
  <c r="AM37" i="338"/>
  <c r="AS53" i="338"/>
  <c r="AS44" i="338"/>
  <c r="AS54" i="338"/>
  <c r="AS16" i="338"/>
  <c r="AN47" i="338"/>
  <c r="AN17" i="338"/>
  <c r="AN37" i="338"/>
  <c r="AN14" i="338"/>
  <c r="AR47" i="338"/>
  <c r="AR30" i="338"/>
  <c r="AR54" i="338"/>
  <c r="AN53" i="338"/>
  <c r="AM42" i="338"/>
  <c r="AR33" i="338"/>
  <c r="AM29" i="338"/>
  <c r="AM14" i="338"/>
  <c r="AN12" i="338"/>
  <c r="AN45" i="338"/>
  <c r="AS38" i="338"/>
  <c r="AR38" i="338"/>
  <c r="AR11" i="338"/>
  <c r="AN33" i="338"/>
  <c r="AM36" i="338"/>
  <c r="AR51" i="338"/>
  <c r="AS15" i="338"/>
  <c r="AM41" i="338"/>
  <c r="AN42" i="338"/>
  <c r="AN35" i="338"/>
  <c r="AR13" i="338"/>
  <c r="AM10" i="338"/>
  <c r="AM30" i="338"/>
  <c r="AR39" i="338"/>
  <c r="AS33" i="338"/>
  <c r="AM52" i="338"/>
  <c r="AN54" i="338"/>
  <c r="AN41" i="338"/>
  <c r="AM11" i="338"/>
  <c r="AR52" i="338"/>
  <c r="AN29" i="338"/>
  <c r="AR42" i="338"/>
  <c r="AN11" i="338"/>
  <c r="AR9" i="338"/>
  <c r="AS11" i="338"/>
  <c r="AM49" i="338"/>
  <c r="AM17" i="338"/>
  <c r="AR44" i="338"/>
  <c r="AM18" i="338"/>
  <c r="AR41" i="338"/>
  <c r="AN10" i="338"/>
  <c r="AR31" i="338"/>
  <c r="AS42" i="338"/>
  <c r="AR15" i="338"/>
  <c r="AM33" i="338"/>
  <c r="AN18" i="338"/>
  <c r="AS47" i="338"/>
  <c r="AM35" i="338"/>
  <c r="AN9" i="338"/>
  <c r="AS17" i="338"/>
  <c r="AR36" i="338"/>
  <c r="AN30" i="338"/>
  <c r="AS52" i="338"/>
  <c r="AS51" i="338"/>
  <c r="AM53" i="338"/>
  <c r="AN46" i="338"/>
  <c r="AM54" i="338"/>
  <c r="AS41" i="338"/>
  <c r="AN52" i="338"/>
  <c r="AS39" i="338"/>
  <c r="AR16" i="338"/>
  <c r="AN36" i="338"/>
  <c r="AN49" i="338"/>
  <c r="AM45" i="338"/>
  <c r="AM46" i="338"/>
  <c r="AR29" i="338"/>
  <c r="AS30" i="338"/>
  <c r="AS31" i="338"/>
  <c r="AS9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B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C6" i="252" l="1"/>
  <c r="A6" i="252" s="1"/>
  <c r="I41" i="530"/>
  <c r="I42" i="530"/>
  <c r="G42" i="530"/>
  <c r="G41" i="530"/>
  <c r="K16" i="530"/>
  <c r="L16" i="530"/>
  <c r="F42" i="530"/>
  <c r="F41" i="530"/>
  <c r="H42" i="530"/>
  <c r="H41" i="530"/>
  <c r="J42" i="530"/>
  <c r="J41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<sst xmlns="http://schemas.openxmlformats.org/spreadsheetml/2006/main" count="16463" uniqueCount="2380">
  <si>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</si>
  <si>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</si>
  <si>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</si>
  <si>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</si>
  <si>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</si>
  <si>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</si>
  <si>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</si>
  <si>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</si>
  <si>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</si>
  <si>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</si>
  <si>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</si>
  <si>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</si>
  <si>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</si>
  <si>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</si>
  <si>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</si>
  <si>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</si>
  <si>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</si>
  <si>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</si>
  <si>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</si>
  <si>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</si>
  <si>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</si>
  <si>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</si>
  <si>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</si>
  <si>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</si>
  <si>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</si>
  <si>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</si>
  <si>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</si>
  <si>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</si>
  <si>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</si>
  <si>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</si>
  <si>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</si>
  <si>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</si>
  <si>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</si>
  <si>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</si>
  <si>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</si>
  <si>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</si>
  <si>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</si>
  <si>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</si>
  <si>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</si>
  <si>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</si>
  <si>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</si>
  <si>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</si>
  <si>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</si>
  <si>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</si>
  <si>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</si>
  <si>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</si>
  <si>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</si>
  <si>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</si>
  <si>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</si>
  <si>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</si>
  <si>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</si>
  <si>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</si>
  <si>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</si>
  <si>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</si>
  <si>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</si>
  <si>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</si>
  <si>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</si>
  <si>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</si>
  <si>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</si>
  <si>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</si>
  <si>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</si>
  <si>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</si>
  <si>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</si>
  <si>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</si>
  <si>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</si>
  <si>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</si>
  <si>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</si>
  <si>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</si>
  <si>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</si>
  <si>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</si>
  <si>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</si>
  <si>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</si>
  <si>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</si>
  <si>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</si>
  <si>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</si>
  <si>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</si>
  <si>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</si>
  <si>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</si>
  <si>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</si>
  <si>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</si>
  <si>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</si>
  <si>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</si>
  <si>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</si>
  <si>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</si>
  <si>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</si>
  <si>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</si>
  <si>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</si>
  <si>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</si>
  <si>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</si>
  <si>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</si>
  <si>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</si>
  <si>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</si>
  <si>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</si>
  <si>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</si>
  <si>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</si>
  <si>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</si>
  <si>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</si>
  <si>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</si>
  <si>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</si>
  <si>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</si>
  <si>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</si>
  <si>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</si>
  <si>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</si>
  <si>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</si>
  <si>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</si>
  <si>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</si>
  <si>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</si>
  <si>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</si>
  <si>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</si>
  <si>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</si>
  <si>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</si>
  <si>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</si>
  <si>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</si>
  <si>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</si>
  <si>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</si>
  <si>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</si>
  <si>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</si>
  <si>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</si>
  <si>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</si>
  <si>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</si>
  <si>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</si>
  <si>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</si>
  <si>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</si>
  <si>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</si>
  <si>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</si>
  <si>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</si>
  <si>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</si>
  <si>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</si>
  <si>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</si>
  <si>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</si>
  <si>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</si>
  <si>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</si>
  <si>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</si>
  <si>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</si>
  <si>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</si>
  <si>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</si>
  <si>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</si>
  <si>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</si>
  <si>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</si>
  <si>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</si>
  <si>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</si>
  <si>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</si>
  <si>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</si>
  <si>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</si>
  <si>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</si>
  <si>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</si>
  <si>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</si>
  <si>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</si>
  <si>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</si>
  <si>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</si>
  <si>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</si>
  <si>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</si>
  <si>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</si>
  <si>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</si>
  <si>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</si>
  <si>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</si>
  <si>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</si>
  <si>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</si>
  <si>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</si>
  <si>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</si>
  <si>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</si>
  <si>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</si>
  <si>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</si>
  <si>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</si>
  <si>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</si>
  <si>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</si>
  <si>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</si>
  <si>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</si>
  <si>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</si>
  <si>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</si>
  <si>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</si>
  <si>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</si>
  <si>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</si>
  <si>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</si>
  <si>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</si>
  <si>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</si>
  <si>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</si>
  <si>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</si>
  <si>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</si>
  <si>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</si>
  <si>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</si>
  <si>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</si>
  <si>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</si>
  <si>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</si>
  <si>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</si>
  <si>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</si>
  <si>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</si>
  <si>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</si>
  <si>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</si>
  <si>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</si>
  <si>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</si>
  <si>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</si>
  <si>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</si>
  <si>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</si>
  <si>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</si>
  <si>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</si>
  <si>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</si>
  <si>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</si>
  <si>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</si>
  <si>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</si>
  <si>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</si>
  <si>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</si>
  <si>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</si>
  <si>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</si>
  <si>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</si>
  <si>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</si>
  <si>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</si>
  <si>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</si>
  <si>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</si>
  <si>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</si>
  <si>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</si>
  <si>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</si>
  <si>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</si>
  <si>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</si>
  <si>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</si>
  <si>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</si>
  <si>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</si>
  <si>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</si>
  <si>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</si>
  <si>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</si>
  <si>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</si>
  <si>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</si>
  <si>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</si>
  <si>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</si>
  <si>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</si>
  <si>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</si>
  <si>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</si>
  <si>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</si>
  <si>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</si>
  <si>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</si>
  <si>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</si>
  <si>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</si>
  <si>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</si>
  <si>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</si>
  <si>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</si>
  <si>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</si>
  <si>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</si>
  <si>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</si>
  <si>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</si>
  <si>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</si>
  <si>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</si>
  <si>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</si>
  <si>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</si>
  <si>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</si>
  <si>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</si>
  <si>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</si>
  <si>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</si>
  <si>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</si>
  <si>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</si>
  <si>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</si>
  <si>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</si>
  <si>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</si>
  <si>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</si>
  <si>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</si>
  <si>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</si>
  <si>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</si>
  <si>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</si>
  <si>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</si>
  <si>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</si>
  <si>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</si>
  <si>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</si>
  <si>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</si>
  <si>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</si>
  <si>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</si>
  <si>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</si>
  <si>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</si>
  <si>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</si>
  <si>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</si>
  <si>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</si>
  <si>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</si>
  <si>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</si>
  <si>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</si>
  <si>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</si>
  <si>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</si>
  <si>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</si>
  <si>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</si>
  <si>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</si>
  <si>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</si>
  <si>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</si>
  <si>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</si>
  <si>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</si>
  <si>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</si>
  <si>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</si>
  <si>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</si>
  <si>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</si>
  <si>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</si>
  <si>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</si>
  <si>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</si>
  <si>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</si>
  <si>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</si>
  <si>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</si>
  <si>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</si>
  <si>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</si>
  <si>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</si>
  <si>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</si>
  <si>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</si>
  <si>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</si>
  <si>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</si>
  <si>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</si>
  <si>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</si>
  <si>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</si>
  <si>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</si>
  <si>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</si>
  <si>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</si>
  <si>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</si>
  <si>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</si>
  <si>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</si>
  <si>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</si>
  <si>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</si>
  <si>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</si>
  <si>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</si>
  <si>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</si>
  <si>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</si>
  <si>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</si>
  <si>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</si>
  <si>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</si>
  <si>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</si>
  <si>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</si>
  <si>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</si>
  <si>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</si>
  <si>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</si>
  <si>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</si>
  <si>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</si>
  <si>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</si>
  <si>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</si>
  <si>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</si>
  <si>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</si>
  <si>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</si>
  <si>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</si>
  <si>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</si>
  <si>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</si>
  <si>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</si>
  <si>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</si>
  <si>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</si>
  <si>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</si>
  <si>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</si>
  <si>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</si>
  <si>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</si>
  <si>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</si>
  <si>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</si>
  <si>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</si>
  <si>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</si>
  <si>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</si>
  <si>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</si>
  <si>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</si>
  <si>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</si>
  <si>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</si>
  <si>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</si>
  <si>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</si>
  <si>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</si>
  <si>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</si>
  <si>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</si>
  <si>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</si>
  <si>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</si>
  <si>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</si>
  <si>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</si>
  <si>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</si>
  <si>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</si>
  <si>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</si>
  <si>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</si>
  <si>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</si>
  <si>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</si>
  <si>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</si>
  <si>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</si>
  <si>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</si>
  <si>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</si>
  <si>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</si>
  <si>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</si>
  <si>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</si>
  <si>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</si>
  <si>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</si>
  <si>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</si>
  <si>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</si>
  <si>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</si>
  <si>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</si>
  <si>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</si>
  <si>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</si>
  <si>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</si>
  <si>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</si>
  <si>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</si>
  <si>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</si>
  <si>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</si>
  <si>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</si>
  <si>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</si>
  <si>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</si>
  <si>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</si>
  <si>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</si>
  <si>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</si>
  <si>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</si>
  <si>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</si>
  <si>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</si>
  <si>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</si>
  <si>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</si>
  <si>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</si>
  <si>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</si>
  <si>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</si>
  <si>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</si>
  <si>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</si>
  <si>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</si>
  <si>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</si>
  <si>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</si>
  <si>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</si>
  <si>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</si>
  <si>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</si>
  <si>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</si>
  <si>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</si>
  <si>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</si>
  <si>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</si>
  <si>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</si>
  <si>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</si>
  <si>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</si>
  <si>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</si>
  <si>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</si>
  <si>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</si>
  <si>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</si>
  <si>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</si>
  <si>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</si>
  <si>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</si>
  <si>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</si>
  <si>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</si>
  <si>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</si>
  <si>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</si>
  <si>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</si>
  <si>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</si>
  <si>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</si>
  <si>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</si>
  <si>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</si>
  <si>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</si>
  <si>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</si>
  <si>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</si>
  <si>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</si>
  <si>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</si>
  <si>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</si>
  <si>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</si>
  <si>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</si>
  <si>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</si>
  <si>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</si>
  <si>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</si>
  <si>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</si>
  <si>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</si>
  <si>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</si>
  <si>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</si>
  <si>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</si>
  <si>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</si>
  <si>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</si>
  <si>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</si>
  <si>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</si>
  <si>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</si>
  <si>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</si>
  <si>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</si>
  <si>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</si>
  <si>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</si>
  <si>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</si>
  <si>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</si>
  <si>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</si>
  <si>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</si>
  <si>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</si>
  <si>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</si>
  <si>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</si>
  <si>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</si>
  <si>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</si>
  <si>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</si>
  <si>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</si>
  <si>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</si>
  <si>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</si>
  <si>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</si>
  <si>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</si>
  <si>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</si>
  <si>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</si>
  <si>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</si>
  <si>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</si>
  <si>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</si>
  <si>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</si>
  <si>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</si>
  <si>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</si>
  <si>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</si>
  <si>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</si>
  <si>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</si>
  <si>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</si>
  <si>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</si>
  <si>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</si>
  <si>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</si>
  <si>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</si>
  <si>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</si>
  <si>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</si>
  <si>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</si>
  <si>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</si>
  <si>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</si>
  <si>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</si>
  <si>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</si>
  <si>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</si>
  <si>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</si>
  <si>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</si>
  <si>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</si>
  <si>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</si>
  <si>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</si>
  <si>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</si>
  <si>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</si>
  <si>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</si>
  <si>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</si>
  <si>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</si>
  <si>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</si>
  <si>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</si>
  <si>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</si>
  <si>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</si>
  <si>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</si>
  <si>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</si>
  <si>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</si>
  <si>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</si>
  <si>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</si>
  <si>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</si>
  <si>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</si>
  <si>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</si>
  <si>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</si>
  <si>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</si>
  <si>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</si>
  <si>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</si>
  <si>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</si>
  <si>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</si>
  <si>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</si>
  <si>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</si>
  <si>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</si>
  <si>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</si>
  <si>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</si>
  <si>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</si>
  <si>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</si>
  <si>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</si>
  <si>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</si>
  <si>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</si>
  <si>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</si>
  <si>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</si>
  <si>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</si>
  <si>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</si>
  <si>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</si>
  <si>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</si>
  <si>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</si>
  <si>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</si>
  <si>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</si>
  <si>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</si>
  <si>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</si>
  <si>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</si>
  <si>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</si>
  <si>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</si>
  <si>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</si>
  <si>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</si>
  <si>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</si>
  <si>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</si>
  <si>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</si>
  <si>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</si>
  <si>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</si>
  <si>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</si>
  <si>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</si>
  <si>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</si>
  <si>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</si>
  <si>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</si>
  <si>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</si>
  <si>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</si>
  <si>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</si>
  <si>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</si>
  <si>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</si>
  <si>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</si>
  <si>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</si>
  <si>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</si>
  <si>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</si>
  <si>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</si>
  <si>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</si>
  <si>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</si>
  <si>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</si>
  <si>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</si>
  <si>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</si>
  <si>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</si>
  <si>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</si>
  <si>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</si>
  <si>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</si>
  <si>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</si>
  <si>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</si>
  <si>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</si>
  <si>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</si>
  <si>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</si>
  <si>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</si>
  <si>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</si>
  <si>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</si>
  <si>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</si>
  <si>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</si>
  <si>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</si>
  <si>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</si>
  <si>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</si>
  <si>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</si>
  <si>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</si>
  <si>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</si>
  <si>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</si>
  <si>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</si>
  <si>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</si>
  <si>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</si>
  <si>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</si>
  <si>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</si>
  <si>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</si>
  <si>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</si>
  <si>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</si>
  <si>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</si>
  <si>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</si>
  <si>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</si>
  <si>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</si>
  <si>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</si>
  <si>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</si>
  <si>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</si>
  <si>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</si>
  <si>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</si>
  <si>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</si>
  <si>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</si>
  <si>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</si>
  <si>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</si>
  <si>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</si>
  <si>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</si>
  <si>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</si>
  <si>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</si>
  <si>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</si>
  <si>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</si>
  <si>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</si>
  <si>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</si>
  <si>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</si>
  <si>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</si>
  <si>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</si>
  <si>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</si>
  <si>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</si>
  <si>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</si>
  <si>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</si>
  <si>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</si>
  <si>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</si>
  <si>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</si>
  <si>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</si>
  <si>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</si>
  <si>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</si>
  <si>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</si>
  <si>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</si>
  <si>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</si>
  <si>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</si>
  <si>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</si>
  <si>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</si>
  <si>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</si>
  <si>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</si>
  <si>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</si>
  <si>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</si>
  <si>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</si>
  <si>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</si>
  <si>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</si>
  <si>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</si>
  <si>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</si>
  <si>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</si>
  <si>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</si>
  <si>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</si>
  <si>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</si>
  <si>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</si>
  <si>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</si>
  <si>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</si>
  <si>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</si>
  <si>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</si>
  <si>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</si>
  <si>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</si>
  <si>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</si>
  <si>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</si>
  <si>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</si>
  <si>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</si>
  <si>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</si>
  <si>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</si>
  <si>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</si>
  <si>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</si>
  <si>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</si>
  <si>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</si>
  <si>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</si>
  <si>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</si>
  <si>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</si>
  <si>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</si>
  <si>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</si>
  <si>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</si>
  <si>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</si>
  <si>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</si>
  <si>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</si>
  <si>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</si>
  <si>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</si>
  <si>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</si>
  <si>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</si>
  <si>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</si>
  <si>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</si>
  <si>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</si>
  <si>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</si>
  <si>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</si>
  <si>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</si>
  <si>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</si>
  <si>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</si>
  <si>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</si>
  <si>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</si>
  <si>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</si>
  <si>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</si>
  <si>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</si>
  <si>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</si>
  <si>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</si>
  <si>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</si>
  <si>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</si>
  <si>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</si>
  <si>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</si>
  <si>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</si>
  <si>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</si>
  <si>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</si>
  <si>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</si>
  <si>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</si>
  <si>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</si>
  <si>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</si>
  <si>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</si>
  <si>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</si>
  <si>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</si>
  <si>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</si>
  <si>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</si>
  <si>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</si>
  <si>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</si>
  <si>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</si>
  <si>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</si>
  <si>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</si>
  <si>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</si>
  <si>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</si>
  <si>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</si>
  <si>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</si>
  <si>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</si>
  <si>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</si>
  <si>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</si>
  <si>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</si>
  <si>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</si>
  <si>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</si>
  <si>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</si>
  <si>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</si>
  <si>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</si>
  <si>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</si>
  <si>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</si>
  <si>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</si>
  <si>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</si>
  <si>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</si>
  <si>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</si>
  <si>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</si>
  <si>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</si>
  <si>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</si>
  <si>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</si>
  <si>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</si>
  <si>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</si>
  <si>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</si>
  <si>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</si>
  <si>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</si>
  <si>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</si>
  <si>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</si>
  <si>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</si>
  <si>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</si>
  <si>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</si>
  <si>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</si>
  <si>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</si>
  <si>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</si>
  <si>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</si>
  <si>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</si>
  <si>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</si>
  <si>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</si>
  <si>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</si>
  <si>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</si>
  <si>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</si>
  <si>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</si>
  <si>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</si>
  <si>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</si>
  <si>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</si>
  <si>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</si>
  <si>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</si>
  <si>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</si>
  <si>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</si>
  <si>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</si>
  <si>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</si>
  <si>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</si>
  <si>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</si>
  <si>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</si>
  <si>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</si>
  <si>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</si>
  <si>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</si>
  <si>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</si>
  <si>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</si>
  <si>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</si>
  <si>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</si>
  <si>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</si>
  <si>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</si>
  <si>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</si>
  <si>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</si>
  <si>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</si>
  <si>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</si>
  <si>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</si>
  <si>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</si>
  <si>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</si>
  <si>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</si>
  <si>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</si>
  <si>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</si>
  <si>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</si>
  <si>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</si>
  <si>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</si>
  <si>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</si>
  <si>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</si>
  <si>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</si>
  <si>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</si>
  <si>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</si>
  <si>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</si>
  <si>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</si>
  <si>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</si>
  <si>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</si>
  <si>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</si>
  <si>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</si>
  <si>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</si>
  <si>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</si>
  <si>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</si>
  <si>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</si>
  <si>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</si>
  <si>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</si>
  <si>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</si>
  <si>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</si>
  <si>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</si>
  <si>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</si>
  <si>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</si>
  <si>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</si>
  <si>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</si>
  <si>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</si>
  <si>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</si>
  <si>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</si>
  <si>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</si>
  <si>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</si>
  <si>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</si>
  <si>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</si>
  <si>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</si>
  <si>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</si>
  <si>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</si>
  <si>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</si>
  <si>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</si>
  <si>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</si>
  <si>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</si>
  <si>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</si>
  <si>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</si>
  <si>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</si>
  <si>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</si>
  <si>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</si>
  <si>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</si>
  <si>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</si>
  <si>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</si>
  <si>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</si>
  <si>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</si>
  <si>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</si>
  <si>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</si>
  <si>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</si>
  <si>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</si>
  <si>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</si>
  <si>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</si>
  <si>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</si>
  <si>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</si>
  <si>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</si>
  <si>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</si>
  <si>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</si>
  <si>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</si>
  <si>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</si>
  <si>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</si>
  <si>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</si>
  <si>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</si>
  <si>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</si>
  <si>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</si>
  <si>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</si>
  <si>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</si>
  <si>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</si>
  <si>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</si>
  <si>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</si>
  <si>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</si>
  <si>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</si>
  <si>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</si>
  <si>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</si>
  <si>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</si>
  <si>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</si>
  <si>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</si>
  <si>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</si>
  <si>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</si>
  <si>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</si>
  <si>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</si>
  <si>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</si>
  <si>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</si>
  <si>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</si>
  <si>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</si>
  <si>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</si>
  <si>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</si>
  <si>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</si>
  <si>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</si>
  <si>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</si>
  <si>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</si>
  <si>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</si>
  <si>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</si>
  <si>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</si>
  <si>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</si>
  <si>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</si>
  <si>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</si>
  <si>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</si>
  <si>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</si>
  <si>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</si>
  <si>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</si>
  <si>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</si>
  <si>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</si>
  <si>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</si>
  <si>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</si>
  <si>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</si>
  <si>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</si>
  <si>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</si>
  <si>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</si>
  <si>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</si>
  <si>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</si>
  <si>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</si>
  <si>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</si>
  <si>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</si>
  <si>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</si>
  <si>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</si>
  <si>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</si>
  <si>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</si>
  <si>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</si>
  <si>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</si>
  <si>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</si>
  <si>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</si>
  <si>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</si>
  <si>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</si>
  <si>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</si>
  <si>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</si>
  <si>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</si>
  <si>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</si>
  <si>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</si>
  <si>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</si>
  <si>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</si>
  <si>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</si>
  <si>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</si>
  <si>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</si>
  <si>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</si>
  <si>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</si>
  <si>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</si>
  <si>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</si>
  <si>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</si>
  <si>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</si>
  <si>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</si>
  <si>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</si>
  <si>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</si>
  <si>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</si>
  <si>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</si>
  <si>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</si>
  <si>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</si>
  <si>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</si>
  <si>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</si>
  <si>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</si>
  <si>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</si>
  <si>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</si>
  <si>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</si>
  <si>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</si>
  <si>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</si>
  <si>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</si>
  <si>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</si>
  <si>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</si>
  <si>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</si>
  <si>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</si>
  <si>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</si>
  <si>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</si>
  <si>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</si>
  <si>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</si>
  <si>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</si>
  <si>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</si>
  <si>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</si>
  <si>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</si>
  <si>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</si>
  <si>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</si>
  <si>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</si>
  <si>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</si>
  <si>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</si>
  <si>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</si>
  <si>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</si>
  <si>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</si>
  <si>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</si>
  <si>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</si>
  <si>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</si>
  <si>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</si>
  <si>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</si>
  <si>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</si>
  <si>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</si>
  <si>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</si>
  <si>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</si>
  <si>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</si>
  <si>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</si>
  <si>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</si>
  <si>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</si>
  <si>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</si>
  <si>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</si>
  <si>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</si>
  <si>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</si>
  <si>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</si>
  <si>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</si>
  <si>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</si>
  <si>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</si>
  <si>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</si>
  <si>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</si>
  <si>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</si>
  <si>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</si>
  <si>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</si>
  <si>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</si>
  <si>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</si>
  <si>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</si>
  <si>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</si>
  <si>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</si>
  <si>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</si>
  <si>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</si>
  <si>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</si>
  <si>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</si>
  <si>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</si>
  <si>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</si>
  <si>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</si>
  <si>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</si>
  <si>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</si>
  <si>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</si>
  <si>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</si>
  <si>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</si>
  <si>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</si>
  <si>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</si>
  <si>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</si>
  <si>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</si>
  <si>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</si>
  <si>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</si>
  <si>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</si>
  <si>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</si>
  <si>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</si>
  <si>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</si>
  <si>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</si>
  <si>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</si>
  <si>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</si>
  <si>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</si>
  <si>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</si>
  <si>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</si>
  <si>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</si>
  <si>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</si>
  <si>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</si>
  <si>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</si>
  <si>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</si>
  <si>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</si>
  <si>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</si>
  <si>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</si>
  <si>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</si>
  <si>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</si>
  <si>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</si>
  <si>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</si>
  <si>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</si>
  <si>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</si>
  <si>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</si>
  <si>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</si>
  <si>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</si>
  <si>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</si>
  <si>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</si>
  <si>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</si>
  <si>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</si>
  <si>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</si>
  <si>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</si>
  <si>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</si>
  <si>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</si>
  <si>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</si>
  <si>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</si>
  <si>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</si>
  <si>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</si>
  <si>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</si>
  <si>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</si>
  <si>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</si>
  <si>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</si>
  <si>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</si>
  <si>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</si>
  <si>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</si>
  <si>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</si>
  <si>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</si>
  <si>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</si>
  <si>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</si>
  <si>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</si>
  <si>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</si>
  <si>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</si>
  <si>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</si>
  <si>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</si>
  <si>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</si>
  <si>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</si>
  <si>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</si>
  <si>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</si>
  <si>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</si>
  <si>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</si>
  <si>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</si>
  <si>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</si>
  <si>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</si>
  <si>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</si>
  <si>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</si>
  <si>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</si>
  <si>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</si>
  <si>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</si>
  <si>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</si>
  <si>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</si>
  <si>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</si>
  <si>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</si>
  <si>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</si>
  <si>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</si>
  <si>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</si>
  <si>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</si>
  <si>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</si>
  <si>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</si>
  <si>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</si>
  <si>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</si>
  <si>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</si>
  <si>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</si>
  <si>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</si>
  <si>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</si>
  <si>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</si>
  <si>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</si>
  <si>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</si>
  <si>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</si>
  <si>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</si>
  <si>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</si>
  <si>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</si>
  <si>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</si>
  <si>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</si>
  <si>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</si>
  <si>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</si>
  <si>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</si>
  <si>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</si>
  <si>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</si>
  <si>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</si>
  <si>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</si>
  <si>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</si>
  <si>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</si>
  <si>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</si>
  <si>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</si>
  <si>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</si>
  <si>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</si>
  <si>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</si>
  <si>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</si>
  <si>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</si>
  <si>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</si>
  <si>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</si>
  <si>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</si>
  <si>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</si>
  <si>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</si>
  <si>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</si>
  <si>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</si>
  <si>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</si>
  <si>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</si>
  <si>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</si>
  <si>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</si>
  <si>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</si>
  <si>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</si>
  <si>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</si>
  <si>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</si>
  <si>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</si>
  <si>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</si>
  <si>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</si>
  <si>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</si>
  <si>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</si>
  <si>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</si>
  <si>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</si>
  <si>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</si>
  <si>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</si>
  <si>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</si>
  <si>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</si>
  <si>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</si>
  <si>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</si>
  <si>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</si>
  <si>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</si>
  <si>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</si>
  <si>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</si>
  <si>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</si>
  <si>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</si>
  <si>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</si>
  <si>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</si>
  <si>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</si>
  <si>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</si>
  <si>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</si>
  <si>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</si>
  <si>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</si>
  <si>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</si>
  <si>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</si>
  <si>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</si>
  <si>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</si>
  <si>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</si>
  <si>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</si>
  <si>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</si>
  <si>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</si>
  <si>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</si>
  <si>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</si>
  <si>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</si>
  <si>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</si>
  <si>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</si>
  <si>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</si>
  <si>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</si>
  <si>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</si>
  <si>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</si>
  <si>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</si>
  <si>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</si>
  <si>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</si>
  <si>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</si>
  <si>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</si>
  <si>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</si>
  <si>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</si>
  <si>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</si>
  <si>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</si>
  <si>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</si>
  <si>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</si>
  <si>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</si>
  <si>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</si>
  <si>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</si>
  <si>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</si>
  <si>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</si>
  <si>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</si>
  <si>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</si>
  <si>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</si>
  <si>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</si>
  <si>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</si>
  <si>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</si>
  <si>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</si>
  <si>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</si>
  <si>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</si>
  <si>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</si>
  <si>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</si>
  <si>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</si>
  <si>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</si>
  <si>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</si>
  <si>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</si>
  <si>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</si>
  <si>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</si>
  <si>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</si>
  <si>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</si>
  <si>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</si>
  <si>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</si>
  <si>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</si>
  <si>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</si>
  <si>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</si>
  <si>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</si>
  <si>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</si>
  <si>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</si>
  <si>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</si>
  <si>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</si>
  <si>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</si>
  <si>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</si>
  <si>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</si>
  <si>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</si>
  <si>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</si>
  <si>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</si>
  <si>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</si>
  <si>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</si>
  <si>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</si>
  <si>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</si>
  <si>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</si>
  <si>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</si>
  <si>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</si>
  <si>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</si>
  <si>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</si>
  <si>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</si>
  <si>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</si>
  <si>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</si>
  <si>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</si>
  <si>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</si>
  <si>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</si>
  <si>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</si>
  <si>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</si>
  <si>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</si>
  <si>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</si>
  <si>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</si>
  <si>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</si>
  <si>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</si>
  <si>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</si>
  <si>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</si>
  <si>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</si>
  <si>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</si>
  <si>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</si>
  <si>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</si>
  <si>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</si>
  <si>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</si>
  <si>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</si>
  <si>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</si>
  <si>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</si>
  <si>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</si>
  <si>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</si>
  <si>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</si>
  <si>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</si>
  <si>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</si>
  <si>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</si>
  <si>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</si>
  <si>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</si>
  <si>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</si>
  <si>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</si>
  <si>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</si>
  <si>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</si>
  <si>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</si>
  <si>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</si>
  <si>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</si>
  <si>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</si>
  <si>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</si>
  <si>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</si>
  <si>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</si>
  <si>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</si>
  <si>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</si>
  <si>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</si>
  <si>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</si>
  <si>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</si>
  <si>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</si>
  <si>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</si>
  <si>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</si>
  <si>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</si>
  <si>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</si>
  <si>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</si>
  <si>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</si>
  <si>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</si>
  <si>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</si>
  <si>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</si>
  <si>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</si>
  <si>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</si>
  <si>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</si>
  <si>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</si>
  <si>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</si>
  <si>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</si>
  <si>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</si>
  <si>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</si>
  <si>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</si>
  <si>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</si>
  <si>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</si>
  <si>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</si>
  <si>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</si>
  <si>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</si>
  <si>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</si>
  <si>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</si>
  <si>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</si>
  <si>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</si>
  <si>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</si>
  <si>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</si>
  <si>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</si>
  <si>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</si>
  <si>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</si>
  <si>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</si>
  <si>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</si>
  <si>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</si>
  <si>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</si>
  <si>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</si>
  <si>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</si>
  <si>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</si>
  <si>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</si>
  <si>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</si>
  <si>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</si>
  <si>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</si>
  <si>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</si>
  <si>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</si>
  <si>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</si>
  <si>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</si>
  <si>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</si>
  <si>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</si>
  <si>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</si>
  <si>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</si>
  <si>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</si>
  <si>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</si>
  <si>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</si>
  <si>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</si>
  <si>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</si>
  <si>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</si>
  <si>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</si>
  <si>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</si>
  <si>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</si>
  <si>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</si>
  <si>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</si>
  <si>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</si>
  <si>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</si>
  <si>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</si>
  <si>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</si>
  <si>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</si>
  <si>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</si>
  <si>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</si>
  <si>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</si>
  <si>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</si>
  <si>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</si>
  <si>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</si>
  <si>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</si>
  <si>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</si>
  <si>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</si>
  <si>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</si>
  <si>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</si>
  <si>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</si>
  <si>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</si>
  <si>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</si>
  <si>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</si>
  <si>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</si>
  <si>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</si>
  <si>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</si>
  <si>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</si>
  <si>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</si>
  <si>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</si>
  <si>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</si>
  <si>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</si>
  <si>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</si>
  <si>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</si>
  <si>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</si>
  <si>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</si>
  <si>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</si>
  <si>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</si>
  <si>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</si>
  <si>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</si>
  <si>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</si>
  <si>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</si>
  <si>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</si>
  <si>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</si>
  <si>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</si>
  <si>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</si>
  <si>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</si>
  <si>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</si>
  <si>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</si>
  <si>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</si>
  <si>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</si>
  <si>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</si>
  <si>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</si>
  <si>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</si>
  <si>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</si>
  <si>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</si>
  <si>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</si>
  <si>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</si>
  <si>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</si>
  <si>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</si>
  <si>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</si>
  <si>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</si>
  <si>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</si>
  <si>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</si>
  <si>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</si>
  <si>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</si>
  <si>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</si>
  <si>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</si>
  <si>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</si>
  <si>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</si>
  <si>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</si>
  <si>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</si>
  <si>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</si>
  <si>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</si>
  <si>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</si>
  <si>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</si>
  <si>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</si>
  <si>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</si>
  <si>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</si>
  <si>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</si>
  <si>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</si>
  <si>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</si>
  <si>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</si>
  <si>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</si>
  <si>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</si>
  <si>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</si>
  <si>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</si>
  <si>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</si>
  <si>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</si>
  <si>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</si>
  <si>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</si>
  <si>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</si>
  <si>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</si>
  <si>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</si>
  <si>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</si>
  <si>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</si>
  <si>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</si>
  <si>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</si>
  <si>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</si>
  <si>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</si>
  <si>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</si>
  <si>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</si>
  <si>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</si>
  <si>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</si>
  <si>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</si>
  <si>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</si>
  <si>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</si>
  <si>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</si>
  <si>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</si>
  <si>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</si>
  <si>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</si>
  <si>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</si>
  <si>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</si>
  <si>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</si>
  <si>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</si>
  <si>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</si>
  <si>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</si>
  <si>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</si>
  <si>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</si>
  <si>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</si>
  <si>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</si>
  <si>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</si>
  <si>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</si>
  <si>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</si>
  <si>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</si>
  <si>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</si>
  <si>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</si>
  <si>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</si>
  <si>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</si>
  <si>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</si>
  <si>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</si>
  <si>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</si>
  <si>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</si>
  <si>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</si>
  <si>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</si>
  <si>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</si>
  <si>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</si>
  <si>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</si>
  <si>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</si>
  <si>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</si>
  <si>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</si>
  <si>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</si>
  <si>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</si>
  <si>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</si>
  <si>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</si>
  <si>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</si>
  <si>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</si>
  <si>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</si>
  <si>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</si>
  <si>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</si>
  <si>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</si>
  <si>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</si>
  <si>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</si>
  <si>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</si>
  <si>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</si>
  <si>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</si>
  <si>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</si>
  <si>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</si>
  <si>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</si>
  <si>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</si>
  <si>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</si>
  <si>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</si>
  <si>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</si>
  <si>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</si>
  <si>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</si>
  <si>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</si>
  <si>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</si>
  <si>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</si>
  <si>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</si>
  <si>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</si>
  <si>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</si>
  <si>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</si>
  <si>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</si>
  <si>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</si>
  <si>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</si>
  <si>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</si>
  <si>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</si>
  <si>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</si>
  <si>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</si>
  <si>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</si>
  <si>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</si>
  <si>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</si>
  <si>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</si>
  <si>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</si>
  <si>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</si>
  <si>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</si>
  <si>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</si>
  <si>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</si>
  <si>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</si>
  <si>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</si>
  <si>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</si>
  <si>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</si>
  <si>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</si>
  <si>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</si>
  <si>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</si>
  <si>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</si>
  <si>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</si>
  <si>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</si>
  <si>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</si>
  <si>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</si>
  <si>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</si>
  <si>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</si>
  <si>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</si>
  <si>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</si>
  <si>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</si>
  <si>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</si>
  <si>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</si>
  <si>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</si>
  <si>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</si>
  <si>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</si>
  <si>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</si>
  <si>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</si>
  <si>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</si>
  <si>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</si>
  <si>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</si>
  <si>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</si>
  <si>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</si>
  <si>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</si>
  <si>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</si>
  <si>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</si>
  <si>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</si>
  <si>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</si>
  <si>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</si>
  <si>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</si>
  <si>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</si>
  <si>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</si>
  <si>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</si>
  <si>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</si>
  <si>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</si>
  <si>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</si>
  <si>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</si>
  <si>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</si>
  <si>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</si>
  <si>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</si>
  <si>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</si>
  <si>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</si>
  <si>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</si>
  <si>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</si>
  <si>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</si>
  <si>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</si>
  <si>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</si>
  <si>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</si>
  <si>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</si>
  <si>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</si>
  <si>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</si>
  <si>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</si>
  <si>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</si>
  <si>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</si>
  <si>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</si>
  <si>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</si>
  <si>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</si>
  <si>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</si>
  <si>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</si>
  <si>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</si>
  <si>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</si>
  <si>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</si>
  <si>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</si>
  <si>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</si>
  <si>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</si>
  <si>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</si>
  <si>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</si>
  <si>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</si>
  <si>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</si>
  <si>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</si>
  <si>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</si>
  <si>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</si>
  <si>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</si>
  <si>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</si>
  <si>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</si>
  <si>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</si>
  <si>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</si>
  <si>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</si>
  <si>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</si>
  <si>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</si>
  <si>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</si>
  <si>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</si>
  <si>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</si>
  <si>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</si>
  <si>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</si>
  <si>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</si>
  <si>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</si>
  <si>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</si>
  <si>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</si>
  <si>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</si>
  <si>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</si>
  <si>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</si>
  <si>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</si>
  <si>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</si>
  <si>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</si>
  <si>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</si>
  <si>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</si>
  <si>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</si>
  <si>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</si>
  <si>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</si>
  <si>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</si>
  <si>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</si>
  <si>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</si>
  <si>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</si>
  <si>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</si>
  <si>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</si>
  <si>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</si>
  <si>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</si>
  <si>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</si>
  <si>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</si>
  <si>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</si>
  <si>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</si>
  <si>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</si>
  <si>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</si>
  <si>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</si>
  <si>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</si>
  <si>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</si>
  <si>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</si>
  <si>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</si>
  <si>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</si>
  <si>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</si>
  <si>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</si>
  <si>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</si>
  <si>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</si>
  <si>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</si>
  <si>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</si>
  <si>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</si>
  <si>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</si>
  <si>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</si>
  <si>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</si>
  <si>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</si>
  <si>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</si>
  <si>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</si>
  <si>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</si>
  <si>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</si>
  <si>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</si>
  <si>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</si>
  <si>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</si>
  <si>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</si>
  <si>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</si>
  <si>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</si>
  <si>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</si>
  <si>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</si>
  <si>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</si>
  <si>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</si>
  <si>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</si>
  <si>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</si>
  <si>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</si>
  <si>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</si>
  <si>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</si>
  <si>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</si>
  <si>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</si>
  <si>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</si>
  <si>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</si>
  <si>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</si>
  <si>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</si>
  <si>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</si>
  <si>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</si>
  <si>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</si>
  <si>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</si>
  <si>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</si>
  <si>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</si>
  <si>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</si>
  <si>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</si>
  <si>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</si>
  <si>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</si>
  <si>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</si>
  <si>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</si>
  <si>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</si>
  <si>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</si>
  <si>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</si>
  <si>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</si>
  <si>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</si>
  <si>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</si>
  <si>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</si>
  <si>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</si>
  <si>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</si>
  <si>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</si>
  <si>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</si>
  <si>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</si>
  <si>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</si>
  <si>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</si>
  <si>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</si>
  <si>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</si>
  <si>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</si>
  <si>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</si>
  <si>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</si>
  <si>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</si>
  <si>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</si>
  <si>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</si>
  <si>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</si>
  <si>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</si>
  <si>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</si>
  <si>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</si>
  <si>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</si>
  <si>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</si>
  <si>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</si>
  <si>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</si>
  <si>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</si>
  <si>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</si>
  <si>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</si>
  <si>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</si>
  <si>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</si>
  <si>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</si>
  <si>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</si>
  <si>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</si>
  <si>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</si>
  <si>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</si>
  <si>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</si>
  <si>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</si>
  <si>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</si>
  <si>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</si>
  <si>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</si>
  <si>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</si>
  <si>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</si>
  <si>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</si>
  <si>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</si>
  <si>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</si>
  <si>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</si>
  <si>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</si>
  <si>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</si>
  <si>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</si>
  <si>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</si>
  <si>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</si>
  <si>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</si>
  <si>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</si>
  <si>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</si>
  <si>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</si>
  <si>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</si>
  <si>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</si>
  <si>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</si>
  <si>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</si>
  <si>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</si>
  <si>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</si>
  <si>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</si>
  <si>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</si>
  <si>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</si>
  <si>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</si>
  <si>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</si>
  <si>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</si>
  <si>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</si>
  <si>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</si>
  <si>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</si>
  <si>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</si>
  <si>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</si>
  <si>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</si>
  <si>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</si>
  <si>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</si>
  <si>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</si>
  <si>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</si>
  <si>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</si>
  <si>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</si>
  <si>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</si>
  <si>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</si>
  <si>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</si>
  <si>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</si>
  <si>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</si>
  <si>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</si>
  <si>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</si>
  <si>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</si>
  <si>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</si>
  <si>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</si>
  <si>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</si>
  <si>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</si>
  <si>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</si>
  <si>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</si>
  <si>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</si>
  <si>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</si>
  <si>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</si>
  <si>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</si>
  <si>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</si>
  <si>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</si>
  <si>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</si>
  <si>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</si>
  <si>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</si>
  <si>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</si>
  <si>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</si>
  <si>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</si>
  <si>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</si>
  <si>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</si>
  <si>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</si>
  <si>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</si>
  <si>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</si>
  <si>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</si>
  <si>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</si>
  <si>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</si>
  <si>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</si>
  <si>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</si>
  <si>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</si>
  <si>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</si>
  <si>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</si>
  <si>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</si>
  <si>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</si>
  <si>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</si>
  <si>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</si>
  <si>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</si>
  <si>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</si>
  <si>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</si>
  <si>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</si>
  <si>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</si>
  <si>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</si>
  <si>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</si>
  <si>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</si>
  <si>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</si>
  <si>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</si>
  <si>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</si>
  <si>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</si>
  <si>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</si>
  <si>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</si>
  <si>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</si>
  <si>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</si>
  <si>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</si>
  <si>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</si>
  <si>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</si>
  <si>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</si>
  <si>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</si>
  <si>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</si>
  <si>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</si>
  <si>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</si>
  <si>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</si>
  <si>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</si>
  <si>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</si>
  <si>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</si>
  <si>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</si>
  <si>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</si>
  <si>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</si>
  <si>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</si>
  <si>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</si>
  <si>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</si>
  <si>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</si>
  <si>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</si>
  <si>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</si>
  <si>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</si>
  <si>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</si>
  <si>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</si>
  <si>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</si>
  <si>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</si>
  <si>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</si>
  <si>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</si>
  <si>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</si>
  <si>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</si>
  <si>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</si>
  <si>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</si>
  <si>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</si>
  <si>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</si>
  <si>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</si>
  <si>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</si>
  <si>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</si>
  <si>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</si>
  <si>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</si>
  <si>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</si>
  <si>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</si>
  <si>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</si>
  <si>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</si>
  <si>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</si>
  <si>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</si>
  <si>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</si>
  <si>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</si>
  <si>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</si>
  <si>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</si>
  <si>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</si>
  <si>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</si>
  <si>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</si>
  <si>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</si>
  <si>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</si>
  <si>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</si>
  <si>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</si>
  <si>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</si>
  <si>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</si>
  <si>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</si>
  <si>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</si>
  <si>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</si>
  <si>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</si>
  <si>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</si>
  <si>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</si>
  <si>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</si>
  <si>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</si>
  <si>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</si>
  <si>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</si>
  <si>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</si>
  <si>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</si>
  <si>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</si>
  <si>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</si>
  <si>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</si>
  <si>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</si>
  <si>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</si>
  <si>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</si>
  <si>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</si>
  <si>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</si>
  <si>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</si>
  <si>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</si>
  <si>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</si>
  <si>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</si>
  <si>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</si>
  <si>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</si>
  <si>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</si>
  <si>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</si>
  <si>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</si>
  <si>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</si>
  <si>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</si>
  <si>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</si>
  <si>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</si>
  <si>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</si>
  <si>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</si>
  <si>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</si>
  <si>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</si>
  <si>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</si>
  <si>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</si>
  <si>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</si>
  <si>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</si>
  <si>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</si>
  <si>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</si>
  <si>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</si>
  <si>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</si>
  <si>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</si>
  <si>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</si>
  <si>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</si>
  <si>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</si>
  <si>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</si>
  <si>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</si>
  <si>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</si>
  <si>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</si>
  <si>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</si>
  <si>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</si>
  <si>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</si>
  <si>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</si>
  <si>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</si>
  <si>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</si>
  <si>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</si>
  <si>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</si>
  <si>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</si>
  <si>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</si>
  <si>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</si>
  <si>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</si>
  <si>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</si>
  <si>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</si>
  <si>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</si>
  <si>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</si>
  <si>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</si>
  <si>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</si>
  <si>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</si>
  <si>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</si>
  <si>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</si>
  <si>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</si>
  <si>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</si>
  <si>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</si>
  <si>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</si>
  <si>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</si>
  <si>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</si>
  <si>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</si>
  <si>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</si>
  <si>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</si>
  <si>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</si>
  <si>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</si>
  <si>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</si>
  <si>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</si>
  <si>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</si>
  <si>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</si>
  <si>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</si>
  <si>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</si>
  <si>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</si>
  <si>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</si>
  <si>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</si>
  <si>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</si>
  <si>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</si>
  <si>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</si>
  <si>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</si>
  <si>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</si>
  <si>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</si>
  <si>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</si>
  <si>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</si>
  <si>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</si>
  <si>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</si>
  <si>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</si>
  <si>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</si>
  <si>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</si>
  <si>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</si>
  <si>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</si>
  <si>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</si>
  <si>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</si>
  <si>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</si>
  <si>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</si>
  <si>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</si>
  <si>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</si>
  <si>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</si>
  <si>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</si>
  <si>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</si>
  <si>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</si>
  <si>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</si>
  <si>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</si>
  <si>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</si>
  <si>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</si>
  <si>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</si>
  <si>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</si>
  <si>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</si>
  <si>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</si>
  <si>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</si>
  <si>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</si>
  <si>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</si>
  <si>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</si>
  <si>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</si>
  <si>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</si>
  <si>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</si>
  <si>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</si>
  <si>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</si>
  <si>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</si>
  <si>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</si>
  <si>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</si>
  <si>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</si>
  <si>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</si>
  <si>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</si>
  <si>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</si>
  <si>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</si>
  <si>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</si>
  <si>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</si>
  <si>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</si>
  <si>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</si>
  <si>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</si>
  <si>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</si>
  <si>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</si>
  <si>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</si>
  <si>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</si>
  <si>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</si>
  <si>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</si>
  <si>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</si>
  <si>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</si>
  <si>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</si>
  <si>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</si>
  <si>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</si>
  <si>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</si>
  <si>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</si>
  <si>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</si>
  <si>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</si>
  <si>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</si>
  <si>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</si>
  <si>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</si>
  <si>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</si>
  <si>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</si>
  <si>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</si>
  <si>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</si>
  <si>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</si>
  <si>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</si>
  <si>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</si>
  <si>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</si>
  <si>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</si>
  <si>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</si>
  <si>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</si>
  <si>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</si>
  <si>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</si>
  <si>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</si>
  <si>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</si>
  <si>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</si>
  <si>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</si>
  <si>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</si>
  <si>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</si>
  <si>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</si>
  <si>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</si>
  <si>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</si>
  <si>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</si>
  <si>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</si>
  <si>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</si>
  <si>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</si>
  <si>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</si>
  <si>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</si>
  <si>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</si>
  <si>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</si>
  <si>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</si>
  <si>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</si>
  <si>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</si>
  <si>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</si>
  <si>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</si>
  <si>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</si>
  <si>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</si>
  <si>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</si>
  <si>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</si>
  <si>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</si>
  <si>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</si>
  <si>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</si>
  <si>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</si>
  <si>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</si>
  <si>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</si>
  <si>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</si>
  <si>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</si>
  <si>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</si>
  <si>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</si>
  <si>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</si>
  <si>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</si>
  <si>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</si>
  <si>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</si>
  <si>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</si>
  <si>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</si>
  <si>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</si>
  <si>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</si>
  <si>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</si>
  <si>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</si>
  <si>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</si>
  <si>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</si>
  <si>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</si>
  <si>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</si>
  <si>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</si>
  <si>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</si>
  <si>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</si>
  <si>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</si>
  <si>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</si>
  <si>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</si>
  <si>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</si>
  <si>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</si>
  <si>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</si>
  <si>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</si>
  <si>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</si>
  <si>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</si>
  <si>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</si>
  <si>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</si>
  <si>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</si>
  <si>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</si>
  <si>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</si>
  <si>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</si>
  <si>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</si>
  <si>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</si>
  <si>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</si>
  <si>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</si>
  <si>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</si>
  <si>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</si>
  <si>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</si>
  <si>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</si>
  <si>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</si>
  <si>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</si>
  <si>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</si>
  <si>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</si>
  <si>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</si>
  <si>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</si>
  <si>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</si>
  <si>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</si>
  <si>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</si>
  <si>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</si>
  <si>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</si>
  <si>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</si>
  <si>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</si>
  <si>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</si>
  <si>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</si>
  <si>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</si>
  <si>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</si>
  <si>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</si>
  <si>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</si>
  <si>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</si>
  <si>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</si>
  <si>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</si>
  <si>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</si>
  <si>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</si>
  <si>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</si>
  <si>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</si>
  <si>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</si>
  <si>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</si>
  <si>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</si>
  <si>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</si>
  <si>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</si>
  <si>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</si>
  <si>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</si>
  <si>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</si>
  <si>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</si>
  <si>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</si>
  <si>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</si>
  <si>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</si>
  <si>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</si>
  <si>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</si>
  <si>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</si>
  <si>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</si>
  <si>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</si>
  <si>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</si>
  <si>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</si>
  <si>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</si>
  <si>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</si>
  <si>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</si>
  <si>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</si>
  <si>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</si>
  <si>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</si>
  <si>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</si>
  <si>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</si>
  <si>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</si>
  <si>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</si>
  <si>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</si>
  <si>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W US 05/15/26 C125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</si>
  <si>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</si>
  <si>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</si>
  <si>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</si>
  <si>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</si>
  <si>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</si>
  <si>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</si>
  <si>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</si>
  <si>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</si>
  <si>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</si>
  <si>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</si>
  <si>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</si>
  <si>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</si>
  <si>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</si>
  <si>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</si>
  <si>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</si>
  <si>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ASML US 01/23/26 P1200</t>
  </si>
  <si>
    <t>ASML US 01/23/26 P1100</t>
  </si>
  <si>
    <t>AMAT US 01/23/26 P280</t>
  </si>
  <si>
    <t>AMAT US 01/23/26 P290</t>
  </si>
  <si>
    <t>Internet/SW</t>
  </si>
  <si>
    <t>AMAT US 01/23/26 P290 Equity</t>
  </si>
  <si>
    <t>AMAT US Equity</t>
  </si>
  <si>
    <t>290</t>
  </si>
  <si>
    <t>AMAT US 01/23/26 P280 Equity</t>
  </si>
  <si>
    <t>280</t>
  </si>
  <si>
    <t>Pairs</t>
  </si>
  <si>
    <t>QQQ US 01/16/26 C635</t>
  </si>
  <si>
    <t>QQQ US 01/16/26 C633</t>
  </si>
  <si>
    <t>QQQ US 01/16/26 P622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</si>
  <si>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</si>
  <si>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</si>
  <si>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</si>
  <si>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</si>
  <si>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</si>
  <si>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</si>
  <si>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</si>
  <si>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</si>
  <si>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</si>
  <si>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</si>
  <si>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</si>
  <si>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1OG6P 25000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</si>
  <si>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</si>
  <si>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</si>
  <si>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</si>
  <si>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</si>
  <si>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</si>
  <si>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</si>
  <si>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</si>
  <si>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</si>
  <si>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</si>
  <si>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NASDAQ-100 E-mini Options - CME</t>
  </si>
  <si>
    <t>DELL DIVIDEND_</t>
  </si>
  <si>
    <t>000660 KP</t>
  </si>
  <si>
    <t>SNDK US 02/20/26 C500</t>
  </si>
  <si>
    <t>MRVL US 03/20/26 P70</t>
  </si>
  <si>
    <t>SNDK</t>
  </si>
  <si>
    <t>QQQ US 01/21/26 P616</t>
  </si>
  <si>
    <t>QQQ US 01/23/26 P615</t>
  </si>
  <si>
    <t>QQQ US 01/21/26 P614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</si>
  <si>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</si>
  <si>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</si>
  <si>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</si>
  <si>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</si>
  <si>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</si>
  <si>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</si>
  <si>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</si>
  <si>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</si>
  <si>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</si>
  <si>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</si>
  <si>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</si>
  <si>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QQQ US 01/26/26 C627</t>
  </si>
  <si>
    <t>QQQ US 01/26/26 C630</t>
  </si>
  <si>
    <t>QQQ US 01/26/26 P615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</si>
  <si>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</si>
  <si>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</si>
  <si>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</si>
  <si>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</si>
  <si>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</si>
  <si>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</si>
  <si>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</si>
  <si>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Provision CME USD_</t>
  </si>
  <si>
    <t>SWAP 000660 KP 23JAN2026 25JAN2027 509.6192</t>
  </si>
  <si>
    <t>COPX US 04/17/26 C95</t>
  </si>
  <si>
    <t>COPX US 07/17/26 C85</t>
  </si>
  <si>
    <t>COPX US 07/17/26 C95</t>
  </si>
  <si>
    <t>NVDA US 07/17/26 C195</t>
  </si>
  <si>
    <t>META US 07/17/26 C680</t>
  </si>
  <si>
    <t>QQQ US 02/06/26 P616</t>
  </si>
  <si>
    <t>QQQ US 02/06/26 C630</t>
  </si>
  <si>
    <t>META US 02/27/26 C660</t>
  </si>
  <si>
    <t>INTC US 01/23/26 C60</t>
  </si>
  <si>
    <t>QQQ US 01/26/26 P615 Equity</t>
  </si>
  <si>
    <t>615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</si>
  <si>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</si>
  <si>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</si>
  <si>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</si>
  <si>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</si>
  <si>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</si>
  <si>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</si>
  <si>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</si>
  <si>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</si>
  <si>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</si>
  <si>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</si>
  <si>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</si>
  <si>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</si>
  <si>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</si>
  <si>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</si>
  <si>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</si>
  <si>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</si>
  <si>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</si>
  <si>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</si>
  <si>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</si>
  <si>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</si>
  <si>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</si>
  <si>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</si>
  <si>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</si>
  <si>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</si>
  <si>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</si>
  <si>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</si>
  <si>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</si>
  <si>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</si>
  <si>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</si>
  <si>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Provision Korea Exchange USD_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</si>
  <si>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</si>
  <si>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</si>
  <si>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</si>
  <si>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</si>
  <si>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</si>
  <si>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</si>
  <si>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</si>
  <si>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</si>
  <si>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</si>
  <si>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</si>
  <si>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</si>
  <si>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</si>
  <si>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</si>
  <si>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</si>
  <si>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</si>
  <si>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</si>
  <si>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</si>
  <si>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</si>
  <si>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</si>
  <si>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</si>
  <si>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</si>
  <si>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</si>
  <si>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1OG6C 26000</t>
  </si>
  <si>
    <t>CSCO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</si>
</sst>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39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1" borderId="0" xfId="0" applyNumberFormat="1" applyFont="1" applyFill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15" fillId="0" borderId="0" xfId="0" quotePrefix="1" applyFont="1"/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0" fontId="86" fillId="0" borderId="0" xfId="0" applyFont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15" fillId="0" borderId="0" xfId="0" applyFont="1" applyAlignment="1">
      <alignment horizontal="left"/>
    </xf>
    <xf numFmtId="0" fontId="3" fillId="92" borderId="49" xfId="0" applyFont="1" applyFill="1" applyBorder="1" applyAlignment="1">
      <alignment horizontal="center"/>
    </xf>
    <xf numFmtId="4" fontId="28" fillId="11" borderId="0" xfId="190" applyFont="1" applyFill="1"/>
    <xf numFmtId="4" fontId="86" fillId="11" borderId="0" xfId="190" applyFont="1" applyFill="1"/>
    <xf numFmtId="10" fontId="0" fillId="11" borderId="0" xfId="1" applyNumberFormat="1" applyFont="1" applyFill="1"/>
    <xf numFmtId="9" fontId="0" fillId="11" borderId="0" xfId="1" applyFont="1" applyFill="1"/>
    <xf numFmtId="172" fontId="0" fillId="11" borderId="0" xfId="1" applyNumberFormat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5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4" fontId="0" fillId="11" borderId="0" xfId="190" applyFont="1" applyFill="1"/>
    <xf numFmtId="169" fontId="0" fillId="11" borderId="0" xfId="190" applyNumberFormat="1" applyFont="1" applyFill="1"/>
    <xf numFmtId="2" fontId="0" fillId="11" borderId="0" xfId="0" applyNumberFormat="1" applyFill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4" fontId="28" fillId="96" borderId="0" xfId="190" applyFont="1" applyFill="1"/>
    <xf numFmtId="0" fontId="0" fillId="96" borderId="0" xfId="0" applyFill="1"/>
    <xf numFmtId="166" fontId="0" fillId="96" borderId="0" xfId="190" applyNumberFormat="1" applyFont="1" applyFill="1"/>
    <xf numFmtId="4" fontId="86" fillId="96" borderId="0" xfId="190" applyFont="1" applyFill="1"/>
    <xf numFmtId="43" fontId="0" fillId="96" borderId="0" xfId="190" applyNumberFormat="1" applyFont="1" applyFill="1"/>
    <xf numFmtId="10" fontId="0" fillId="96" borderId="0" xfId="1" applyNumberFormat="1" applyFont="1" applyFill="1"/>
    <xf numFmtId="9" fontId="0" fillId="96" borderId="0" xfId="1" applyFont="1" applyFill="1"/>
    <xf numFmtId="172" fontId="0" fillId="96" borderId="0" xfId="1" applyNumberFormat="1" applyFont="1" applyFill="1"/>
    <xf numFmtId="170" fontId="1" fillId="96" borderId="0" xfId="190" applyNumberFormat="1" applyFont="1" applyFill="1"/>
    <xf numFmtId="43" fontId="0" fillId="96" borderId="0" xfId="190" quotePrefix="1" applyNumberFormat="1" applyFont="1" applyFill="1"/>
    <xf numFmtId="4" fontId="1" fillId="96" borderId="0" xfId="190" applyFont="1" applyFill="1" applyAlignment="1">
      <alignment horizontal="right"/>
    </xf>
    <xf numFmtId="167" fontId="0" fillId="96" borderId="0" xfId="190" applyNumberFormat="1" applyFont="1" applyFill="1"/>
    <xf numFmtId="195" fontId="0" fillId="96" borderId="0" xfId="190" applyNumberFormat="1" applyFont="1" applyFill="1"/>
    <xf numFmtId="170" fontId="0" fillId="96" borderId="0" xfId="190" applyNumberFormat="1" applyFont="1" applyFill="1"/>
    <xf numFmtId="171" fontId="0" fillId="96" borderId="0" xfId="190" applyNumberFormat="1" applyFont="1" applyFill="1"/>
    <xf numFmtId="172" fontId="0" fillId="96" borderId="0" xfId="0" applyNumberFormat="1" applyFill="1"/>
    <xf numFmtId="4" fontId="0" fillId="96" borderId="0" xfId="190" applyFont="1" applyFill="1"/>
    <xf numFmtId="169" fontId="0" fillId="96" borderId="0" xfId="190" applyNumberFormat="1" applyFont="1" applyFill="1"/>
    <xf numFmtId="2" fontId="0" fillId="96" borderId="0" xfId="0" applyNumberFormat="1" applyFill="1"/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</cellXfs>
  <cellStyles count="546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7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USD</v>
        <stp/>
        <stp>BDP|1450739568463243609|22</stp>
        <stp>INTC US 01/23/26 C60 Equity</stp>
        <stp>QUOTED_CURRENCY_REALTIME</stp>
        <tr r="F39" s="89"/>
      </tp>
      <tp>
        <v>26765.52</v>
        <stp/>
        <stp>BDP|17098946093906753306|22</stp>
        <stp>HSI Index</stp>
        <stp>LAST_PRICE</stp>
        <tr r="H18" s="252"/>
        <tr r="H18" s="252"/>
      </tp>
      <tp>
        <v>398.82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5" s="2"/>
        <tr r="F63" s="89"/>
      </tp>
      <tp>
        <v>0.49561673402786255</v>
        <stp/>
        <stp>BDP|17313826581786805603|22</stp>
        <stp>AMZN US 07/17/26 C250 Equity</stp>
        <stp>DELTA_MID_RT</stp>
        <tr r="W234" s="89"/>
      </tp>
      <tp t="s">
        <v>#N/A Real Time</v>
        <stp/>
        <stp>BDP|9106857053131827566|22</stp>
        <stp>SPXW US 12/31/25 C6950 Index</stp>
        <stp>DELTA_MID_RT</stp>
        <tr r="W160" s="89"/>
      </tp>
      <tp>
        <v>0.49404162168502808</v>
        <stp/>
        <stp>BDP|16080044180315030458|22</stp>
        <stp>META US 04/17/26 C690 Equity</stp>
        <stp>DELTA_MID_RT</stp>
        <tr r="AF10" s="2"/>
        <tr r="W170" s="89"/>
      </tp>
      <tp>
        <v>2.12</v>
        <stp/>
        <stp>BDP|9946810605715956638|22</stp>
        <stp>AMAT US 01/23/26 P280 Equity</stp>
        <stp>ask</stp>
        <tr r="L56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>
        <v>42.55</v>
        <stp/>
        <stp>BDP|3303812229576852028|22</stp>
        <stp>MSFT US 07/17/26 C465 Equity</stp>
        <stp>ask</stp>
        <tr r="Q18" s="2"/>
      </tp>
      <tp t="s">
        <v>USD</v>
        <stp/>
        <stp>BDP|6836574577411751820|22</stp>
        <stp>MRVL US 03/20/26 P75 Equity</stp>
        <stp>QUOTED_CURRENCY_REALTIME</stp>
        <tr r="G13" s="2"/>
      </tp>
      <tp>
        <v>10</v>
        <stp/>
        <stp>BDP|6325338273908007494|22</stp>
        <stp>W US 05/15/26 C125 Equity</stp>
        <stp>bid</stp>
        <tr r="K40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39.5</v>
        <stp/>
        <stp>BDP|5846012848698429799|22</stp>
        <stp>MSFT US 07/17/26 C470 Equity</stp>
        <stp>bid</stp>
        <tr r="K235" s="89"/>
      </tp>
      <tp>
        <v>0.56005150079727173</v>
        <stp/>
        <stp>BDP|11737212965379664006|22</stp>
        <stp>META US 07/17/26 C680 Equity</stp>
        <stp>DELTA_MID_RT</stp>
        <tr r="W233" s="89"/>
      </tp>
      <tp>
        <v>0.53025108575820923</v>
        <stp/>
        <stp>BDP|15462594640836016524|22</stp>
        <stp>AMZN US 07/17/26 C245 Equity</stp>
        <stp>DELTA_MID_RT</stp>
        <tr r="AF4" s="2"/>
      </tp>
      <tp>
        <v>-0.10016670823097229</v>
        <stp/>
        <stp>BDP|2162853239863021436|22</stp>
        <stp>TSM US 06/18/26 C380 Equity</stp>
        <stp>theta_mid_rt</stp>
        <tr r="AN24" s="2"/>
      </tp>
      <tp>
        <v>37.049999999999997</v>
        <stp/>
        <stp>BDP|9887783620218546486|22</stp>
        <stp>MSFT US 07/17/26 C475 Equity</stp>
        <stp>mid</stp>
        <tr r="L17" s="2"/>
        <tr r="L16" s="2"/>
      </tp>
      <tp>
        <v>0.59409695863723755</v>
        <stp/>
        <stp>BDP|10012779820456568860|22</stp>
        <stp>META US 02/27/26 C660 Equity</stp>
        <stp>DELTA_MID_RT</stp>
        <tr r="W180" s="89"/>
      </tp>
      <tp>
        <v>31.88</v>
        <stp/>
        <stp>BDP|4238048935133024019|22</stp>
        <stp>AVGO US 06/18/26 C350 Equity</stp>
        <stp>mid</stp>
        <tr r="L6" s="2"/>
      </tp>
      <tp t="s">
        <v>#N/A N/A</v>
        <stp/>
        <stp>BDP|7439765758104486583|22</stp>
        <stp>AMAT US 01/23/26 P280 Equity</stp>
        <stp>bid</stp>
        <tr r="K56" s="89"/>
      </tp>
      <tp>
        <v>14.2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>
        <v>11.6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53.41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0.24486030638217926</v>
        <stp/>
        <stp>BDP|14091170888152008254|22</stp>
        <stp>ASHR US 02/20/26 C35 Equity</stp>
        <stp>DELTA_MID_RT</stp>
        <tr r="AF5" s="2"/>
      </tp>
      <tp t="s">
        <v>#N/A Real Time</v>
        <stp/>
        <stp>BDP|3350828662352011280|22</stp>
        <stp>RFSWZ4C3 2360 Index</stp>
        <stp>ask</stp>
        <tr r="L122" s="89"/>
      </tp>
      <tp>
        <v>-0.3505139946937561</v>
        <stp/>
        <stp>BDP|17295184878350823401|22</stp>
        <stp>INTC US 07/17/26 P40 Equity</stp>
        <stp>DELTA_MID_RT</stp>
        <tr r="AF22" s="2"/>
        <tr r="W197" s="89"/>
      </tp>
      <tp>
        <v>470.28</v>
        <stp/>
        <stp>BDP|274803756834169207|22</stp>
        <stp>MSFT EQUITY</stp>
        <stp>LAST_PRICE</stp>
        <tr r="C7" s="1"/>
      </tp>
      <tp t="s">
        <v>#N/A Real Time</v>
        <stp/>
        <stp>BDP|2891447407704048860|22</stp>
        <stp>IMBWK5C4 5840 Index</stp>
        <stp>bid</stp>
        <tr r="K89" s="89"/>
      </tp>
      <tp>
        <v>36.950000000000003</v>
        <stp/>
        <stp>BDP|4211808894894581595|22</stp>
        <stp>MSFT US 07/17/26 C475 Equity</stp>
        <stp>bid</stp>
        <tr r="P17" s="2"/>
        <tr r="P16" s="2"/>
      </tp>
      <tp t="s">
        <v>USD</v>
        <stp/>
        <stp>BDP|6256704095836032074|22</stp>
        <stp>INTC US 07/17/26 C50 Equity</stp>
        <stp>QUOTED_CURRENCY_REALTIME</stp>
        <tr r="G21" s="2"/>
        <tr r="F196" s="89"/>
      </tp>
      <tp t="s">
        <v>USD</v>
        <stp/>
        <stp>BDP|7525271008399615963|22</stp>
        <stp>MRVL US 03/20/26 P80 Equity</stp>
        <stp>QUOTED_CURRENCY_REALTIME</stp>
        <tr r="G14" s="2"/>
        <tr r="F62" s="89"/>
      </tp>
      <tp>
        <v>-0.62740910053253174</v>
        <stp/>
        <stp>BDP|14063713080232141765|22</stp>
        <stp>NFLX US 03/20/26 P90 Equity</stp>
        <stp>DELTA_MID_RT</stp>
        <tr r="W187" s="89"/>
      </tp>
      <tp t="s">
        <v>USD</v>
        <stp/>
        <stp>BDP|11169663965640262458|22</stp>
        <stp>1OG6C 26000 Index</stp>
        <stp>QUOTED_CURRENCY_REALTIME</stp>
        <tr r="F153" s="89"/>
        <tr r="F154" s="89"/>
      </tp>
      <tp>
        <v>251.23500000000001</v>
        <stp/>
        <stp>BDP|7192436358638044790|22</stp>
        <stp>AMD Equity</stp>
        <stp>LAST_PRICE</stp>
        <tr r="I34" s="1"/>
      </tp>
      <tp>
        <v>67.930000000000007</v>
        <stp/>
        <stp>BDP|3505174117914270567|22</stp>
        <stp>KRE Equity</stp>
        <stp>LAST PRICE</stp>
        <tr r="I54" s="338"/>
      </tp>
      <tp>
        <v>0.31971496343612671</v>
        <stp/>
        <stp>BDP|18353628177462926305|22</stp>
        <stp>LITE US 02/20/26 C400 Equity</stp>
        <stp>DELTA_MID_RT</stp>
        <tr r="W7" s="89"/>
      </tp>
      <tp>
        <v>263.98</v>
        <stp/>
        <stp>BDP|9630309169962502325|22</stp>
        <stp>IWM Equity</stp>
        <stp>LAST PRICE</stp>
        <tr r="I48" s="338"/>
        <tr r="I49" s="338"/>
      </tp>
      <tp t="s">
        <v>#N/A Requesting Data...411010649</v>
        <stp/>
        <stp>BDP|17013938858517156635</stp>
        <tr r="AR21" s="2"/>
      </tp>
      <tp t="s">
        <v>#N/A Requesting Data...1862998563</v>
        <stp/>
        <stp>BDP|15582332073698885344</stp>
        <tr r="G19" s="446"/>
      </tp>
      <tp t="s">
        <v>#N/A Requesting Data...545076077</v>
        <stp/>
        <stp>BDP|18146375769712507536</stp>
        <tr r="E2" s="1"/>
        <tr r="K35" s="1"/>
      </tp>
      <tp t="s">
        <v>#N/A Requesting Data...3957875196</v>
        <stp/>
        <stp>BDP|13135230879275111937</stp>
        <tr r="AJ12" s="338"/>
      </tp>
      <tp t="s">
        <v>#N/A Requesting Data...637368268</v>
        <stp/>
        <stp>BDP|17278629169738623577</stp>
        <tr r="N19" s="252"/>
        <tr r="N19" s="252"/>
      </tp>
      <tp t="s">
        <v>#N/A Requesting Data...1524347548</v>
        <stp/>
        <stp>BDP|16146200554279689285</stp>
        <tr r="O211" s="89"/>
      </tp>
      <tp t="s">
        <v>#N/A Requesting Data...3784048968</v>
        <stp/>
        <stp>BDP|15581562198526337530</stp>
        <tr r="AK12" s="338"/>
      </tp>
      <tp t="s">
        <v>#N/A Requesting Data...1113590673</v>
        <stp/>
        <stp>BDP|15965427905903655822</stp>
        <tr r="Z39" s="89"/>
        <tr r="AA39" s="89"/>
      </tp>
      <tp t="s">
        <v>#N/A Requesting Data...946537153</v>
        <stp/>
        <stp>BDP|13286384604342093849</stp>
        <tr r="X45" s="338"/>
      </tp>
      <tp t="s">
        <v>#N/A Requesting Data...3719233794</v>
        <stp/>
        <stp>BDP|15717048336038730484</stp>
        <tr r="AD19" s="2"/>
      </tp>
      <tp t="s">
        <v>#N/A Requesting Data...4148134251</v>
        <stp/>
        <stp>BDP|16845320119919973779</stp>
        <tr r="D76" s="89"/>
      </tp>
      <tp t="s">
        <v>#N/A Requesting Data...1654031442</v>
        <stp/>
        <stp>BDP|16655732894056873458</stp>
        <tr r="D18" s="2"/>
      </tp>
      <tp t="s">
        <v>#N/A Requesting Data...2243029396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Data...3050658503</v>
        <stp/>
        <stp>BDP|18304888293894101754</stp>
        <tr r="S9" s="338"/>
      </tp>
      <tp t="s">
        <v>#N/A Requesting Data...1722763533</v>
        <stp/>
        <stp>BDP|10639276692284852548</stp>
        <tr r="F28" s="446"/>
      </tp>
      <tp t="s">
        <v>#N/A Requesting Data...2452144004</v>
        <stp/>
        <stp>BDP|10749518787913680498</stp>
        <tr r="G41" s="446"/>
      </tp>
      <tp t="s">
        <v>#N/A Requesting Data...1896724832</v>
        <stp/>
        <stp>BDP|15491877244086779510</stp>
        <tr r="C90" s="89"/>
      </tp>
      <tp t="s">
        <v>#N/A Requesting Data...2458314581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Data...2381097584</v>
        <stp/>
        <stp>BDP|18282109433921312121</stp>
        <tr r="AA212" s="89"/>
        <tr r="Z212" s="89"/>
      </tp>
      <tp t="s">
        <v>#N/A Requesting Data...1476875738</v>
        <stp/>
        <stp>BDP|12497145892616892699</stp>
        <tr r="D102" s="89"/>
      </tp>
      <tp t="s">
        <v>#N/A Requesting Data...2979526114</v>
        <stp/>
        <stp>BDP|14492417491683249054</stp>
        <tr r="AJ41" s="338"/>
        <tr r="AJ42" s="338"/>
      </tp>
      <tp t="s">
        <v>#N/A Requesting Data...4071173020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Data...3636494384</v>
        <stp/>
        <stp>BDP|10020321410941159965</stp>
        <tr r="S42" s="338"/>
      </tp>
      <tp t="s">
        <v>#N/A Requesting Data...2493959085</v>
        <stp/>
        <stp>BDP|11794748141588350041</stp>
        <tr r="AJ8" s="338"/>
        <tr r="AJ9" s="338"/>
      </tp>
      <tp t="s">
        <v>#N/A Requesting Data...3823095599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Data...3073683782</v>
        <stp/>
        <stp>BDP|16757205954548058378</stp>
        <tr r="AI26" s="1"/>
      </tp>
      <tp t="s">
        <v>#N/A Requesting Data...3209796530</v>
        <stp/>
        <stp>BDP|16761382649589718257</stp>
        <tr r="AB22" s="1"/>
        <tr r="F27" s="446"/>
      </tp>
      <tp t="s">
        <v>#N/A Requesting Data...884689246</v>
        <stp/>
        <stp>BDP|11629287799981255124</stp>
        <tr r="C68" s="89"/>
      </tp>
      <tp t="s">
        <v>#N/A Requesting Data...2549871088</v>
        <stp/>
        <stp>BDP|10560430593062313514</stp>
        <tr r="AG37" s="1"/>
        <tr r="AG38" s="1"/>
      </tp>
      <tp t="s">
        <v>#N/A Requesting Data...2740617489</v>
        <stp/>
        <stp>BDP|13546818454494181070</stp>
        <tr r="AC37" s="1"/>
        <tr r="AC38" s="1"/>
      </tp>
      <tp t="b">
        <v>0</v>
        <stp/>
        <stp>BDH|10097910716274795641</stp>
        <tr r="W18" s="252"/>
        <tr r="T18" s="252"/>
      </tp>
      <tp t="b">
        <v>0</v>
        <stp/>
        <stp>BDH|10776962558174589231</stp>
        <tr r="AS45" s="338"/>
      </tp>
      <tp t="b">
        <v>0</v>
        <stp/>
        <stp>BDH|18107460259253846085</stp>
        <tr r="AS49" s="338"/>
        <tr r="AS48" s="338"/>
      </tp>
      <tp t="b">
        <v>0</v>
        <stp/>
        <stp>BDH|14560457520700716890</stp>
        <tr r="AS42" s="338"/>
      </tp>
      <tp t="s">
        <v>#N/A Real Time</v>
        <stp/>
        <stp>BDP|14244088115833890454|22</stp>
        <stp>SCH5C   6250 Index</stp>
        <stp>DELTA_MID_RT</stp>
        <tr r="W96" s="89"/>
      </tp>
      <tp>
        <v>0.42671576142311096</v>
        <stp/>
        <stp>BDP|11754717216942473893|22</stp>
        <stp>INTC US 07/17/26 C50 Equity</stp>
        <stp>DELTA_MID_RT</stp>
        <tr r="AF21" s="2"/>
        <tr r="W196" s="89"/>
      </tp>
      <tp>
        <v>0.28979992866516113</v>
        <stp/>
        <stp>BDP|15091267836171787049|22</stp>
        <stp>AVGO US 06/18/26 C410 Equity</stp>
        <stp>DELTA_MID_RT</stp>
        <tr r="W222" s="89"/>
      </tp>
      <tp>
        <v>26.1</v>
        <stp/>
        <stp>BDP|9892279240398643988|22</stp>
        <stp>AVGO US 06/18/26 P300 Equity</stp>
        <stp>bid</stp>
        <tr r="K224" s="89"/>
      </tp>
      <tp>
        <v>7.6752789318561554E-2</v>
        <stp/>
        <stp>BDP|15345195851714362356|22</stp>
        <stp>NFLX US 03/20/26 C105 Equity</stp>
        <stp>DELTA_MID_RT</stp>
        <tr r="W186" s="89"/>
      </tp>
      <tp t="s">
        <v>#N/A Requesting Data...1678114581</v>
        <stp/>
        <stp>BDP|14708527546846978837</stp>
        <tr r="F22" s="446"/>
      </tp>
      <tp t="s">
        <v>#N/A Requesting Data...2759741383</v>
        <stp/>
        <stp>BDP|17346227731804145988</stp>
        <tr r="Q49" s="338"/>
      </tp>
      <tp t="s">
        <v>#N/A Requesting Data...1117817890</v>
        <stp/>
        <stp>BDP|17382508591454336498</stp>
        <tr r="F10" s="446"/>
      </tp>
      <tp t="s">
        <v>#N/A Requesting Data...4019039019</v>
        <stp/>
        <stp>BDP|15393992280169008616</stp>
        <tr r="F24" s="446"/>
      </tp>
      <tp t="s">
        <v>#N/A Requesting Data...2975465973</v>
        <stp/>
        <stp>BDP|17538921220052801541</stp>
        <tr r="AA187" s="89"/>
        <tr r="Z187" s="89"/>
      </tp>
      <tp t="s">
        <v>#N/A Requesting Data...2243904734</v>
        <stp/>
        <stp>BDP|10256865635189905931</stp>
        <tr r="AC24" s="1"/>
        <tr r="AC20" s="1"/>
        <tr r="D26" s="446"/>
      </tp>
      <tp t="s">
        <v>#N/A Requesting Data...4237403628</v>
        <stp/>
        <stp>BDP|16456696081243656014</stp>
        <tr r="E237" s="89"/>
      </tp>
      <tp t="s">
        <v>#N/A Requesting Data...533363351</v>
        <stp/>
        <stp>BDP|16326536432018842310</stp>
        <tr r="E102" s="89"/>
      </tp>
      <tp t="s">
        <v>#N/A Requesting Data...3789431487</v>
        <stp/>
        <stp>BDP|11291613004685235986</stp>
        <tr r="T40" s="89"/>
      </tp>
      <tp t="s">
        <v>#N/A Requesting Data...3322294845</v>
        <stp/>
        <stp>BDP|14305045698741171731</stp>
        <tr r="AD13" s="2"/>
      </tp>
      <tp t="s">
        <v>#N/A Requesting Data...2868483748</v>
        <stp/>
        <stp>BDP|10846290148809317467</stp>
        <tr r="T47" s="338"/>
      </tp>
      <tp t="s">
        <v>#N/A Requesting Data...3167417444</v>
        <stp/>
        <stp>BDP|17908300451053627923</stp>
        <tr r="C13" s="2"/>
      </tp>
      <tp t="s">
        <v>#N/A Requesting Data...2653062327</v>
        <stp/>
        <stp>BDP|11292951375013419795</stp>
        <tr r="C11" s="2"/>
      </tp>
      <tp t="s">
        <v>#N/A Requesting Data...1256328726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Data...504780468</v>
        <stp/>
        <stp>BDP|11569977534954801402</stp>
        <tr r="D63" s="89"/>
      </tp>
      <tp t="s">
        <v>#N/A Requesting Data...3331392569</v>
        <stp/>
        <stp>BDP|14945010294650760658</stp>
        <tr r="L37" s="338"/>
        <tr r="H37" s="338"/>
      </tp>
      <tp t="s">
        <v>#N/A Requesting Data...2905057682</v>
        <stp/>
        <stp>BDP|12625403616855824991</stp>
        <tr r="F15" s="446"/>
      </tp>
      <tp t="s">
        <v>#N/A Requesting Data...1899439519</v>
        <stp/>
        <stp>BDP|14416377574372571935</stp>
        <tr r="D101" s="89"/>
      </tp>
      <tp t="s">
        <v>#N/A Requesting Data...744589653</v>
        <stp/>
        <stp>BDP|11745089010498747381</stp>
        <tr r="T75" s="89"/>
      </tp>
      <tp t="s">
        <v>#N/A Requesting Data...3835266505</v>
        <stp/>
        <stp>BDP|10942621120688011798</stp>
        <tr r="V55" s="338"/>
      </tp>
      <tp t="s">
        <v>#N/A Requesting Data...2225167522</v>
        <stp/>
        <stp>BDP|14853590894083718008</stp>
        <tr r="V12" s="338"/>
      </tp>
      <tp t="s">
        <v>#N/A Requesting Data...838643322</v>
        <stp/>
        <stp>BDP|17077564961768568704</stp>
        <tr r="O7" s="89"/>
      </tp>
      <tp t="s">
        <v>#N/A Requesting Data...3111865834</v>
        <stp/>
        <stp>BDP|14230486891323782196</stp>
        <tr r="T27" s="89"/>
      </tp>
      <tp t="s">
        <v>#N/A Requesting Data...2343227223</v>
        <stp/>
        <stp>BDP|13154673264950579831</stp>
        <tr r="P8" s="338"/>
      </tp>
      <tp t="s">
        <v>#N/A Requesting Data...2556133674</v>
        <stp/>
        <stp>BDP|18352383299971018866</stp>
        <tr r="V96" s="89"/>
      </tp>
      <tp t="s">
        <v>#N/A Requesting Data...885998985</v>
        <stp/>
        <stp>BDP|10865582194811567656</stp>
        <tr r="D11" s="2"/>
      </tp>
      <tp t="s">
        <v>#N/A Requesting Data...4174386040</v>
        <stp/>
        <stp>BDP|15688519024610633913</stp>
        <tr r="C21" s="2"/>
      </tp>
      <tp t="s">
        <v>#N/A Requesting Data...1199877230</v>
        <stp/>
        <stp>BDP|18149202901248495937</stp>
        <tr r="AH8" s="338"/>
        <tr r="AH9" s="338"/>
      </tp>
      <tp t="s">
        <v>#N/A Requesting Data...2390021176</v>
        <stp/>
        <stp>BDP|17812279814258546797</stp>
        <tr r="U12" s="338"/>
      </tp>
      <tp t="s">
        <v>#N/A Requesting Data...3157078092</v>
        <stp/>
        <stp>BDP|16354487536428919237</stp>
        <tr r="P36" s="338"/>
      </tp>
      <tp t="s">
        <v>#N/A Requesting Data...3408488804</v>
        <stp/>
        <stp>BDP|12938986196201541855</stp>
        <tr r="T9" s="338"/>
      </tp>
      <tp t="b">
        <v>0</v>
        <stp/>
        <stp>BDH|15640122895375531346</stp>
        <tr r="AN15" s="338"/>
        <tr r="AS40" s="338"/>
        <tr r="AN39" s="338"/>
      </tp>
      <tp t="s">
        <v>#N/A Requesting Data...1011804893</v>
        <stp/>
        <stp>BDP|16382697175628205742</stp>
        <tr r="K2" s="2"/>
        <tr r="J1" s="24"/>
      </tp>
      <tp t="s">
        <v>#N/A Requesting Data...2190207446</v>
        <stp/>
        <stp>BDP|14534507482414865574</stp>
        <tr r="AF39" s="1"/>
        <tr r="AF17" s="338"/>
        <tr r="AF18" s="338"/>
      </tp>
      <tp t="s">
        <v>#N/A Requesting Data...3809532730</v>
        <stp/>
        <stp>BDP|18104805924642791891</stp>
        <tr r="AK9" s="338"/>
      </tp>
      <tp t="s">
        <v>#N/A Requesting Data...3096381599</v>
        <stp/>
        <stp>BDP|18319033186521864931</stp>
        <tr r="T224" s="89"/>
      </tp>
      <tp t="s">
        <v>#N/A Requesting Data...2958107344</v>
        <stp/>
        <stp>BDP|11421352885480139296</stp>
        <tr r="AK18" s="338"/>
      </tp>
      <tp t="s">
        <v>#N/A Requesting Data...1634917839</v>
        <stp/>
        <stp>BDP|14385972258221788175</stp>
        <tr r="K40" s="1"/>
      </tp>
      <tp t="s">
        <v>#N/A Requesting Data...1823944138</v>
        <stp/>
        <stp>BDP|14368247967240567849</stp>
        <tr r="AK48" s="338"/>
        <tr r="AK49" s="338"/>
      </tp>
      <tp t="s">
        <v>#N/A Requesting Data...3262694556</v>
        <stp/>
        <stp>BDP|18355353104331140221</stp>
        <tr r="E6" s="1"/>
      </tp>
      <tp t="s">
        <v>#N/A Requesting Data...1819808055</v>
        <stp/>
        <stp>BDP|14339764599746958441</stp>
        <tr r="L14" s="252"/>
        <tr r="L14" s="252"/>
      </tp>
      <tp t="s">
        <v>#N/A Requesting Data...4178448820</v>
        <stp/>
        <stp>BDP|13273727322169541747</stp>
        <tr r="S31" s="338"/>
      </tp>
      <tp t="s">
        <v>#N/A Requesting Data...1300247480</v>
        <stp/>
        <stp>BDP|11594902352491463409</stp>
        <tr r="AA4" s="2"/>
      </tp>
      <tp t="s">
        <v>#N/A Requesting Data...3853093815</v>
        <stp/>
        <stp>BDP|18059086409648276807</stp>
        <tr r="X13" s="338"/>
      </tp>
      <tp t="s">
        <v>#N/A Requesting Data...2580430512</v>
        <stp/>
        <stp>BDP|14077436120512876887</stp>
        <tr r="AH14" s="338"/>
        <tr r="AH35" s="338"/>
      </tp>
      <tp t="s">
        <v>#N/A Requesting Data...1788748067</v>
        <stp/>
        <stp>BDP|15744958059654008590</stp>
        <tr r="M11" s="252"/>
      </tp>
      <tp t="s">
        <v>#N/A Requesting Data...1538026805</v>
        <stp/>
        <stp>BDP|13175812915866643410</stp>
        <tr r="C153" s="89"/>
        <tr r="C154" s="89"/>
      </tp>
      <tp t="s">
        <v>#N/A Requesting Data...2136740944</v>
        <stp/>
        <stp>BDP|13690707356499397067</stp>
        <tr r="AG42" s="338"/>
      </tp>
      <tp t="s">
        <v>#N/A Requesting Data...3064610229</v>
        <stp/>
        <stp>BDP|12538321051928445466</stp>
        <tr r="AR14" s="2"/>
      </tp>
      <tp t="s">
        <v>#N/A Requesting Data...3130131347</v>
        <stp/>
        <stp>BDP|13052160308013823928</stp>
        <tr r="L16" s="252"/>
        <tr r="L16" s="252"/>
      </tp>
      <tp t="s">
        <v>#N/A Requesting Data...4268170239</v>
        <stp/>
        <stp>BDP|10630112845779481422</stp>
        <tr r="T8" s="338"/>
      </tp>
      <tp t="s">
        <v>#N/A Requesting Data...1330630427</v>
        <stp/>
        <stp>BDP|11209184266078842639</stp>
        <tr r="AC18" s="1"/>
        <tr r="AC19" s="1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Data...4264099300</v>
        <stp/>
        <stp>BDP|18091505366056640561</stp>
        <tr r="D69" s="89"/>
      </tp>
      <tp t="s">
        <v>#N/A Requesting Data...3804067977</v>
        <stp/>
        <stp>BDP|17203212740478165145</stp>
        <tr r="AA195" s="89"/>
        <tr r="Z195" s="89"/>
      </tp>
      <tp t="s">
        <v>USD</v>
        <stp/>
        <stp>BDP|1779856531118410213|22</stp>
        <stp>ASML US 01/23/26 P1100 Equity</stp>
        <stp>QUOTED_CURRENCY_REALTIME</stp>
        <tr r="F50" s="89"/>
      </tp>
      <tp t="b">
        <v>0</v>
        <stp/>
        <stp>BDH|12850308265136774959</stp>
        <tr r="AU42" s="338"/>
      </tp>
      <tp t="b">
        <v>0</v>
        <stp/>
        <stp>BDH|14122081677069837285</stp>
        <tr r="AN41" s="338"/>
        <tr r="AN42" s="338"/>
      </tp>
      <tp t="s">
        <v>#N/A Real Time</v>
        <stp/>
        <stp>BDP|3928061582338749570|22</stp>
        <stp>MRYWZ4C4 2390 Index</stp>
        <stp>bid</stp>
        <tr r="K129" s="89"/>
      </tp>
      <tp>
        <v>27.7</v>
        <stp/>
        <stp>BDP|1262865218775301973|22</stp>
        <stp>GOOG US 07/17/26 C350 Equity</stp>
        <stp>ask</stp>
        <tr r="L236" s="89"/>
      </tp>
      <tp>
        <v>0.57068043947219849</v>
        <stp/>
        <stp>BDP|12751338922919034266|22</stp>
        <stp>MSFT US 07/17/26 C470 Equity</stp>
        <stp>DELTA_MID_RT</stp>
        <tr r="W235" s="89"/>
      </tp>
      <tp t="s">
        <v>#N/A Requesting Data...3663082307</v>
        <stp/>
        <stp>BDP|14228839741476914704</stp>
        <tr r="AF40" s="1"/>
      </tp>
      <tp t="s">
        <v>#N/A Requesting Data...2425395871</v>
        <stp/>
        <stp>BDP|13108014284305863746</stp>
        <tr r="AH29" s="338"/>
        <tr r="AH30" s="338"/>
        <tr r="AJ29" s="338"/>
        <tr r="AJ30" s="338"/>
      </tp>
      <tp t="s">
        <v>#N/A Requesting Data...2634015279</v>
        <stp/>
        <stp>BDP|16161490436721422919</stp>
        <tr r="D19" s="89"/>
      </tp>
      <tp t="s">
        <v>#N/A Requesting Data...4078199609</v>
        <stp/>
        <stp>BDP|18084144309549296940</stp>
        <tr r="X46" s="338"/>
      </tp>
      <tp t="s">
        <v>#N/A Requesting Data...1660175715</v>
        <stp/>
        <stp>BDP|14080496093764135415</stp>
        <tr r="P8" s="252"/>
      </tp>
      <tp t="s">
        <v>#N/A Requesting Data...1482727374</v>
        <stp/>
        <stp>BDP|10379287684220430311</stp>
        <tr r="F5" s="2"/>
      </tp>
      <tp t="s">
        <v>#N/A Requesting Data...3284253712</v>
        <stp/>
        <stp>BDP|13667922398723991985</stp>
        <tr r="O8" s="252"/>
      </tp>
      <tp t="s">
        <v>#N/A Requesting Data...3189313501</v>
        <stp/>
        <stp>BDP|11569233714862664985</stp>
        <tr r="E12" s="2"/>
      </tp>
      <tp t="s">
        <v>#N/A Requesting Data...3168804030</v>
        <stp/>
        <stp>BDP|16922257546430083956</stp>
        <tr r="E9" s="2"/>
      </tp>
      <tp t="s">
        <v>#N/A Requesting Data...3695029814</v>
        <stp/>
        <stp>BDP|14084731383605893774</stp>
        <tr r="T30" s="338"/>
      </tp>
      <tp t="s">
        <v>#N/A Requesting Data...1768561988</v>
        <stp/>
        <stp>BDP|17920955902274781369</stp>
        <tr r="AK13" s="338"/>
      </tp>
      <tp t="s">
        <v>#N/A Requesting Data...883631350</v>
        <stp/>
        <stp>BDP|15814817125237185133</stp>
        <tr r="AK11" s="338"/>
      </tp>
      <tp t="s">
        <v>#N/A Requesting Data...3501506781</v>
        <stp/>
        <stp>BDP|10683822754613362720</stp>
        <tr r="C89" s="89"/>
      </tp>
      <tp t="s">
        <v>#N/A Requesting Data...2280619165</v>
        <stp/>
        <stp>BDP|14905890171093180111</stp>
        <tr r="U18" s="338"/>
      </tp>
      <tp t="s">
        <v>#N/A N/A</v>
        <stp/>
        <stp>BDP|15676788515242812821</stp>
        <tr r="R153" s="89"/>
        <tr r="R154" s="89"/>
      </tp>
      <tp t="s">
        <v>#N/A Requesting Data...2754964721</v>
        <stp/>
        <stp>BDP|17719503394081403362</stp>
        <tr r="AH37" s="338"/>
        <tr r="AJ37" s="338"/>
      </tp>
      <tp t="s">
        <v>#N/A Requesting Data...4225410384</v>
        <stp/>
        <stp>BDP|14119981246779792985</stp>
        <tr r="Q17" s="338"/>
      </tp>
      <tp t="s">
        <v>#N/A Requesting Data...1421653758</v>
        <stp/>
        <stp>BDP|18279909896309755834</stp>
        <tr r="AG14" s="1"/>
      </tp>
      <tp t="s">
        <v>#N/A Requesting Data...704802318</v>
        <stp/>
        <stp>BDP|12571041380342291138</stp>
        <tr r="F34" s="446"/>
      </tp>
      <tp t="s">
        <v>#N/A N/A</v>
        <stp/>
        <stp>BDP|18294824894201725105</stp>
        <tr r="AC22" s="2"/>
        <tr r="AC20" s="2"/>
        <tr r="AC21" s="2"/>
      </tp>
      <tp t="s">
        <v>#N/A Requesting Data...887756717</v>
        <stp/>
        <stp>BDP|16648478878978208488</stp>
        <tr r="O178" s="89"/>
        <tr r="O179" s="89"/>
      </tp>
      <tp t="s">
        <v>#N/A Requesting Data...1934343471</v>
        <stp/>
        <stp>BDP|17654964972910872093</stp>
        <tr r="V204" s="89"/>
      </tp>
      <tp t="s">
        <v>#N/A Requesting Data...4174073637</v>
        <stp/>
        <stp>BDP|13659806942011456735</stp>
        <tr r="P7" s="252"/>
      </tp>
      <tp t="s">
        <v>#N/A Requesting Data...2840353562</v>
        <stp/>
        <stp>BDP|18096821285957052647</stp>
        <tr r="F18" s="446"/>
      </tp>
      <tp t="s">
        <v>#N/A Requesting Data...4141733067</v>
        <stp/>
        <stp>BDP|10570370408323999914</stp>
        <tr r="AA8" s="89"/>
        <tr r="Z8" s="89"/>
      </tp>
      <tp t="s">
        <v>#N/A Requesting Data...3339173329</v>
        <stp/>
        <stp>BDP|17046967805152979583</stp>
        <tr r="V89" s="89"/>
      </tp>
      <tp t="s">
        <v>#N/A Requesting Data...3311387882</v>
        <stp/>
        <stp>BDP|12912684483811638411</stp>
        <tr r="L26" s="1"/>
      </tp>
      <tp t="s">
        <v>#N/A Requesting Data...4134948444</v>
        <stp/>
        <stp>BDP|17800905748963418018</stp>
        <tr r="V52" s="338"/>
      </tp>
      <tp t="s">
        <v>#N/A Requesting Data...2915463572</v>
        <stp/>
        <stp>BDP|16080473360335288805</stp>
        <tr r="AF24" s="1"/>
        <tr r="AF20" s="1"/>
        <tr r="AF10" s="338"/>
        <tr r="AF11" s="338"/>
        <tr r="AF33" s="338"/>
      </tp>
      <tp t="s">
        <v>#N/A Requesting Data...2923147253</v>
        <stp/>
        <stp>BDP|18082660766744672526</stp>
        <tr r="X34" s="338"/>
      </tp>
      <tp t="s">
        <v>#N/A Requesting Data...2566261628</v>
        <stp/>
        <stp>BDP|16257040632264100814</stp>
        <tr r="V237" s="89"/>
      </tp>
      <tp t="s">
        <v>#N/A Requesting Data...1156069686</v>
        <stp/>
        <stp>BDP|17620015100226350806</stp>
        <tr r="AG25" s="1"/>
        <tr r="AG21" s="1"/>
      </tp>
      <tp t="s">
        <v>#N/A Requesting Data...2695531840</v>
        <stp/>
        <stp>BDP|18094164205149537914</stp>
        <tr r="V49" s="89"/>
      </tp>
      <tp t="s">
        <v>#N/A Requesting Data...2092632975</v>
        <stp/>
        <stp>BDP|14842569239898589355</stp>
        <tr r="Q9" s="338"/>
      </tp>
      <tp t="s">
        <v>#N/A Requesting Data...3361389602</v>
        <stp/>
        <stp>BDP|17113464131298207134</stp>
        <tr r="O6" s="252"/>
      </tp>
      <tp t="s">
        <v>#N/A Requesting Data...1889850161</v>
        <stp/>
        <stp>BDP|16852781535332351915</stp>
        <tr r="E50" s="89"/>
      </tp>
      <tp t="s">
        <v>#N/A Requesting Data...4007993821</v>
        <stp/>
        <stp>BDP|16284628867238126714</stp>
        <tr r="AD12" s="2"/>
      </tp>
      <tp t="s">
        <v>#N/A Requesting Data...1463306783</v>
        <stp/>
        <stp>BDP|13465906218584984636</stp>
        <tr r="U48" s="338"/>
      </tp>
      <tp t="b">
        <v>0</v>
        <stp/>
        <stp>BDH|16793393923047994944</stp>
        <tr r="AM36" s="338"/>
      </tp>
      <tp t="s">
        <v>USD</v>
        <stp/>
        <stp>BDP|6513932945318794459|22</stp>
        <stp>ASML US 01/23/26 P1200 Equity</stp>
        <stp>QUOTED_CURRENCY_REALTIME</stp>
        <tr r="F49" s="89"/>
      </tp>
      <tp t="b">
        <v>0</v>
        <stp/>
        <stp>BDH|11155211511889847234</stp>
        <tr r="AS32" s="338"/>
        <tr r="AS46" s="338"/>
        <tr r="AS50" s="338"/>
        <tr r="AS8" s="338"/>
      </tp>
      <tp>
        <v>21.55</v>
        <stp/>
        <stp>BDP|5023371189536845968|22</stp>
        <stp>AMZN US 07/17/26 C245 Equity</stp>
        <stp>ask</stp>
        <tr r="Q4" s="2"/>
      </tp>
      <tp t="s">
        <v>#N/A Requesting Data...2015935108</v>
        <stp/>
        <stp>BDP|13370676866274995925</stp>
        <tr r="V29" s="338"/>
      </tp>
      <tp t="s">
        <v>#N/A Requesting Data...1895842100</v>
        <stp/>
        <stp>BDP|16549461050648260185</stp>
        <tr r="V48" s="338"/>
      </tp>
      <tp t="s">
        <v>#N/A Requesting Data...3395959421</v>
        <stp/>
        <stp>BDP|12600721729889000049</stp>
        <tr r="F8" s="2"/>
      </tp>
      <tp t="s">
        <v>#N/A Requesting Data...2072225990</v>
        <stp/>
        <stp>BDP|14539375968436522979</stp>
        <tr r="F22" s="2"/>
      </tp>
      <tp t="s">
        <v>#N/A Requesting Data...1428057353</v>
        <stp/>
        <stp>BDP|11883811462826271727</stp>
        <tr r="AI13" s="338"/>
        <tr r="AK13" s="338"/>
      </tp>
      <tp t="s">
        <v>#N/A Requesting Data...605982156</v>
        <stp/>
        <stp>BDP|15816931278674113197</stp>
        <tr r="C5" s="2"/>
      </tp>
      <tp t="s">
        <v>#N/A Requesting Data...2559879694</v>
        <stp/>
        <stp>BDP|16651632599577766000</stp>
        <tr r="T20" s="89"/>
      </tp>
      <tp t="s">
        <v>#N/A Requesting Data...620103006</v>
        <stp/>
        <stp>BDP|15466705637537159880</stp>
        <tr r="AF12" s="1"/>
      </tp>
      <tp t="s">
        <v>#N/A Requesting Data...595189802</v>
        <stp/>
        <stp>BDP|13773404769917079849</stp>
        <tr r="X41" s="338"/>
      </tp>
      <tp t="s">
        <v>#N/A Requesting Data...3458285928</v>
        <stp/>
        <stp>BDP|17094237872549842544</stp>
        <tr r="P11" s="338"/>
      </tp>
      <tp t="s">
        <v>#N/A Requesting Data...1287948842</v>
        <stp/>
        <stp>BDP|17894084826469233293</stp>
        <tr r="D12" s="2"/>
      </tp>
      <tp t="s">
        <v>#N/A Requesting Data...1317108512</v>
        <stp/>
        <stp>BDP|10903940119976188082</stp>
        <tr r="T19" s="2"/>
      </tp>
      <tp t="s">
        <v>#N/A Requesting Data...1515569814</v>
        <stp/>
        <stp>BDP|14200330081439933841</stp>
        <tr r="Q53" s="338"/>
      </tp>
      <tp t="s">
        <v>#N/A Requesting Data...896705030</v>
        <stp/>
        <stp>BDP|16326348528261420875</stp>
        <tr r="AH37" s="338"/>
      </tp>
      <tp t="s">
        <v>#N/A Requesting Data...3507496494</v>
        <stp/>
        <stp>BDP|17705908535480976375</stp>
        <tr r="Z205" s="89"/>
        <tr r="AA205" s="89"/>
      </tp>
      <tp t="s">
        <v>#N/A Requesting Data...3090834739</v>
        <stp/>
        <stp>BDP|10719787797623635315</stp>
        <tr r="AR9" s="2"/>
      </tp>
      <tp t="s">
        <v>#N/A Requesting Data...4212366672</v>
        <stp/>
        <stp>BDP|17404395287666660429</stp>
        <tr r="T204" s="89"/>
      </tp>
      <tp t="s">
        <v>#N/A Requesting Data...1883349881</v>
        <stp/>
        <stp>BDP|15931273390478107816</stp>
        <tr r="AA81" s="89"/>
        <tr r="Z81" s="89"/>
      </tp>
      <tp t="s">
        <v>#N/A Requesting Data...3381961760</v>
        <stp/>
        <stp>BDP|12942600097452969197</stp>
        <tr r="AI30" s="338"/>
      </tp>
      <tp t="s">
        <v>#N/A Requesting Data...619928130</v>
        <stp/>
        <stp>BDP|11004855748816491574</stp>
        <tr r="AA145" s="89"/>
        <tr r="Z145" s="89"/>
      </tp>
      <tp t="s">
        <v>#N/A Requesting Data...3374862915</v>
        <stp/>
        <stp>BDP|13321932753372613352</stp>
        <tr r="S50" s="338"/>
      </tp>
      <tp t="s">
        <v>#N/A Requesting Data...744344830</v>
        <stp/>
        <stp>BDP|14026845325197194708</stp>
        <tr r="AB27" s="1"/>
      </tp>
      <tp t="s">
        <v>#N/A Requesting Data...1425358043</v>
        <stp/>
        <stp>BDP|18139099943730098283</stp>
        <tr r="X42" s="338"/>
      </tp>
      <tp t="s">
        <v>#N/A Requesting Data...1275584136</v>
        <stp/>
        <stp>BDP|14818954946994919376</stp>
        <tr r="T55" s="338"/>
      </tp>
      <tp t="s">
        <v>#N/A Requesting Data...4151174141</v>
        <stp/>
        <stp>BDP|16547593626468626792</stp>
        <tr r="V90" s="89"/>
      </tp>
      <tp t="s">
        <v>#N/A Requesting Data...2699281556</v>
        <stp/>
        <stp>BDP|12254931781748441511</stp>
        <tr r="AA5" s="2"/>
      </tp>
      <tp t="s">
        <v>#N/A Requesting Data...3983566123</v>
        <stp/>
        <stp>BDP|16747972762296741126</stp>
        <tr r="AF27" s="1"/>
      </tp>
      <tp t="s">
        <v>#N/A Requesting Data...1650395796</v>
        <stp/>
        <stp>BDP|16825767499796337034</stp>
        <tr r="AA18" s="2"/>
      </tp>
      <tp t="s">
        <v>#N/A Requesting Data...2469986005</v>
        <stp/>
        <stp>BDP|10277773846639500409</stp>
        <tr r="E225" s="89"/>
      </tp>
      <tp t="s">
        <v>#N/A Requesting Data...1911534025</v>
        <stp/>
        <stp>BDP|15391597190645842246</stp>
        <tr r="U41" s="338"/>
      </tp>
      <tp t="s">
        <v>#N/A Requesting Data...3664150962</v>
        <stp/>
        <stp>BDP|11743873404217661042</stp>
        <tr r="D14" s="89"/>
      </tp>
      <tp t="b">
        <v>0</v>
        <stp/>
        <stp>BDH|14534208421509624336</stp>
        <tr r="AR32" s="338"/>
        <tr r="AR8" s="338"/>
        <tr r="AR46" s="338"/>
        <tr r="AR50" s="338"/>
      </tp>
      <tp t="b">
        <v>0</v>
        <stp/>
        <stp>BDH|16851724379481181922</stp>
        <tr r="AR49" s="338"/>
        <tr r="AR48" s="338"/>
      </tp>
      <tp t="b">
        <v>0</v>
        <stp/>
        <stp>BDH|15171409485543615467</stp>
        <tr r="AP17" s="338"/>
        <tr r="AP18" s="338"/>
      </tp>
      <tp t="b">
        <v>0</v>
        <stp/>
        <stp>BDH|11256259778842197833</stp>
        <tr r="AS13" s="338"/>
      </tp>
      <tp>
        <v>-0.51767116785049438</v>
        <stp/>
        <stp>BDP|12363987419731278955|22</stp>
        <stp>MRVL US 03/20/26 P85 Equity</stp>
        <stp>DELTA_MID_RT</stp>
        <tr r="AF12" s="2"/>
      </tp>
      <tp>
        <v>0.48487547039985657</v>
        <stp/>
        <stp>BDP|18110796337974702583|22</stp>
        <stp>AVGO US 06/18/26 C350 Equity</stp>
        <stp>DELTA_MID_RT</stp>
        <tr r="AF6" s="2"/>
        <tr r="W223" s="89"/>
      </tp>
      <tp>
        <v>26.15</v>
        <stp/>
        <stp>BDP|5056262684534913710|22</stp>
        <stp>LITE US 03/20/26 C420 Equity</stp>
        <stp>mid</stp>
        <tr r="L9" s="2"/>
      </tp>
      <tp t="s">
        <v>#N/A Requesting Data...3642373330</v>
        <stp/>
        <stp>BDP|14736502366221001988</stp>
        <tr r="AG23" s="1"/>
      </tp>
      <tp t="s">
        <v>#N/A Requesting Data...2611038428</v>
        <stp/>
        <stp>BDP|14590387959435843851</stp>
        <tr r="P18" s="252"/>
      </tp>
      <tp t="s">
        <v>#N/A Requesting Data...1490853286</v>
        <stp/>
        <stp>BDP|13791594013149475126</stp>
        <tr r="M13" s="252"/>
      </tp>
      <tp t="s">
        <v>#N/A Requesting Data...3940321877</v>
        <stp/>
        <stp>BDP|17874986578052725446</stp>
        <tr r="P50" s="338"/>
      </tp>
      <tp t="s">
        <v>#N/A Requesting Data...2016031735</v>
        <stp/>
        <stp>BDP|16667150515701900850</stp>
        <tr r="Q47" s="338"/>
      </tp>
      <tp t="s">
        <v>#N/A Requesting Data...1848225559</v>
        <stp/>
        <stp>BDP|15706360756855267982</stp>
        <tr r="E213" s="89"/>
      </tp>
      <tp t="s">
        <v>#N/A Requesting Data...2319734383</v>
        <stp/>
        <stp>BDP|12067346968488625077</stp>
        <tr r="K9" s="1"/>
      </tp>
      <tp t="s">
        <v>#N/A Requesting Data...3606739676</v>
        <stp/>
        <stp>BDP|12930748263249803590</stp>
        <tr r="V47" s="338"/>
      </tp>
      <tp t="s">
        <v>#N/A Requesting Data...1172908181</v>
        <stp/>
        <stp>BDP|10458872348380612322</stp>
        <tr r="D32" s="446"/>
      </tp>
      <tp t="s">
        <v>#N/A Requesting Data...3314613415</v>
        <stp/>
        <stp>BDP|15539249302758934044</stp>
        <tr r="E81" s="89"/>
      </tp>
      <tp t="s">
        <v>#N/A Requesting Data...2025831245</v>
        <stp/>
        <stp>BDP|17591857746666872206</stp>
        <tr r="T233" s="89"/>
      </tp>
      <tp t="s">
        <v>#N/A Requesting Data...857874624</v>
        <stp/>
        <stp>BDP|12114087887616661368</stp>
        <tr r="O205" s="89"/>
      </tp>
      <tp t="s">
        <v>#N/A Requesting Data...4154846839</v>
        <stp/>
        <stp>BDP|17242536611318950476</stp>
        <tr r="E82" s="89"/>
      </tp>
      <tp t="s">
        <v>#N/A Requesting Data...1084418870</v>
        <stp/>
        <stp>BDP|11607763991426641696</stp>
        <tr r="O180" s="89"/>
      </tp>
      <tp t="s">
        <v>#N/A Requesting Data...865373279</v>
        <stp/>
        <stp>BDP|12446616610012704839</stp>
        <tr r="AF14" s="1"/>
      </tp>
      <tp t="s">
        <v>#N/A Requesting Data...763134292</v>
        <stp/>
        <stp>BDP|16111091406080680995</stp>
        <tr r="S20" s="252"/>
      </tp>
      <tp t="s">
        <v>#N/A Requesting Data...3960382522</v>
        <stp/>
        <stp>BDP|12917284443828342304</stp>
        <tr r="AC39" s="1"/>
      </tp>
      <tp t="s">
        <v>#N/A Requesting Data...892982880</v>
        <stp/>
        <stp>BDP|12565777765454100870</stp>
        <tr r="AK45" s="338"/>
      </tp>
      <tp t="s">
        <v>#N/A Requesting Data...682792446</v>
        <stp/>
        <stp>BDP|14757904724106470662</stp>
        <tr r="C115" s="89"/>
      </tp>
      <tp t="s">
        <v>#N/A Requesting Data...2444737508</v>
        <stp/>
        <stp>BDP|10685364633036146921</stp>
        <tr r="E33" s="89"/>
      </tp>
      <tp t="s">
        <v>#N/A Requesting Data...2866166226</v>
        <stp/>
        <stp>BDP|15520885965692162698</stp>
        <tr r="P35" s="338"/>
      </tp>
      <tp t="s">
        <v>#N/A Requesting Data...845416706</v>
        <stp/>
        <stp>BDP|15477739397991893583</stp>
        <tr r="F19" s="2"/>
      </tp>
      <tp t="s">
        <v>#N/A Requesting Data...944335122</v>
        <stp/>
        <stp>BDP|18411820983824502305</stp>
        <tr r="E9" s="1"/>
        <tr r="K24" s="1"/>
      </tp>
      <tp t="s">
        <v>#N/A Requesting Data...1392877836</v>
        <stp/>
        <stp>BDP|10592246107754169947</stp>
        <tr r="AR22" s="2"/>
      </tp>
      <tp t="s">
        <v>#N/A Requesting Data...2572576598</v>
        <stp/>
        <stp>BDP|16273053129458893350</stp>
        <tr r="Q50" s="338"/>
      </tp>
      <tp t="s">
        <v>#N/A Requesting Data...3624144459</v>
        <stp/>
        <stp>BDP|18187575182553363942</stp>
        <tr r="S29" s="338"/>
      </tp>
      <tp t="s">
        <v>#N/A Requesting Data...1983904785</v>
        <stp/>
        <stp>BDP|15088949515073653147</stp>
        <tr r="AI27" s="1"/>
      </tp>
      <tp t="s">
        <v>#N/A Requesting Data...1875573737</v>
        <stp/>
        <stp>BDP|12559765690110808384</stp>
        <tr r="L6" s="252"/>
        <tr r="L6" s="252"/>
      </tp>
      <tp t="s">
        <v>#N/A Requesting Data...1622624999</v>
        <stp/>
        <stp>BDP|16650855945696243361</stp>
        <tr r="O235" s="89"/>
      </tp>
      <tp t="s">
        <v>#N/A Requesting Data...3515480808</v>
        <stp/>
        <stp>BDP|10141273456439406166</stp>
        <tr r="U40" s="338"/>
      </tp>
      <tp t="s">
        <v>#N/A Requesting Data...1199906068</v>
        <stp/>
        <stp>BDP|15650822721567670765</stp>
        <tr r="AF15" s="338"/>
        <tr r="AF39" s="338"/>
        <tr r="AG40" s="338"/>
      </tp>
      <tp t="s">
        <v>#N/A Requesting Data...1452460484</v>
        <stp/>
        <stp>BDP|10661203894173514722</stp>
        <tr r="P40" s="338"/>
      </tp>
      <tp t="s">
        <v>#N/A Requesting Data...862116280</v>
        <stp/>
        <stp>BDP|11769411948438232696</stp>
        <tr r="V235" s="89"/>
      </tp>
      <tp t="s">
        <v>#N/A N/A</v>
        <stp/>
        <stp>BDP|13400157600295352875</stp>
        <tr r="AQ5" s="2"/>
      </tp>
      <tp t="s">
        <v>#N/A Requesting Data...3515292060</v>
        <stp/>
        <stp>BDP|16644071595826516655</stp>
        <tr r="M17" s="252"/>
      </tp>
      <tp t="s">
        <v>#N/A Requesting Data...3870174568</v>
        <stp/>
        <stp>BDP|10282731194108712961</stp>
        <tr r="X32" s="338"/>
      </tp>
      <tp t="s">
        <v>#N/A Requesting Data...1406570496</v>
        <stp/>
        <stp>BDP|11825565969849644458</stp>
        <tr r="G26" s="446"/>
      </tp>
      <tp t="s">
        <v>#N/A Requesting Data...2740591002</v>
        <stp/>
        <stp>BDP|12871173848491846983</stp>
        <tr r="D195" s="89"/>
      </tp>
      <tp t="s">
        <v>#N/A N/A</v>
        <stp/>
        <stp>BDP|13477200596854183354</stp>
        <tr r="R236" s="89"/>
      </tp>
      <tp t="s">
        <v>#N/A Requesting Data...3789348655</v>
        <stp/>
        <stp>BDP|13743925468151835237</stp>
        <tr r="AF52" s="338"/>
        <tr r="AF53" s="338"/>
        <tr r="AF54" s="338"/>
      </tp>
      <tp t="b">
        <v>0</v>
        <stp/>
        <stp>BDH|12964911484435902905</stp>
        <tr r="AU30" s="338"/>
      </tp>
      <tp t="b">
        <v>0</v>
        <stp/>
        <stp>BDH|15301870027157436707</stp>
        <tr r="W7" s="252"/>
        <tr r="T7" s="252"/>
      </tp>
      <tp t="b">
        <v>0</v>
        <stp/>
        <stp>BDH|11513967418553986549</stp>
        <tr r="AP15" s="338"/>
        <tr r="AP39" s="338"/>
        <tr r="AU40" s="338"/>
      </tp>
      <tp t="b">
        <v>0</v>
        <stp/>
        <stp>BDH|13709500369278383708</stp>
        <tr r="J14" s="252"/>
      </tp>
      <tp t="b">
        <v>0</v>
        <stp/>
        <stp>BDH|10772749389670542032</stp>
        <tr r="AN9" s="338"/>
        <tr r="AN8" s="338"/>
      </tp>
      <tp t="b">
        <v>0</v>
        <stp/>
        <stp>BDH|13806003375123304820</stp>
        <tr r="AS54" s="338"/>
      </tp>
      <tp t="s">
        <v>#N/A Real Time</v>
        <stp/>
        <stp>BDP|17419641080662608643|22</stp>
        <stp>4OK5C 21300 Index</stp>
        <stp>ask</stp>
        <tr r="L115" s="89"/>
      </tp>
      <tp>
        <v>0.49706363677978516</v>
        <stp/>
        <stp>BDP|91139731021883834|22</stp>
        <stp>GOOG US 07/17/26 C350 Equity</stp>
        <stp>DELTA_MID_RT</stp>
        <tr r="W236" s="89"/>
      </tp>
      <tp t="s">
        <v>#N/A Requesting Data...2095767952</v>
        <stp/>
        <stp>BDP|10552070608995420954</stp>
        <tr r="O9" s="252"/>
      </tp>
      <tp t="s">
        <v>#N/A Requesting Data...3629087857</v>
        <stp/>
        <stp>BDP|15489180332173336860</stp>
        <tr r="T14" s="2"/>
        <tr r="O62" s="89"/>
      </tp>
      <tp t="s">
        <v>#N/A Requesting Data...2673952025</v>
        <stp/>
        <stp>BDP|16415819239102308353</stp>
        <tr r="P13" s="338"/>
      </tp>
      <tp t="s">
        <v>#N/A N/A</v>
        <stp/>
        <stp>BDP|11721037088260019563</stp>
        <tr r="AB26" s="89"/>
        <tr r="AB27" s="89"/>
        <tr r="AB34" s="89"/>
      </tp>
      <tp t="s">
        <v>#N/A Requesting Data...2767177209</v>
        <stp/>
        <stp>BDP|14151613796081423680</stp>
        <tr r="AI14" s="1"/>
      </tp>
      <tp t="s">
        <v>#N/A Requesting Data...4017317019</v>
        <stp/>
        <stp>BDP|16048814305041128389</stp>
        <tr r="AH12" s="338"/>
        <tr r="AJ12" s="338"/>
      </tp>
      <tp t="s">
        <v>#N/A Requesting Data...3658212340</v>
        <stp/>
        <stp>BDP|17315018787765860602</stp>
        <tr r="U29" s="338"/>
      </tp>
      <tp t="s">
        <v>#N/A Requesting Data...1859344154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Data...3797253705</v>
        <stp/>
        <stp>BDP|15549933334837718499</stp>
        <tr r="AJ36" s="338"/>
      </tp>
      <tp t="s">
        <v>#N/A Requesting Data...863477367</v>
        <stp/>
        <stp>BDP|13803427191303479105</stp>
        <tr r="O26" s="89"/>
      </tp>
      <tp t="s">
        <v>#N/A Requesting Data...4234945219</v>
        <stp/>
        <stp>BDP|13021422978704305879</stp>
        <tr r="F33" s="446"/>
      </tp>
      <tp t="s">
        <v>#N/A N/A</v>
        <stp/>
        <stp>BDP|16521478898015424206</stp>
        <tr r="AV10" s="2"/>
        <tr r="AV11" s="2"/>
        <tr r="R169" s="89"/>
        <tr r="R170" s="89"/>
        <tr r="R171" s="89"/>
        <tr r="R233" s="89"/>
        <tr r="R180" s="89"/>
      </tp>
      <tp t="s">
        <v>#N/A Requesting Data...711599327</v>
        <stp/>
        <stp>BDP|16877024025140252836</stp>
        <tr r="F37" s="446"/>
      </tp>
      <tp t="s">
        <v>#N/A Requesting Data...2957418081</v>
        <stp/>
        <stp>BDP|11873488141545455841</stp>
        <tr r="AK12" s="338"/>
      </tp>
      <tp t="s">
        <v>#N/A Requesting Data...1986092266</v>
        <stp/>
        <stp>BDP|10918059229437544914</stp>
        <tr r="S14" s="252"/>
      </tp>
      <tp t="s">
        <v>#N/A Requesting Data...2498288247</v>
        <stp/>
        <stp>BDP|17459985945086122091</stp>
        <tr r="F19" s="252"/>
      </tp>
      <tp t="s">
        <v>#N/A Requesting Data...2013002163</v>
        <stp/>
        <stp>BDP|16146881818116826586</stp>
        <tr r="P41" s="338"/>
      </tp>
      <tp t="s">
        <v>#N/A Requesting Data...1282612291</v>
        <stp/>
        <stp>BDP|16305130988474048795</stp>
        <tr r="C20" s="2"/>
      </tp>
      <tp t="s">
        <v>#N/A Requesting Data...2142968028</v>
        <stp/>
        <stp>BDP|15485843473026578068</stp>
        <tr r="U54" s="338"/>
      </tp>
      <tp t="s">
        <v>#N/A Requesting Data...4168885458</v>
        <stp/>
        <stp>BDP|14702322456147385934</stp>
        <tr r="U47" s="338"/>
      </tp>
      <tp t="s">
        <v>#N/A Requesting Data...1515075524</v>
        <stp/>
        <stp>BDP|13405037176711243908</stp>
        <tr r="E137" s="89"/>
      </tp>
      <tp t="s">
        <v>#N/A Requesting Data...2892897612</v>
        <stp/>
        <stp>BDP|12945955828165458035</stp>
        <tr r="AA96" s="89"/>
        <tr r="Z96" s="89"/>
      </tp>
      <tp t="s">
        <v>#N/A Requesting Data...2791671673</v>
        <stp/>
        <stp>BDP|14217961267851904682</stp>
        <tr r="AD14" s="2"/>
        <tr r="V62" s="89"/>
      </tp>
      <tp t="s">
        <v>#N/A Requesting Data...2555838031</v>
        <stp/>
        <stp>BDP|16199643097561563420</stp>
        <tr r="C129" s="89"/>
      </tp>
      <tp t="s">
        <v>#N/A Requesting Data...2517235853</v>
        <stp/>
        <stp>BDP|18308090109307424329</stp>
        <tr r="K33" s="1"/>
      </tp>
      <tp t="s">
        <v>#N/A Requesting Data...1699065091</v>
        <stp/>
        <stp>BDP|14535010240339641566</stp>
        <tr r="AA20" s="2"/>
        <tr r="T195" s="89"/>
      </tp>
      <tp t="s">
        <v>#N/A Requesting Data...2879182186</v>
        <stp/>
        <stp>BDP|18116309221370191554</stp>
        <tr r="Q13" s="338"/>
      </tp>
      <tp t="s">
        <v>#N/A Requesting Data...1342173173</v>
        <stp/>
        <stp>BDP|12025675637399291269</stp>
        <tr r="O15" s="252"/>
      </tp>
      <tp t="s">
        <v>#N/A Requesting Data...2481616303</v>
        <stp/>
        <stp>BDP|11664873615115482148</stp>
        <tr r="V69" s="89"/>
      </tp>
      <tp t="s">
        <v>#N/A Requesting Data...1869149377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Data...2053019897</v>
        <stp/>
        <stp>BDP|17024231109840476984</stp>
        <tr r="E26" s="89"/>
      </tp>
      <tp t="s">
        <v>#N/A Requesting Data...1183122032</v>
        <stp/>
        <stp>BDP|12603143287034451379</stp>
        <tr r="AC22" s="1"/>
        <tr r="D27" s="446"/>
      </tp>
      <tp t="s">
        <v>#N/A Requesting Data...3273930484</v>
        <stp/>
        <stp>BDP|10004210412887167840</stp>
        <tr r="D40" s="446"/>
      </tp>
      <tp t="b">
        <v>0</v>
        <stp/>
        <stp>BDH|17440167597677639423</stp>
        <tr r="AM16" s="338"/>
        <tr r="AM40" s="338"/>
        <tr r="AM38" s="338"/>
      </tp>
      <tp t="b">
        <v>0</v>
        <stp/>
        <stp>BDH|13392831222951112430</stp>
        <tr r="J11" s="252"/>
      </tp>
      <tp t="b">
        <v>0</v>
        <stp/>
        <stp>BDH|15655306869338418497</stp>
        <tr r="AU38" s="338"/>
        <tr r="AU16" s="338"/>
        <tr r="AU39" s="338"/>
        <tr r="AU44" s="338"/>
        <tr r="AU52" s="338"/>
        <tr r="AU15" s="338"/>
        <tr r="AU17" s="338"/>
      </tp>
      <tp t="b">
        <v>0</v>
        <stp/>
        <stp>BDH|13154824777142402240</stp>
        <tr r="AN36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b">
        <v>0</v>
        <stp/>
        <stp>BDH|16630497261248258078</stp>
        <tr r="AU18" s="338"/>
      </tp>
      <tp t="b">
        <v>0</v>
        <stp/>
        <stp>BDH|16613798623809126672</stp>
        <tr r="AR12" s="338"/>
      </tp>
      <tp>
        <v>-0.32817983627319336</v>
        <stp/>
        <stp>BDP|15300860136715577647|22</stp>
        <stp>AVGO US 06/18/26 P300 Equity</stp>
        <stp>DELTA_MID_RT</stp>
        <tr r="W224" s="89"/>
      </tp>
      <tp>
        <v>332.45</v>
        <stp/>
        <stp>BDP|336164456245703188|22</stp>
        <stp>LITE US Equity</stp>
        <stp>LAST_PRICE</stp>
        <tr r="Z9" s="2"/>
        <tr r="S8" s="89"/>
        <tr r="S7" s="89"/>
      </tp>
      <tp t="s">
        <v>#N/A Real Time</v>
        <stp/>
        <stp>BDP|4430211455615003459|22</stp>
        <stp>4OX4C    20500 Index</stp>
        <stp>bid</stp>
        <tr r="K108" s="89"/>
      </tp>
      <tp>
        <v>16.100000000000001</v>
        <stp/>
        <stp>BDP|4716754069265805089|22</stp>
        <stp>LITE US 02/20/26 C400 Equity</stp>
        <stp>bid</stp>
        <tr r="K7" s="89"/>
      </tp>
      <tp t="s">
        <v>#N/A Requesting Data...3158257679</v>
        <stp/>
        <stp>BDP|10830436782351213025</stp>
        <tr r="AG13" s="338"/>
      </tp>
      <tp t="s">
        <v>#N/A Requesting Data...4219420571</v>
        <stp/>
        <stp>BDP|16101110071044873900</stp>
        <tr r="S19" s="252"/>
      </tp>
      <tp t="s">
        <v>#N/A Requesting Data...3628405146</v>
        <stp/>
        <stp>BDP|17375751787424053193</stp>
        <tr r="T90" s="89"/>
      </tp>
      <tp t="s">
        <v>#N/A Requesting Data...1355414312</v>
        <stp/>
        <stp>BDP|15805166451638287462</stp>
        <tr r="S18" s="338"/>
      </tp>
      <tp t="s">
        <v>#N/A Requesting Data...4059434636</v>
        <stp/>
        <stp>BDP|18288576254733893628</stp>
        <tr r="C50" s="89"/>
      </tp>
      <tp t="s">
        <v>#N/A Requesting Data...1308048546</v>
        <stp/>
        <stp>BDP|11433444491248891924</stp>
        <tr r="E211" s="89"/>
      </tp>
      <tp t="s">
        <v>#N/A Requesting Data...1564195540</v>
        <stp/>
        <stp>BDP|18446461901708890906</stp>
        <tr r="S45" s="338"/>
      </tp>
      <tp t="s">
        <v>#N/A Requesting Data...1244654676</v>
        <stp/>
        <stp>BDP|12514485676904256829</stp>
        <tr r="E160" s="89"/>
      </tp>
      <tp t="s">
        <v>#N/A Requesting Data...1506626743</v>
        <stp/>
        <stp>BDP|18053748462790891444</stp>
        <tr r="V169" s="89"/>
      </tp>
      <tp t="s">
        <v>#N/A Requesting Data...2173816262</v>
        <stp/>
        <stp>BDP|10028687100653384862</stp>
        <tr r="T6" s="2"/>
        <tr r="O223" s="89"/>
      </tp>
      <tp t="s">
        <v>#N/A Requesting Data...2770758398</v>
        <stp/>
        <stp>BDP|15843140282036113720</stp>
        <tr r="G22" s="446"/>
      </tp>
      <tp t="s">
        <v>#N/A Requesting Data...3062196632</v>
        <stp/>
        <stp>BDP|11847564369457057888</stp>
        <tr r="F13" s="252"/>
      </tp>
      <tp t="s">
        <v>#N/A Requesting Data...4059050870</v>
        <stp/>
        <stp>BDP|13571664718169245067</stp>
        <tr r="U14" s="338"/>
      </tp>
      <tp t="s">
        <v>#N/A Requesting Data...2366902046</v>
        <stp/>
        <stp>BDP|17319342610009091197</stp>
        <tr r="G27" s="446"/>
      </tp>
      <tp t="s">
        <v>#N/A Requesting Data...3362636960</v>
        <stp/>
        <stp>BDP|18197169773181317293</stp>
        <tr r="AA169" s="89"/>
        <tr r="Z169" s="89"/>
      </tp>
      <tp t="s">
        <v>#N/A Requesting Data...2052806167</v>
        <stp/>
        <stp>BDP|11924439292996409721</stp>
        <tr r="AG33" s="1"/>
      </tp>
      <tp t="s">
        <v>#N/A Requesting Data...1450500396</v>
        <stp/>
        <stp>BDP|17756698812965502873</stp>
        <tr r="AA213" s="89"/>
        <tr r="Z213" s="89"/>
      </tp>
      <tp t="s">
        <v>#N/A Requesting Data...3693663291</v>
        <stp/>
        <stp>BDP|14882210397437387533</stp>
        <tr r="T42" s="338"/>
      </tp>
      <tp t="s">
        <v>#N/A Requesting Data...3749335933</v>
        <stp/>
        <stp>BDP|16174661133786135858</stp>
        <tr r="L12" s="338"/>
        <tr r="H12" s="338"/>
      </tp>
      <tp t="s">
        <v>#N/A Requesting Data...1943697556</v>
        <stp/>
        <stp>BDP|17115834681353057933</stp>
        <tr r="U31" s="338"/>
      </tp>
      <tp t="s">
        <v>#N/A Requesting Data...3345957974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75" s="89"/>
        <tr r="R76" s="89"/>
        <tr r="R81" s="89"/>
        <tr r="R203" s="89"/>
        <tr r="R204" s="89"/>
        <tr r="R205" s="89"/>
        <tr r="R211" s="89"/>
        <tr r="R212" s="89"/>
        <tr r="R82" s="89"/>
        <tr r="R33" s="89"/>
        <tr r="R213" s="89"/>
      </tp>
      <tp t="s">
        <v>#N/A Requesting Data...4219654402</v>
        <stp/>
        <stp>BDP|18074111082599132509</stp>
        <tr r="D196" s="89"/>
      </tp>
      <tp t="s">
        <v>#N/A Requesting Data...4079000242</v>
        <stp/>
        <stp>BDP|16200988588058493248</stp>
        <tr r="AA224" s="89"/>
        <tr r="Z224" s="89"/>
      </tp>
      <tp t="s">
        <v>#N/A Requesting Data...1141826483</v>
        <stp/>
        <stp>BDP|17051618884910746406</stp>
        <tr r="T44" s="338"/>
      </tp>
      <tp t="s">
        <v>#N/A Requesting Data...1138201195</v>
        <stp/>
        <stp>BDP|14959318848357778920</stp>
        <tr r="T41" s="338"/>
      </tp>
      <tp t="s">
        <v>#N/A Requesting Data...1622461628</v>
        <stp/>
        <stp>BDP|15219096160618738682</stp>
        <tr r="X17" s="338"/>
      </tp>
      <tp t="s">
        <v>#N/A Requesting Data...2466580347</v>
        <stp/>
        <stp>BDP|14574759861540790819</stp>
        <tr r="S34" s="338"/>
      </tp>
      <tp t="s">
        <v>#N/A Requesting Data...1683495742</v>
        <stp/>
        <stp>BDP|12063939312664514322</stp>
        <tr r="N17" s="252"/>
        <tr r="N17" s="252"/>
      </tp>
      <tp t="s">
        <v>#N/A Requesting Data...3544676633</v>
        <stp/>
        <stp>BDP|16239364000238452060</stp>
        <tr r="E40" s="89"/>
      </tp>
      <tp t="b">
        <v>0</v>
        <stp/>
        <stp>BDH|11193819417595390056</stp>
        <tr r="AS11" s="338"/>
      </tp>
      <tp t="b">
        <v>0</v>
        <stp/>
        <stp>BDH|16057901041590178651</stp>
        <tr r="AS18" s="338"/>
      </tp>
      <tp t="b">
        <v>0</v>
        <stp/>
        <stp>BDH|12418175128515554978</stp>
        <tr r="AR42" s="338"/>
      </tp>
      <tp t="b">
        <v>0</v>
        <stp/>
        <stp>BDH|13885285882450008494</stp>
        <tr r="J17" s="252"/>
      </tp>
      <tp>
        <v>625.46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82.78</v>
        <stp/>
        <stp>BDP|3617422536658376331|22</stp>
        <stp>XLP Equity</stp>
        <stp>LAST PRICE</stp>
        <tr r="I9" s="338"/>
      </tp>
      <tp>
        <v>18.899999999999999</v>
        <stp/>
        <stp>BDP|8644428270203613467|22</stp>
        <stp>LITE US 02/20/26 C400 Equity</stp>
        <stp>ask</stp>
        <tr r="L7" s="89"/>
      </tp>
      <tp>
        <v>75.400000000000006</v>
        <stp/>
        <stp>BDP|4473817456220841094|22</stp>
        <stp>META US 07/17/26 C670 Equity</stp>
        <stp>mid</stp>
        <tr r="L11" s="2"/>
      </tp>
      <tp t="s">
        <v>#N/A Requesting Data...1454654984</v>
        <stp/>
        <stp>BDP|12339741374220877028</stp>
        <tr r="AB15" s="1"/>
        <tr r="F21" s="446"/>
      </tp>
      <tp t="s">
        <v>#N/A Requesting Data...3757846524</v>
        <stp/>
        <stp>BDP|10313697833123536458</stp>
        <tr r="E13" s="2"/>
      </tp>
      <tp t="s">
        <v>#N/A Requesting Data...3755424825</v>
        <stp/>
        <stp>BDP|16044672586352901816</stp>
        <tr r="D26" s="89"/>
      </tp>
      <tp t="s">
        <v>#N/A Requesting Data...2757823304</v>
        <stp/>
        <stp>BDP|15108137503044913212</stp>
        <tr r="AA11" s="2"/>
      </tp>
      <tp t="s">
        <v>#N/A Requesting Data...3616500956</v>
        <stp/>
        <stp>BDP|12562291822957166773</stp>
        <tr r="X15" s="338"/>
        <tr r="X39" s="338"/>
      </tp>
      <tp t="s">
        <v>#N/A Requesting Data...917348018</v>
        <stp/>
        <stp>BDP|12723121509040785135</stp>
        <tr r="Q35" s="338"/>
      </tp>
      <tp t="s">
        <v>#N/A Requesting Data...3200283533</v>
        <stp/>
        <stp>BDP|17646594623933242160</stp>
        <tr r="AJ8" s="338"/>
        <tr r="AJ9" s="338"/>
      </tp>
      <tp t="s">
        <v>#N/A Requesting Data...2619340701</v>
        <stp/>
        <stp>BDP|10920319565786030158</stp>
        <tr r="E116" s="89"/>
      </tp>
      <tp t="s">
        <v>#N/A Requesting Data...4099216865</v>
        <stp/>
        <stp>BDP|11988979111049200256</stp>
        <tr r="AK29" s="338"/>
      </tp>
      <tp t="s">
        <v>#N/A Requesting Data...2099322274</v>
        <stp/>
        <stp>BDP|11402218422044971756</stp>
        <tr r="Q42" s="338"/>
      </tp>
      <tp t="s">
        <v>#N/A Requesting Data...4283263280</v>
        <stp/>
        <stp>BDP|10430788467275400653</stp>
        <tr r="AA236" s="89"/>
        <tr r="Z236" s="89"/>
      </tp>
      <tp t="s">
        <v>#N/A Requesting Data...4017995017</v>
        <stp/>
        <stp>BDP|17671295855377364531</stp>
        <tr r="V205" s="89"/>
      </tp>
      <tp t="s">
        <v>#N/A Requesting Data...1234941878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Data...1120716942</v>
        <stp/>
        <stp>BDP|14776745928063005042</stp>
        <tr r="T136" s="89"/>
      </tp>
      <tp t="s">
        <v>#N/A Requesting Data...2634301054</v>
        <stp/>
        <stp>BDP|16719292853193179031</stp>
        <tr r="T23" s="2"/>
        <tr r="O13" s="89"/>
      </tp>
      <tp t="s">
        <v>#N/A Requesting Data...978523309</v>
        <stp/>
        <stp>BDP|13796779298948123776</stp>
        <tr r="C136" s="89"/>
      </tp>
      <tp t="s">
        <v>#N/A Requesting Data...2125118912</v>
        <stp/>
        <stp>BDP|13805405504302407767</stp>
        <tr r="AA197" s="89"/>
        <tr r="Z197" s="89"/>
      </tp>
      <tp t="s">
        <v>#N/A Requesting Data...3712235125</v>
        <stp/>
        <stp>BDP|16819116934213136521</stp>
        <tr r="F12" s="2"/>
      </tp>
      <tp t="s">
        <v>#N/A Requesting Data...3331435602</v>
        <stp/>
        <stp>BDP|14240882820984424808</stp>
        <tr r="V153" s="89"/>
        <tr r="V154" s="89"/>
      </tp>
      <tp t="s">
        <v>#N/A Requesting Data...3753397782</v>
        <stp/>
        <stp>BDP|13698454327306550105</stp>
        <tr r="T180" s="89"/>
      </tp>
      <tp t="s">
        <v>#N/A Requesting Data...2093648477</v>
        <stp/>
        <stp>BDP|15827021270859860931</stp>
        <tr r="C211" s="89"/>
      </tp>
      <tp t="s">
        <v>#N/A Requesting Data...3557800319</v>
        <stp/>
        <stp>BDP|10522514781749760636</stp>
        <tr r="C4" s="2"/>
      </tp>
      <tp t="s">
        <v>#N/A Requesting Data...1452208235</v>
        <stp/>
        <stp>BDP|16047448851216675329</stp>
        <tr r="V68" s="89"/>
      </tp>
      <tp t="s">
        <v>#N/A Requesting Data...2144956454</v>
        <stp/>
        <stp>BDP|11875259860180843752</stp>
        <tr r="L9" s="252"/>
        <tr r="L9" s="252"/>
      </tp>
      <tp t="s">
        <v>#N/A Requesting Data...1439927043</v>
        <stp/>
        <stp>BDP|17193753013640317341</stp>
        <tr r="AA22" s="2"/>
        <tr r="T197" s="89"/>
      </tp>
      <tp t="s">
        <v>#N/A Requesting Data...2654158969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Data...2430889430</v>
        <stp/>
        <stp>BDP|15024773487379018132</stp>
        <tr r="C34" s="89"/>
      </tp>
      <tp t="s">
        <v>#N/A N/A</v>
        <stp/>
        <stp>BDP|16665812118984554998</stp>
        <tr r="AC14" s="2"/>
        <tr r="AC13" s="2"/>
        <tr r="AC15" s="2"/>
        <tr r="AC12" s="2"/>
      </tp>
      <tp t="s">
        <v>#N/A Requesting Data...1806152721</v>
        <stp/>
        <stp>BDP|10392302271721368734</stp>
        <tr r="AJ15" s="338"/>
        <tr r="AJ39" s="338"/>
        <tr r="AK40" s="338"/>
      </tp>
      <tp t="s">
        <v>#N/A Requesting Data...3864403464</v>
        <stp/>
        <stp>BDP|13077127063164089235</stp>
        <tr r="L29" s="338"/>
        <tr r="H29" s="338"/>
        <tr r="L30" s="338"/>
        <tr r="H30" s="338"/>
      </tp>
      <tp t="s">
        <v>#N/A Requesting Data...861032075</v>
        <stp/>
        <stp>BDP|15616266803836462358</stp>
        <tr r="P18" s="338"/>
      </tp>
      <tp t="s">
        <v>#N/A Requesting Data...4265461981</v>
        <stp/>
        <stp>BDP|12909617883408150686</stp>
        <tr r="F17" s="446"/>
      </tp>
      <tp t="s">
        <v>#N/A Requesting Data...2036647953</v>
        <stp/>
        <stp>BDP|12668630201684454223</stp>
        <tr r="T40" s="338"/>
      </tp>
      <tp t="s">
        <v>#N/A Requesting Data...3023758253</v>
        <stp/>
        <stp>BDP|14907590063523957686</stp>
        <tr r="D39" s="446"/>
      </tp>
      <tp t="s">
        <v>#N/A Requesting Data...2595065919</v>
        <stp/>
        <stp>BDP|15427086549125422631</stp>
        <tr r="F29" s="446"/>
      </tp>
      <tp t="s">
        <v>#N/A Requesting Data...878606301</v>
        <stp/>
        <stp>BDP|12603611155092450139</stp>
        <tr r="P44" s="338"/>
      </tp>
      <tp t="s">
        <v>#N/A Requesting Data...3628478777</v>
        <stp/>
        <stp>BDP|15070758468347809116</stp>
        <tr r="Z75" s="89"/>
        <tr r="AA75" s="89"/>
      </tp>
      <tp t="s">
        <v>#N/A Requesting Data...3105336748</v>
        <stp/>
        <stp>BDP|14733502401484175730</stp>
        <tr r="AD7" s="2"/>
      </tp>
      <tp t="s">
        <v>#N/A Requesting Data...900424017</v>
        <stp/>
        <stp>BDP|12650903035052242853</stp>
        <tr r="T50" s="338"/>
      </tp>
      <tp t="s">
        <v>#N/A Requesting Data...3990915151</v>
        <stp/>
        <stp>BDP|15097578277281717435</stp>
        <tr r="AK13" s="338"/>
      </tp>
      <tp t="s">
        <v>#N/A N/A</v>
        <stp/>
        <stp>BDP|17445646416605654744</stp>
        <tr r="R56" s="89"/>
        <tr r="R55" s="89"/>
      </tp>
      <tp t="s">
        <v>#N/A Requesting Data...2833097373</v>
        <stp/>
        <stp>BDP|14798833541272440858</stp>
        <tr r="L10" s="338"/>
        <tr r="L11" s="338"/>
        <tr r="L33" s="338"/>
        <tr r="H10" s="338"/>
        <tr r="H11" s="338"/>
        <tr r="H33" s="338"/>
      </tp>
      <tp t="s">
        <v>#N/A N/A</v>
        <stp/>
        <stp>BDP|17447943913214573912</stp>
        <tr r="AC24" s="2"/>
        <tr r="AC23" s="2"/>
      </tp>
      <tp t="s">
        <v>#N/A Requesting Data...1138323635</v>
        <stp/>
        <stp>BDP|10540491936722929740</stp>
        <tr r="F13" s="446"/>
      </tp>
      <tp t="s">
        <v>#N/A Requesting Data...3303180572</v>
        <stp/>
        <stp>BDP|11743579767140670071</stp>
        <tr r="O33" s="89"/>
      </tp>
      <tp t="s">
        <v>#N/A Requesting Data...3419192458</v>
        <stp/>
        <stp>BDP|12465228967747275351</stp>
        <tr r="F6" s="2"/>
      </tp>
      <tp t="s">
        <v>#N/A Requesting Data...2391898013</v>
        <stp/>
        <stp>BDP|17833873798125829193</stp>
        <tr r="Q12" s="338"/>
      </tp>
      <tp t="s">
        <v>#N/A N/A</v>
        <stp/>
        <stp>BDP|10374405008290534684</stp>
        <tr r="R50" s="89"/>
        <tr r="R49" s="89"/>
      </tp>
      <tp t="s">
        <v>#N/A Requesting Data...1640662857</v>
        <stp/>
        <stp>BDP|11774657841727499618</stp>
        <tr r="AA9" s="2"/>
        <tr r="T8" s="89"/>
      </tp>
      <tp t="b">
        <v>0</v>
        <stp/>
        <stp>BDH|17220079290198638431</stp>
        <tr r="W20" s="252"/>
        <tr r="T20" s="252"/>
      </tp>
      <tp t="b">
        <v>0</v>
        <stp/>
        <stp>BDH|17584423057877396301</stp>
        <tr r="J7" s="252"/>
      </tp>
      <tp t="b">
        <v>0</v>
        <stp/>
        <stp>BDH|15618836774660796859</stp>
        <tr r="AS29" s="338"/>
      </tp>
      <tp>
        <v>117.32</v>
        <stp/>
        <stp>BDP|1868269163989593436|22</stp>
        <stp>EWY Equity</stp>
        <stp>LAST_PRICE</stp>
        <tr r="I27" s="1"/>
      </tp>
      <tp t="b">
        <v>0</v>
        <stp/>
        <stp>BDH|13433517978227188448</stp>
        <tr r="J12" s="252"/>
      </tp>
      <tp>
        <v>40.75</v>
        <stp/>
        <stp>BDP|3322764634781769714|22</stp>
        <stp>META US 02/27/26 C660 Equity</stp>
        <stp>ask</stp>
        <tr r="L180" s="89"/>
      </tp>
      <tp>
        <v>0.38</v>
        <stp/>
        <stp>BDP|7779660573183859665|22</stp>
        <stp>NFLX US 03/20/26 C105 Equity</stp>
        <stp>ask</stp>
        <tr r="L186" s="89"/>
      </tp>
      <tp t="s">
        <v>#N/A Requesting Data...3098225381</v>
        <stp/>
        <stp>BDP|15895214585768543406</stp>
        <tr r="AB23" s="1"/>
      </tp>
      <tp t="s">
        <v>#N/A Requesting Data...3830872183</v>
        <stp/>
        <stp>BDP|12506693576836787640</stp>
        <tr r="AC23" s="1"/>
      </tp>
      <tp t="s">
        <v>#N/A Requesting Data...4002387213</v>
        <stp/>
        <stp>BDP|12913717425274232066</stp>
        <tr r="AG26" s="1"/>
      </tp>
      <tp t="s">
        <v>#N/A Requesting Data...3092484469</v>
        <stp/>
        <stp>BDP|17492317750491407394</stp>
        <tr r="O81" s="89"/>
      </tp>
      <tp t="s">
        <v>#N/A Requesting Data...1359660840</v>
        <stp/>
        <stp>BDP|14952713124422363077</stp>
        <tr r="AI54" s="338"/>
      </tp>
      <tp t="s">
        <v>#N/A N/A</v>
        <stp/>
        <stp>BDP|17344183941382189338</stp>
        <tr r="AQ17" s="2"/>
        <tr r="AQ19" s="2"/>
        <tr r="AQ16" s="2"/>
        <tr r="AQ18" s="2"/>
        <tr r="AB235" s="89"/>
      </tp>
      <tp t="s">
        <v>#N/A Requesting Data...4261030254</v>
        <stp/>
        <stp>BDP|12659323579531227475</stp>
        <tr r="C137" s="89"/>
      </tp>
      <tp t="s">
        <v>#N/A Requesting Data...1737592036</v>
        <stp/>
        <stp>BDP|13685951603788859137</stp>
        <tr r="T138" s="89"/>
      </tp>
      <tp t="s">
        <v>#N/A Requesting Data...4257026840</v>
        <stp/>
        <stp>BDP|10998952471375281858</stp>
        <tr r="C7" s="89"/>
      </tp>
      <tp t="s">
        <v>#N/A Requesting Data...3872332435</v>
        <stp/>
        <stp>BDP|16973005602894719115</stp>
        <tr r="P19" s="252"/>
      </tp>
      <tp t="s">
        <v>#N/A Requesting Data...3662521641</v>
        <stp/>
        <stp>BDP|12197625641431851271</stp>
        <tr r="D15" s="2"/>
        <tr r="C63" s="89"/>
      </tp>
      <tp t="s">
        <v>#N/A Requesting Data...2025503821</v>
        <stp/>
        <stp>BDP|14061654258613093712</stp>
        <tr r="AA116" s="89"/>
        <tr r="Z116" s="89"/>
      </tp>
      <tp t="s">
        <v>#N/A Requesting Data...2691561503</v>
        <stp/>
        <stp>BDP|11585397164616268161</stp>
        <tr r="D116" s="89"/>
      </tp>
      <tp t="s">
        <v>#N/A Requesting Data...3429615137</v>
        <stp/>
        <stp>BDP|18214340488518015823</stp>
        <tr r="V236" s="89"/>
      </tp>
      <tp t="s">
        <v>#N/A Requesting Data...2856680014</v>
        <stp/>
        <stp>BDP|12861943665177076956</stp>
        <tr r="AF12" s="338"/>
      </tp>
      <tp t="s">
        <v>#N/A Requesting Data...2178456584</v>
        <stp/>
        <stp>BDP|15919437567850131436</stp>
        <tr r="G28" s="446"/>
      </tp>
      <tp t="s">
        <v>#N/A Requesting Data...2740409669</v>
        <stp/>
        <stp>BDP|17345659231843132294</stp>
        <tr r="X31" s="338"/>
      </tp>
      <tp t="s">
        <v>#N/A N/A</v>
        <stp/>
        <stp>BDP|12988555714434708108</stp>
        <tr r="R187" s="89"/>
        <tr r="R188" s="89"/>
        <tr r="R186" s="89"/>
      </tp>
      <tp t="s">
        <v>#N/A Requesting Data...2679429882</v>
        <stp/>
        <stp>BDP|13934642593416417954</stp>
        <tr r="AI41" s="1"/>
      </tp>
      <tp t="s">
        <v>#N/A Requesting Data...2069345389</v>
        <stp/>
        <stp>BDP|11060492626660625465</stp>
        <tr r="E49" s="89"/>
      </tp>
      <tp t="s">
        <v>#N/A Requesting Data...2865846495</v>
        <stp/>
        <stp>BDP|15708606918020014119</stp>
        <tr r="AA7" s="89"/>
        <tr r="Z7" s="89"/>
      </tp>
      <tp t="s">
        <v>#N/A Requesting Data...1933523339</v>
        <stp/>
        <stp>BDP|11636396119835192597</stp>
        <tr r="T69" s="89"/>
      </tp>
      <tp t="s">
        <v>#N/A Requesting Data...1840913034</v>
        <stp/>
        <stp>BDP|17039732835313216359</stp>
        <tr r="G13" s="446"/>
      </tp>
      <tp t="s">
        <v>#N/A Requesting Data...977514157</v>
        <stp/>
        <stp>BDP|10212284669224289309</stp>
        <tr r="G15" s="446"/>
      </tp>
      <tp t="s">
        <v>#N/A Requesting Data...2589153185</v>
        <stp/>
        <stp>BDP|16462724592283769820</stp>
        <tr r="Z69" s="89"/>
        <tr r="AA69" s="89"/>
      </tp>
      <tp t="s">
        <v>#N/A Requesting Data...4137564557</v>
        <stp/>
        <stp>BDP|14477773684938548023</stp>
        <tr r="AI25" s="1"/>
        <tr r="AI21" s="1"/>
      </tp>
      <tp t="s">
        <v>#N/A Requesting Data...2523255530</v>
        <stp/>
        <stp>BDP|16582836999550942450</stp>
        <tr r="O56" s="89"/>
      </tp>
      <tp t="s">
        <v>#N/A Requesting Data...3776151489</v>
        <stp/>
        <stp>BDP|10628744726607068175</stp>
        <tr r="C225" s="89"/>
      </tp>
      <tp t="s">
        <v>#N/A Requesting Data...4248769953</v>
        <stp/>
        <stp>BDP|16931852689404443127</stp>
        <tr r="F23" s="446"/>
      </tp>
      <tp t="s">
        <v>#N/A Requesting Data...3232337989</v>
        <stp/>
        <stp>BDP|14461057417982680435</stp>
        <tr r="AA15" s="2"/>
        <tr r="T63" s="89"/>
      </tp>
      <tp>
        <v>248.5</v>
        <stp/>
        <stp>BDP|17671933814978710772|22</stp>
        <stp>1OG6C 26000 Index</stp>
        <stp>bid</stp>
        <tr r="K153" s="89"/>
        <tr r="K154" s="89"/>
      </tp>
      <tp t="s">
        <v>#N/A Requesting Data...2150057383</v>
        <stp/>
        <stp>BDP|14040758635531222271</stp>
        <tr r="Q11" s="338"/>
      </tp>
      <tp t="s">
        <v>#N/A Requesting Data...3241528848</v>
        <stp/>
        <stp>BDP|17214529260663576400</stp>
        <tr r="AC26" s="1"/>
      </tp>
      <tp t="s">
        <v>#N/A Requesting Data...3766326119</v>
        <stp/>
        <stp>BDP|11246696260120787292</stp>
        <tr r="F10" s="252"/>
      </tp>
      <tp t="s">
        <v>#N/A Requesting Data...2859260731</v>
        <stp/>
        <stp>BDP|15227373250511500153</stp>
        <tr r="X14" s="338"/>
      </tp>
      <tp t="s">
        <v>#N/A Requesting Data...2871097646</v>
        <stp/>
        <stp>BDP|13044527620903591424</stp>
        <tr r="U15" s="338"/>
        <tr r="U39" s="338"/>
      </tp>
      <tp t="s">
        <v>#N/A N/A</v>
        <stp/>
        <stp>BDP|16066178257148215968</stp>
        <tr r="AV12" s="2"/>
        <tr r="AV15" s="2"/>
        <tr r="AV14" s="2"/>
        <tr r="AV13" s="2"/>
        <tr r="R62" s="89"/>
        <tr r="R63" s="89"/>
      </tp>
      <tp t="s">
        <v>#N/A Requesting Data...947184065</v>
        <stp/>
        <stp>BDP|12718343677950174519</stp>
        <tr r="E7" s="1"/>
        <tr r="K25" s="1"/>
      </tp>
      <tp t="s">
        <v>#N/A Requesting Data...1125644581</v>
        <stp/>
        <stp>BDP|14592404034766531631</stp>
        <tr r="S53" s="338"/>
      </tp>
      <tp t="s">
        <v>#N/A Requesting Data...1849112394</v>
        <stp/>
        <stp>BDP|11486261538490579386</stp>
        <tr r="AH55" s="338"/>
        <tr r="AI14" s="338"/>
        <tr r="AI55" s="338"/>
      </tp>
      <tp t="s">
        <v>#N/A Requesting Data...3112903247</v>
        <stp/>
        <stp>BDP|14563056355411273301</stp>
        <tr r="D34" s="89"/>
      </tp>
      <tp t="s">
        <v>#N/A Requesting Data...4136594140</v>
        <stp/>
        <stp>BDP|10407776681355403913</stp>
        <tr r="AI9" s="338"/>
      </tp>
      <tp t="s">
        <v>#N/A Requesting Data...1436127073</v>
        <stp/>
        <stp>BDP|14730076527710394522</stp>
        <tr r="K3" s="1"/>
      </tp>
      <tp t="b">
        <v>0</v>
        <stp/>
        <stp>BDH|14583815225278766527</stp>
        <tr r="J8" s="252"/>
      </tp>
      <tp t="b">
        <v>0</v>
        <stp/>
        <stp>BDH|17342235737597577256</stp>
        <tr r="AU29" s="338"/>
      </tp>
      <tp t="b">
        <v>0</v>
        <stp/>
        <stp>BDH|17986808602858019428</stp>
        <tr r="AP40" s="338"/>
        <tr r="AP16" s="338"/>
        <tr r="AP38" s="338"/>
      </tp>
      <tp>
        <v>250.5</v>
        <stp/>
        <stp>BDP|14088876280754203979|22</stp>
        <stp>1OG6C 26000 Index</stp>
        <stp>ask</stp>
        <tr r="L153" s="89"/>
        <tr r="L154" s="89"/>
      </tp>
      <tp t="s">
        <v>USD</v>
        <stp/>
        <stp>BDP|1317667679904084219|22</stp>
        <stp>NFLX US 03/20/26 P90 Equity</stp>
        <stp>QUOTED_CURRENCY_REALTIME</stp>
        <tr r="F187" s="89"/>
      </tp>
      <tp>
        <v>-3.1746704131364822E-2</v>
        <stp/>
        <stp>BDP|2414594441666047375|22</stp>
        <stp>GDX US 09/18/26 C115 Equity</stp>
        <stp>theta_mid_rt</stp>
        <tr r="AN8" s="2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Data...1998050291</v>
        <stp/>
        <stp>BDP|14418992521239609632</stp>
        <tr r="T81" s="89"/>
      </tp>
      <tp t="s">
        <v>#N/A Requesting Data...2478416423</v>
        <stp/>
        <stp>BDP|17314881181040082738</stp>
        <tr r="T205" s="89"/>
      </tp>
      <tp t="s">
        <v>#N/A Requesting Data...4075299142</v>
        <stp/>
        <stp>BDP|17166392151670109108</stp>
        <tr r="Q18" s="338"/>
      </tp>
      <tp t="s">
        <v>#N/A N/A</v>
        <stp/>
        <stp>BDP|13215475469594762530</stp>
        <tr r="AB89" s="89"/>
        <tr r="AB90" s="89"/>
      </tp>
      <tp t="s">
        <v>#N/A Requesting Data...3558103747</v>
        <stp/>
        <stp>BDP|10538723357113113195</stp>
        <tr r="C212" s="89"/>
      </tp>
      <tp t="s">
        <v>#N/A Requesting Data...3708295006</v>
        <stp/>
        <stp>BDP|10384653628097195348</stp>
        <tr r="V33" s="338"/>
      </tp>
      <tp t="s">
        <v>#N/A Requesting Data...1532558734</v>
        <stp/>
        <stp>BDP|15830810886156463309</stp>
        <tr r="AA89" s="89"/>
        <tr r="Z89" s="89"/>
      </tp>
      <tp t="s">
        <v>#N/A Requesting Data...2583721367</v>
        <stp/>
        <stp>BDP|16329127935980609498</stp>
        <tr r="M9" s="252"/>
      </tp>
      <tp t="s">
        <v>#N/A Requesting Data...3852639951</v>
        <stp/>
        <stp>BDP|10213293417720387350</stp>
        <tr r="V20" s="89"/>
      </tp>
      <tp t="s">
        <v>#N/A Requesting Data...3084350599</v>
        <stp/>
        <stp>BDP|14136785762373472653</stp>
        <tr r="P12" s="338"/>
      </tp>
      <tp t="s">
        <v>#N/A Requesting Data...1936986714</v>
        <stp/>
        <stp>BDP|10907713945543986097</stp>
        <tr r="AJ12" s="338"/>
      </tp>
      <tp t="s">
        <v>#N/A Requesting Data...3998000324</v>
        <stp/>
        <stp>BDP|18157396268365948849</stp>
        <tr r="G32" s="446"/>
      </tp>
      <tp t="s">
        <v>#N/A Requesting Data...3595698844</v>
        <stp/>
        <stp>BDP|12322490716684467354</stp>
        <tr r="AD24" s="2"/>
        <tr r="V14" s="89"/>
      </tp>
      <tp t="s">
        <v>#N/A Requesting Data...2261163761</v>
        <stp/>
        <stp>BDP|16998277646851211171</stp>
        <tr r="C40" s="89"/>
      </tp>
      <tp t="s">
        <v>#N/A Requesting Data...2976591431</v>
        <stp/>
        <stp>BDP|10224241980952801827</stp>
        <tr r="V34" s="89"/>
      </tp>
      <tp t="s">
        <v>#N/A Requesting Data...3472252857</v>
        <stp/>
        <stp>BDP|18108361989784462767</stp>
        <tr r="AR4" s="2"/>
      </tp>
      <tp t="s">
        <v>#N/A Requesting Data...2736234467</v>
        <stp/>
        <stp>BDP|17187500422678411886</stp>
        <tr r="AA14" s="2"/>
        <tr r="T62" s="89"/>
      </tp>
      <tp t="s">
        <v>#N/A Requesting Data...968651395</v>
        <stp/>
        <stp>BDP|11850099902500446183</stp>
        <tr r="AR24" s="2"/>
      </tp>
      <tp t="s">
        <v>#N/A Requesting Data...2140087333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203" s="89"/>
        <tr r="AB204" s="89"/>
        <tr r="AB205" s="89"/>
        <tr r="AB211" s="89"/>
        <tr r="AB212" s="89"/>
        <tr r="AB213" s="89"/>
        <tr r="AB33" s="89"/>
        <tr r="AB68" s="89"/>
        <tr r="AB69" s="89"/>
        <tr r="AB75" s="89"/>
        <tr r="AB76" s="89"/>
        <tr r="AB81" s="89"/>
        <tr r="AB82" s="89"/>
      </tp>
      <tp t="s">
        <v>#N/A Requesting Data...2853993306</v>
        <stp/>
        <stp>BDP|10105680387859953799</stp>
        <tr r="T33" s="89"/>
      </tp>
      <tp t="s">
        <v>#N/A Requesting Data...1748485440</v>
        <stp/>
        <stp>BDP|13092497781378873713</stp>
        <tr r="E76" s="89"/>
      </tp>
      <tp t="s">
        <v>#N/A Requesting Data...3494157186</v>
        <stp/>
        <stp>BDP|14597180097325807932</stp>
        <tr r="O34" s="89"/>
      </tp>
      <tp t="s">
        <v>#N/A Requesting Data...1375839880</v>
        <stp/>
        <stp>BDP|13176433799579956737</stp>
        <tr r="C14" s="2"/>
      </tp>
      <tp t="s">
        <v>#N/A Requesting Data...2837336713</v>
        <stp/>
        <stp>BDP|11877678453870847248</stp>
        <tr r="AJ29" s="338"/>
        <tr r="AJ30" s="338"/>
      </tp>
      <tp t="s">
        <v>#N/A Requesting Data...1669837551</v>
        <stp/>
        <stp>BDP|17979638844017722292</stp>
        <tr r="E224" s="89"/>
      </tp>
      <tp t="s">
        <v>#N/A Requesting Data...1428580686</v>
        <stp/>
        <stp>BDP|12913131077284987044</stp>
        <tr r="T55" s="89"/>
      </tp>
      <tp t="s">
        <v>#N/A Requesting Data...1877804845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Data...2112435713</v>
        <stp/>
        <stp>BDP|17857693024795624634</stp>
        <tr r="V19" s="89"/>
      </tp>
      <tp t="s">
        <v>#N/A Requesting Data...3102290699</v>
        <stp/>
        <stp>BDP|14736375789817362891</stp>
        <tr r="AC2" s="1"/>
        <tr r="AD2" s="1"/>
      </tp>
      <tp t="s">
        <v>#N/A N/A</v>
        <stp/>
        <stp>BDP|10445203744035528368</stp>
        <tr r="AC8" s="2"/>
        <tr r="AC7" s="2"/>
      </tp>
      <tp t="s">
        <v>#N/A Requesting Data...3195248692</v>
        <stp/>
        <stp>BDP|11760219723344715507</stp>
        <tr r="V26" s="89"/>
      </tp>
      <tp t="s">
        <v>#N/A Requesting Data...1617756589</v>
        <stp/>
        <stp>BDP|13439578072010389109</stp>
        <tr r="O225" s="89"/>
      </tp>
      <tp t="s">
        <v>#N/A Requesting Data...2265906698</v>
        <stp/>
        <stp>BDP|11184865175579332734</stp>
        <tr r="F12" s="446"/>
      </tp>
      <tp t="s">
        <v>#N/A Requesting Data...3759601281</v>
        <stp/>
        <stp>BDP|12133420967599732913</stp>
        <tr r="AG12" s="338"/>
      </tp>
      <tp t="s">
        <v>#N/A Requesting Data...3786544152</v>
        <stp/>
        <stp>BDP|15122146107040099471</stp>
        <tr r="E55" s="89"/>
      </tp>
      <tp t="s">
        <v>#N/A Requesting Data...3469660822</v>
        <stp/>
        <stp>BDP|15022453490698167011</stp>
        <tr r="AD18" s="2"/>
      </tp>
      <tp t="s">
        <v>#N/A Requesting Data...2511038292</v>
        <stp/>
        <stp>BDP|11301603537853289723</stp>
        <tr r="T18" s="338"/>
      </tp>
      <tp t="s">
        <v>#N/A Requesting Data...1507801223</v>
        <stp/>
        <stp>BDP|17819773794190840945</stp>
        <tr r="P17" s="252"/>
      </tp>
      <tp t="s">
        <v>#N/A Requesting Data...3097209306</v>
        <stp/>
        <stp>BDP|14405326057281461339</stp>
        <tr r="E236" s="89"/>
      </tp>
      <tp t="s">
        <v>#N/A Requesting Data...979170571</v>
        <stp/>
        <stp>BDP|11542574144783666360</stp>
        <tr r="F41" s="446"/>
      </tp>
      <tp t="s">
        <v>#N/A Requesting Data...4099347243</v>
        <stp/>
        <stp>BDP|10347220747614218226</stp>
        <tr r="O203" s="89"/>
      </tp>
      <tp t="b">
        <v>0</v>
        <stp/>
        <stp>BDH|11752434742976336723</stp>
        <tr r="AN35" s="338"/>
        <tr r="AN14" s="338"/>
      </tp>
      <tp t="b">
        <v>0</v>
        <stp/>
        <stp>BDH|14611326830490863414</stp>
        <tr r="AN40" s="338"/>
        <tr r="AN38" s="338"/>
        <tr r="AN16" s="338"/>
      </tp>
      <tp t="s">
        <v>USD</v>
        <stp/>
        <stp>BDP|2710784205974410109|22</stp>
        <stp>ASHR US 02/20/26 C35 Equity</stp>
        <stp>QUOTED_CURRENCY_REALTIME</stp>
        <tr r="G5" s="2"/>
      </tp>
      <tp t="s">
        <v>#N/A Real Time</v>
        <stp/>
        <stp>BDP|7488669990583969064|22</stp>
        <stp>SPXW US 12/31/25 C6950 Index</stp>
        <stp>ask</stp>
        <tr r="L160" s="89"/>
      </tp>
      <tp>
        <v>24.5</v>
        <stp/>
        <stp>BDP|3050834555440308322|22</stp>
        <stp>LITE US 03/20/26 C420 Equity</stp>
        <stp>bid</stp>
        <tr r="P9" s="2"/>
        <tr r="K8" s="89"/>
      </tp>
      <tp t="s">
        <v>#N/A Requesting Data...3308389619</v>
        <stp/>
        <stp>BDP|10801083268771247632</stp>
        <tr r="D90" s="89"/>
      </tp>
      <tp t="s">
        <v>#N/A Requesting Data...2639205349</v>
        <stp/>
        <stp>BDP|15656499554320397517</stp>
        <tr r="AA196" s="89"/>
        <tr r="Z196" s="89"/>
      </tp>
      <tp t="s">
        <v>#N/A Requesting Data...3149368191</v>
        <stp/>
        <stp>BDP|16715867013956947830</stp>
        <tr r="Z56" s="89"/>
        <tr r="AA56" s="89"/>
      </tp>
      <tp t="s">
        <v>#N/A Requesting Data...4246409548</v>
        <stp/>
        <stp>BDP|11531803114351862812</stp>
        <tr r="F9" s="2"/>
      </tp>
      <tp t="s">
        <v>#N/A Requesting Data...2744051176</v>
        <stp/>
        <stp>BDP|12055500611067822013</stp>
        <tr r="AJ31" s="338"/>
        <tr r="AJ32" s="338"/>
        <tr r="AH31" s="338"/>
        <tr r="AH32" s="338"/>
      </tp>
      <tp t="s">
        <v>#N/A Requesting Data...2747738648</v>
        <stp/>
        <stp>BDP|10712352949092709470</stp>
        <tr r="AA19" s="89"/>
        <tr r="Z19" s="89"/>
      </tp>
      <tp t="s">
        <v>#N/A Requesting Data...1168644643</v>
        <stp/>
        <stp>BDP|14336270361883873268</stp>
        <tr r="E62" s="89"/>
      </tp>
      <tp t="s">
        <v>#N/A Requesting Data...3335012594</v>
        <stp/>
        <stp>BDP|14687684757732412472</stp>
        <tr r="Q55" s="338"/>
      </tp>
      <tp t="s">
        <v>#N/A Requesting Data...2453970383</v>
        <stp/>
        <stp>BDP|15783676161145872136</stp>
        <tr r="O12" s="252"/>
      </tp>
      <tp t="s">
        <v>#N/A Requesting Data...3971178337</v>
        <stp/>
        <stp>BDP|10827554593684445907</stp>
        <tr r="AG35" s="1"/>
      </tp>
      <tp t="s">
        <v>#N/A Requesting Data...1166802603</v>
        <stp/>
        <stp>BDP|10651894387614235500</stp>
        <tr r="V138" s="89"/>
      </tp>
      <tp t="s">
        <v>#N/A Requesting Data...4225347034</v>
        <stp/>
        <stp>BDP|10435868994421818135</stp>
        <tr r="C24" s="2"/>
      </tp>
      <tp t="s">
        <v>#N/A Requesting Data...2578470511</v>
        <stp/>
        <stp>BDP|18017376398746707540</stp>
        <tr r="G37" s="446"/>
      </tp>
      <tp t="s">
        <v>#N/A Requesting Data...3141803763</v>
        <stp/>
        <stp>BDP|17365785494690778868</stp>
        <tr r="E5" s="1"/>
        <tr r="K23" s="1"/>
      </tp>
      <tp t="s">
        <v>#N/A Requesting Data...2893784415</v>
        <stp/>
        <stp>BDP|11154785569869703897</stp>
        <tr r="V101" s="89"/>
      </tp>
      <tp t="s">
        <v>#N/A Requesting Data...2017988878</v>
        <stp/>
        <stp>BDP|15611895190386842392</stp>
        <tr r="O212" s="89"/>
      </tp>
      <tp t="s">
        <v>#N/A Requesting Data...2949002030</v>
        <stp/>
        <stp>BDP|15429373874678916801</stp>
        <tr r="C55" s="89"/>
      </tp>
      <tp t="s">
        <v>#N/A Requesting Data...3648572735</v>
        <stp/>
        <stp>BDP|13462113802766482523</stp>
        <tr r="P51" s="338"/>
      </tp>
      <tp t="s">
        <v>#N/A Requesting Data...1143656665</v>
        <stp/>
        <stp>BDP|12638024748667527080</stp>
        <tr r="Q41" s="338"/>
      </tp>
      <tp t="s">
        <v>#N/A Requesting Data...4009000671</v>
        <stp/>
        <stp>BDP|16316216903460593558</stp>
        <tr r="C27" s="89"/>
      </tp>
      <tp t="s">
        <v>#N/A Requesting Data...1229436142</v>
        <stp/>
        <stp>BDP|13507309990980542809</stp>
        <tr r="P54" s="338"/>
      </tp>
      <tp t="s">
        <v>#N/A N/A</v>
        <stp/>
        <stp>BDP|10629460632567404161</stp>
        <tr r="AF29" s="1"/>
      </tp>
      <tp t="s">
        <v>#N/A Requesting Data...1951882522</v>
        <stp/>
        <stp>BDP|13251961527568785177</stp>
        <tr r="L41" s="338"/>
        <tr r="H41" s="338"/>
        <tr r="L42" s="338"/>
        <tr r="H42" s="338"/>
      </tp>
      <tp t="s">
        <v>#N/A Requesting Data...1648369048</v>
        <stp/>
        <stp>BDP|10532025680450781936</stp>
        <tr r="T53" s="338"/>
      </tp>
      <tp t="s">
        <v>#N/A Requesting Data...1104018661</v>
        <stp/>
        <stp>BDP|15584846954420486925</stp>
        <tr r="V30" s="338"/>
      </tp>
      <tp t="s">
        <v>#N/A Requesting Data...2134953152</v>
        <stp/>
        <stp>BDP|12417922592843377049</stp>
        <tr r="V50" s="338"/>
      </tp>
      <tp t="s">
        <v>#N/A Requesting Data...2029294012</v>
        <stp/>
        <stp>BDP|15633972697785552118</stp>
        <tr r="V115" s="89"/>
      </tp>
      <tp t="s">
        <v>#N/A Requesting Data...1638226300</v>
        <stp/>
        <stp>BDP|15698160403534380128</stp>
        <tr r="AB18" s="1"/>
        <tr r="AB19" s="1"/>
      </tp>
      <tp t="s">
        <v>#N/A Requesting Data...3628272211</v>
        <stp/>
        <stp>BDP|10829342338896620706</stp>
        <tr r="D204" s="89"/>
      </tp>
      <tp t="s">
        <v>#N/A Requesting Data...1344481370</v>
        <stp/>
        <stp>BDP|11998355979195097173</stp>
        <tr r="T160" s="89"/>
      </tp>
      <tp t="s">
        <v>#N/A Requesting Data...1977309968</v>
        <stp/>
        <stp>BDP|16353514989043023996</stp>
        <tr r="AH14" s="338"/>
        <tr r="AH35" s="338"/>
        <tr r="AJ14" s="338"/>
        <tr r="AJ35" s="338"/>
      </tp>
      <tp t="s">
        <v>#N/A Requesting Data...2245564505</v>
        <stp/>
        <stp>BDP|12456380201726902619</stp>
        <tr r="Z50" s="89"/>
        <tr r="AA50" s="89"/>
      </tp>
      <tp t="s">
        <v>#N/A Requesting Data...958733893</v>
        <stp/>
        <stp>BDP|11157579934717202151</stp>
        <tr r="V136" s="89"/>
      </tp>
      <tp t="s">
        <v>#N/A Requesting Data...2504893170</v>
        <stp/>
        <stp>BDP|16176003730321499511</stp>
        <tr r="L9" s="338"/>
        <tr r="J9" s="338"/>
      </tp>
      <tp t="s">
        <v>#N/A Requesting Data...2653891547</v>
        <stp/>
        <stp>BDP|16488629082059415041</stp>
        <tr r="M15" s="252"/>
      </tp>
      <tp t="s">
        <v>#N/A Requesting Data...1971577807</v>
        <stp/>
        <stp>BDP|13170702077463225105</stp>
        <tr r="V102" s="89"/>
      </tp>
      <tp t="s">
        <v>#N/A Requesting Data...2425388053</v>
        <stp/>
        <stp>BDP|18267029483522135357</stp>
        <tr r="C19" s="89"/>
      </tp>
      <tp t="s">
        <v>#N/A Requesting Data...2508894497</v>
        <stp/>
        <stp>BDP|15665722340580183729</stp>
        <tr r="AH17" s="338"/>
        <tr r="AH18" s="338"/>
      </tp>
      <tp t="s">
        <v>#N/A Requesting Data...2497099180</v>
        <stp/>
        <stp>BDP|15153756229823388297</stp>
        <tr r="D4" s="2"/>
      </tp>
      <tp t="s">
        <v>#N/A Requesting Data...1242922001</v>
        <stp/>
        <stp>BDP|10682710845653266163</stp>
        <tr r="E96" s="89"/>
      </tp>
      <tp t="s">
        <v>#N/A Requesting Data...2288182677</v>
        <stp/>
        <stp>BDP|10764751743486083471</stp>
        <tr r="E5" s="2"/>
      </tp>
      <tp t="s">
        <v>#N/A Requesting Data...4109091144</v>
        <stp/>
        <stp>BDP|14562048524442507562</stp>
        <tr r="Z49" s="89"/>
        <tr r="AA49" s="89"/>
      </tp>
      <tp t="s">
        <v>#N/A Requesting Data...3585373929</v>
        <stp/>
        <stp>BDP|14914589903223067341</stp>
        <tr r="AH31" s="338"/>
        <tr r="AH32" s="338"/>
      </tp>
      <tp t="s">
        <v>#N/A Requesting Data...1590166981</v>
        <stp/>
        <stp>BDP|13078977087646612504</stp>
        <tr r="C81" s="89"/>
      </tp>
      <tp t="b">
        <v>0</v>
        <stp/>
        <stp>BDH|14871779144566316080</stp>
        <tr r="AP37" s="338"/>
      </tp>
      <tp t="b">
        <v>0</v>
        <stp/>
        <stp>BDH|14490152729703754561</stp>
        <tr r="AS39" s="338"/>
        <tr r="AS52" s="338"/>
        <tr r="AS17" s="338"/>
        <tr r="AS15" s="338"/>
        <tr r="AS38" s="338"/>
        <tr r="AS16" s="338"/>
        <tr r="AS44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Data...3424837094</v>
        <stp/>
        <stp>BDP|10297523734239490992</stp>
        <tr r="AB41" s="1"/>
        <tr r="F19" s="446"/>
      </tp>
      <tp t="s">
        <v>#N/A Requesting Data...2836525718</v>
        <stp/>
        <stp>BDP|12796713228197729608</stp>
        <tr r="P20" s="252"/>
      </tp>
      <tp t="s">
        <v>#N/A Requesting Data...3970716698</v>
        <stp/>
        <stp>BDP|14277784462456832595</stp>
        <tr r="L18" s="338"/>
        <tr r="L17" s="338"/>
        <tr r="H17" s="338"/>
        <tr r="H18" s="338"/>
      </tp>
      <tp t="s">
        <v>#N/A Requesting Data...2274528930</v>
        <stp/>
        <stp>BDP|15345577350865826658</stp>
        <tr r="V211" s="89"/>
      </tp>
      <tp t="s">
        <v>#N/A Requesting Data...2270103603</v>
        <stp/>
        <stp>BDP|17424699323975103062</stp>
        <tr r="K28" s="1"/>
      </tp>
      <tp t="s">
        <v>#N/A Requesting Data...3766465425</v>
        <stp/>
        <stp>BDP|13066894584424507113</stp>
        <tr r="AA186" s="89"/>
        <tr r="Z186" s="89"/>
      </tp>
      <tp t="s">
        <v>#N/A Requesting Data...2627559067</v>
        <stp/>
        <stp>BDP|13534980394766736373</stp>
        <tr r="AG39" s="1"/>
      </tp>
      <tp t="s">
        <v>#N/A Requesting Data...1252074786</v>
        <stp/>
        <stp>BDP|17797289754802274410</stp>
        <tr r="AH16" s="338"/>
        <tr r="AH38" s="338"/>
        <tr r="AH40" s="338"/>
      </tp>
      <tp t="s">
        <v>#N/A Requesting Data...2771821982</v>
        <stp/>
        <stp>BDP|11992255575683104108</stp>
        <tr r="D33" s="89"/>
      </tp>
      <tp t="s">
        <v>#N/A Requesting Data...2356296993</v>
        <stp/>
        <stp>BDP|13950429544874140162</stp>
        <tr r="Z82" s="89"/>
        <tr r="AA82" s="89"/>
      </tp>
      <tp t="s">
        <v>#N/A Requesting Data...3974252773</v>
        <stp/>
        <stp>BDP|16115925375469725792</stp>
        <tr r="F7" s="2"/>
      </tp>
      <tp t="s">
        <v>#N/A Requesting Data...1713930160</v>
        <stp/>
        <stp>BDP|10811773521330276340</stp>
        <tr r="F42" s="446"/>
      </tp>
      <tp t="s">
        <v>#N/A Requesting Data...2262178789</v>
        <stp/>
        <stp>BDP|14953317830140680252</stp>
        <tr r="Q10" s="338"/>
      </tp>
      <tp t="s">
        <v>#N/A Requesting Data...2296332991</v>
        <stp/>
        <stp>BDP|10555016852265553684</stp>
        <tr r="V222" s="89"/>
      </tp>
      <tp t="s">
        <v>#N/A Requesting Data...2059213865</v>
        <stp/>
        <stp>BDP|11364787337662503131</stp>
        <tr r="L48" s="338"/>
        <tr r="J48" s="338"/>
        <tr r="L49" s="338"/>
        <tr r="J49" s="338"/>
      </tp>
      <tp t="s">
        <v>#N/A Requesting Data...1901591199</v>
        <stp/>
        <stp>BDP|11872742860665595345</stp>
        <tr r="C203" s="89"/>
      </tp>
      <tp t="s">
        <v>#N/A Requesting Data...3784063212</v>
        <stp/>
        <stp>BDP|10592355801820537596</stp>
        <tr r="V225" s="89"/>
      </tp>
      <tp t="s">
        <v>#N/A Requesting Data...4144610584</v>
        <stp/>
        <stp>BDP|12754284242295866781</stp>
        <tr r="Y6" s="252"/>
      </tp>
      <tp t="s">
        <v>#N/A Requesting Data...4227086352</v>
        <stp/>
        <stp>BDP|18269203655158880133</stp>
        <tr r="F39" s="446"/>
      </tp>
      <tp t="s">
        <v>#N/A Requesting Data...1104988225</v>
        <stp/>
        <stp>BDP|12227291512562192542</stp>
        <tr r="AJ37" s="338"/>
      </tp>
      <tp t="s">
        <v>#N/A Requesting Data...3482962973</v>
        <stp/>
        <stp>BDP|16951549404092060765</stp>
        <tr r="V109" s="89"/>
      </tp>
      <tp t="s">
        <v>#N/A Requesting Data...4073066931</v>
        <stp/>
        <stp>BDP|14465682678745316685</stp>
        <tr r="V171" s="89"/>
      </tp>
      <tp t="s">
        <v>#N/A Requesting Data...2924734352</v>
        <stp/>
        <stp>BDP|11386689669882555588</stp>
        <tr r="E122" s="89"/>
      </tp>
      <tp t="s">
        <v>#N/A Requesting Data...4281948879</v>
        <stp/>
        <stp>BDP|16385386864915757060</stp>
        <tr r="T54" s="338"/>
      </tp>
      <tp t="s">
        <v>#N/A Requesting Data...1160470341</v>
        <stp/>
        <stp>BDP|13639162762852624052</stp>
        <tr r="AF28" s="1"/>
      </tp>
      <tp t="s">
        <v>#N/A Requesting Data...4096592473</v>
        <stp/>
        <stp>BDP|16302213673966019302</stp>
        <tr r="V224" s="89"/>
      </tp>
      <tp t="s">
        <v>#N/A Requesting Data...1965476008</v>
        <stp/>
        <stp>BDP|14172029208847257580</stp>
        <tr r="V42" s="338"/>
      </tp>
      <tp t="s">
        <v>#N/A Requesting Data...3786759910</v>
        <stp/>
        <stp>BDP|17101265217926745477</stp>
        <tr r="D7" s="89"/>
      </tp>
      <tp t="s">
        <v>#N/A Requesting Data...2215590962</v>
        <stp/>
        <stp>BDP|10374609618263940213</stp>
        <tr r="S30" s="338"/>
      </tp>
      <tp t="s">
        <v>#N/A Requesting Data...1751417198</v>
        <stp/>
        <stp>BDP|11156706822837900596</stp>
        <tr r="V51" s="338"/>
      </tp>
      <tp t="s">
        <v>#N/A N/A</v>
        <stp/>
        <stp>BDP|10137680139817712447</stp>
        <tr r="AC17" s="2"/>
        <tr r="AC19" s="2"/>
        <tr r="AC16" s="2"/>
        <tr r="AC18" s="2"/>
      </tp>
      <tp t="s">
        <v>#N/A Requesting Data...2134144001</v>
        <stp/>
        <stp>BDP|18365939499897354990</stp>
        <tr r="D160" s="89"/>
      </tp>
      <tp t="s">
        <v>#N/A Requesting Data...1067259205</v>
        <stp/>
        <stp>BDP|15452088774745294193</stp>
        <tr r="AA14" s="89"/>
        <tr r="Z14" s="89"/>
      </tp>
      <tp t="s">
        <v>#N/A Requesting Data...2043020268</v>
        <stp/>
        <stp>BDP|11064610705050727104</stp>
        <tr r="V137" s="89"/>
      </tp>
      <tp t="s">
        <v>#N/A Requesting Data...3150785148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Data...2300156145</v>
        <stp/>
        <stp>BDP|16272552922964616315</stp>
        <tr r="T129" s="89"/>
      </tp>
      <tp t="s">
        <v>#N/A Requesting Data...3504389790</v>
        <stp/>
        <stp>BDP|14073708651687201763</stp>
        <tr r="AB34" s="1"/>
      </tp>
      <tp t="s">
        <v>#N/A Requesting Data...3650470408</v>
        <stp/>
        <stp>BDP|10078809003498061665</stp>
        <tr r="AH12" s="338"/>
      </tp>
      <tp t="s">
        <v>#N/A Requesting Data...3288660268</v>
        <stp/>
        <stp>BDP|11346506323885413513</stp>
        <tr r="E20" s="2"/>
      </tp>
      <tp t="s">
        <v>#N/A Requesting Data...2409275853</v>
        <stp/>
        <stp>BDP|11277689408467201656</stp>
        <tr r="T13" s="338"/>
      </tp>
      <tp t="s">
        <v>#N/A Requesting Data...3371312048</v>
        <stp/>
        <stp>BDP|13974956684510873453</stp>
        <tr r="D123" s="89"/>
      </tp>
      <tp t="s">
        <v>#N/A Requesting Data...2720113433</v>
        <stp/>
        <stp>BDP|15622786539515320207</stp>
        <tr r="Q34" s="338"/>
      </tp>
      <tp t="s">
        <v>#N/A Requesting Data...3363392202</v>
        <stp/>
        <stp>BDP|10427861548958967244</stp>
        <tr r="AK14" s="338"/>
        <tr r="AJ55" s="338"/>
        <tr r="AK55" s="338"/>
      </tp>
      <tp t="s">
        <v>#N/A Requesting Data...2866671528</v>
        <stp/>
        <stp>BDP|12964383061440508121</stp>
        <tr r="S49" s="338"/>
      </tp>
      <tp t="s">
        <v>#N/A Requesting Data...1180263226</v>
        <stp/>
        <stp>BDP|17935753969917403773</stp>
        <tr r="F11" s="252"/>
      </tp>
      <tp t="s">
        <v>#N/A Requesting Data...2131091594</v>
        <stp/>
        <stp>BDP|16562085350705983025</stp>
        <tr r="D223" s="89"/>
      </tp>
      <tp t="s">
        <v>#N/A Requesting Data...2652862793</v>
        <stp/>
        <stp>BDP|12893396681958013760</stp>
        <tr r="C95" s="89"/>
      </tp>
      <tp t="b">
        <v>0</v>
        <stp/>
        <stp>BDH|10481101271097588719</stp>
        <tr r="AR54" s="338"/>
      </tp>
      <tp t="b">
        <v>0</v>
        <stp/>
        <stp>BDH|10658776607639471809</stp>
        <tr r="J18" s="252"/>
      </tp>
      <tp t="b">
        <v>0</v>
        <stp/>
        <stp>BDH|10859288536682384574</stp>
        <tr r="AS36" s="338"/>
        <tr r="AS37" s="338"/>
        <tr r="AS34" s="338"/>
        <tr r="AN50" s="338"/>
        <tr r="AS35" s="338"/>
        <tr r="AN51" s="338"/>
      </tp>
      <tp t="b">
        <v>0</v>
        <stp/>
        <stp>BDH|10938175697909116714</stp>
        <tr r="AS12" s="338"/>
      </tp>
      <tp t="s">
        <v>USD</v>
        <stp/>
        <stp>BDP|2423561100599861373|22</stp>
        <stp>INTC US 07/17/26 P40 Equity</stp>
        <stp>QUOTED_CURRENCY_REALTIME</stp>
        <tr r="G22" s="2"/>
        <tr r="F197" s="89"/>
      </tp>
      <tp>
        <v>41.05</v>
        <stp/>
        <stp>BDP|5005092167591802286|22</stp>
        <stp>META US 04/17/26 C690 Equity</stp>
        <stp>bid</stp>
        <tr r="P10" s="2"/>
        <tr r="K170" s="89"/>
      </tp>
      <tp t="s">
        <v>#N/A Requesting Data...1105626944</v>
        <stp/>
        <stp>BDP|14882631572614102616</stp>
        <tr r="S10" s="252"/>
      </tp>
      <tp t="s">
        <v>#N/A Requesting Data...2932662527</v>
        <stp/>
        <stp>BDP|14531256854956960242</stp>
        <tr r="D21" s="2"/>
        <tr r="C196" s="89"/>
      </tp>
      <tp t="s">
        <v>#N/A Requesting Data...2206774485</v>
        <stp/>
        <stp>BDP|14222470646161364298</stp>
        <tr r="C12" s="2"/>
      </tp>
      <tp t="s">
        <v>#N/A Requesting Data...3183727933</v>
        <stp/>
        <stp>BDP|13396250829954504031</stp>
        <tr r="O222" s="89"/>
      </tp>
      <tp t="s">
        <v>#N/A Requesting Data...4164618247</v>
        <stp/>
        <stp>BDP|18254298125537508829</stp>
        <tr r="E204" s="89"/>
      </tp>
      <tp t="s">
        <v>#N/A Requesting Data...3703977409</v>
        <stp/>
        <stp>BDP|11796231449483478311</stp>
        <tr r="V82" s="89"/>
      </tp>
      <tp t="s">
        <v>#N/A N/A</v>
        <stp/>
        <stp>BDP|17370707244810639397</stp>
        <tr r="AC6" s="2"/>
      </tp>
      <tp t="s">
        <v>#N/A Requesting Data...1377588040</v>
        <stp/>
        <stp>BDP|14546342925643453186</stp>
        <tr r="L32" s="338"/>
        <tr r="L8" s="338"/>
        <tr r="J8" s="338"/>
        <tr r="J32" s="338"/>
        <tr r="L46" s="338"/>
        <tr r="J46" s="338"/>
        <tr r="L50" s="338"/>
        <tr r="J50" s="338"/>
      </tp>
      <tp t="s">
        <v>#N/A Requesting Data...4033019387</v>
        <stp/>
        <stp>BDP|17432959968547661878</stp>
        <tr r="C39" s="89"/>
      </tp>
      <tp t="s">
        <v>#N/A Requesting Data...2570462568</v>
        <stp/>
        <stp>BDP|15404493773766767722</stp>
        <tr r="G36" s="446"/>
      </tp>
      <tp t="s">
        <v>#N/A Requesting Data...3503992264</v>
        <stp/>
        <stp>BDP|10498485443064599312</stp>
        <tr r="X50" s="338"/>
      </tp>
      <tp t="s">
        <v>#N/A Requesting Data...1869353518</v>
        <stp/>
        <stp>BDP|15078283603585761571</stp>
        <tr r="O171" s="89"/>
      </tp>
      <tp t="s">
        <v>#N/A Requesting Data...1470896636</v>
        <stp/>
        <stp>BDP|18114698683463557242</stp>
        <tr r="AF41" s="1"/>
        <tr r="AG9" s="338"/>
      </tp>
      <tp t="s">
        <v>#N/A Requesting Data...2792586790</v>
        <stp/>
        <stp>BDP|14185986357608085749</stp>
        <tr r="V44" s="338"/>
      </tp>
      <tp t="s">
        <v>#N/A Requesting Data...1881148350</v>
        <stp/>
        <stp>BDP|13775077133931138686</stp>
        <tr r="AH41" s="338"/>
        <tr r="AH42" s="338"/>
        <tr r="AJ41" s="338"/>
        <tr r="AJ42" s="338"/>
      </tp>
      <tp t="s">
        <v>#N/A Requesting Data...2853468019</v>
        <stp/>
        <stp>BDP|15710273126027498587</stp>
        <tr r="E68" s="89"/>
      </tp>
      <tp t="s">
        <v>#N/A Requesting Data...2250024722</v>
        <stp/>
        <stp>BDP|17601997833672663804</stp>
        <tr r="AA234" s="89"/>
        <tr r="Z234" s="89"/>
      </tp>
      <tp t="s">
        <v>#N/A Requesting Data...3641257302</v>
        <stp/>
        <stp>BDP|14627889356148517678</stp>
        <tr r="E195" s="89"/>
      </tp>
      <tp t="s">
        <v>#N/A Requesting Data...3813630547</v>
        <stp/>
        <stp>BDP|14590579742297818521</stp>
        <tr r="K26" s="1"/>
      </tp>
      <tp t="s">
        <v>#N/A Requesting Data...2225068712</v>
        <stp/>
        <stp>BDP|14232577743505528792</stp>
        <tr r="F7" s="252"/>
      </tp>
      <tp t="s">
        <v>#N/A Requesting Data...1948758130</v>
        <stp/>
        <stp>BDP|14556104661927858316</stp>
        <tr r="K6" s="1"/>
      </tp>
      <tp t="s">
        <v>#N/A Requesting Data...3510719779</v>
        <stp/>
        <stp>BDP|17852290008496542418</stp>
        <tr r="AD17" s="2"/>
        <tr r="AD16" s="2"/>
      </tp>
      <tp t="s">
        <v>#N/A Requesting Data...1273275249</v>
        <stp/>
        <stp>BDP|12341108167772818008</stp>
        <tr r="T35" s="338"/>
      </tp>
      <tp t="s">
        <v>#N/A Requesting Data...4272747144</v>
        <stp/>
        <stp>BDP|15607530839212696655</stp>
        <tr r="AG17" s="1"/>
        <tr r="AG16" s="1"/>
      </tp>
      <tp t="s">
        <v>#N/A Requesting Data...1371985728</v>
        <stp/>
        <stp>BDP|10253727379283384458</stp>
        <tr r="C56" s="89"/>
      </tp>
      <tp t="s">
        <v>#N/A Requesting Data...1611214502</v>
        <stp/>
        <stp>BDP|13772195236723550526</stp>
        <tr r="X55" s="338"/>
      </tp>
      <tp t="s">
        <v>#N/A Requesting Data...1543537884</v>
        <stp/>
        <stp>BDP|17524118567766475161</stp>
        <tr r="F20" s="252"/>
      </tp>
      <tp t="s">
        <v>#N/A Requesting Data...2048465730</v>
        <stp/>
        <stp>BDP|13483096816386354391</stp>
        <tr r="S54" s="338"/>
      </tp>
      <tp t="s">
        <v>#N/A Requesting Data...2825422265</v>
        <stp/>
        <stp>BDP|16190103000157320731</stp>
        <tr r="V144" s="89"/>
      </tp>
      <tp t="s">
        <v>#N/A Requesting Data...3408260590</v>
        <stp/>
        <stp>BDP|12052868717818962496</stp>
        <tr r="AI32" s="338"/>
        <tr r="AI46" s="338"/>
        <tr r="AI50" s="338"/>
        <tr r="AI8" s="338"/>
      </tp>
      <tp t="s">
        <v>#N/A Requesting Data...2252924607</v>
        <stp/>
        <stp>BDP|12678050625094398357</stp>
        <tr r="AC32" s="1"/>
        <tr r="D35" s="446"/>
      </tp>
      <tp t="s">
        <v>#N/A Requesting Data...2342966974</v>
        <stp/>
        <stp>BDP|10174429034410523025</stp>
        <tr r="E6" s="2"/>
      </tp>
      <tp t="s">
        <v>#N/A Requesting Data...3910967397</v>
        <stp/>
        <stp>BDP|14466338705836267600</stp>
        <tr r="C186" s="89"/>
      </tp>
      <tp t="s">
        <v>#N/A Requesting Data...4189010677</v>
        <stp/>
        <stp>BDP|13691107662271159260</stp>
        <tr r="AR23" s="2"/>
      </tp>
      <tp t="s">
        <v>#N/A Requesting Data...1979565784</v>
        <stp/>
        <stp>BDP|15357058437984658543</stp>
        <tr r="E108" s="89"/>
      </tp>
      <tp t="s">
        <v>#N/A Requesting Data...2259567058</v>
        <stp/>
        <stp>BDP|16678311834407962683</stp>
        <tr r="V180" s="89"/>
      </tp>
      <tp t="s">
        <v>#N/A Requesting Data...3825757047</v>
        <stp/>
        <stp>BDP|10809595656630258773</stp>
        <tr r="N8" s="252"/>
        <tr r="N8" s="252"/>
      </tp>
      <tp t="s">
        <v>#N/A Requesting Data...2993171722</v>
        <stp/>
        <stp>BDP|11136935115988096638</stp>
        <tr r="AJ17" s="338"/>
        <tr r="AJ18" s="338"/>
      </tp>
      <tp t="s">
        <v>#N/A Requesting Data...3340575993</v>
        <stp/>
        <stp>BDP|17117535562106038540</stp>
        <tr r="X35" s="338"/>
      </tp>
      <tp t="s">
        <v>#N/A Requesting Data...3969347016</v>
        <stp/>
        <stp>BDP|11947265064485960753</stp>
        <tr r="U32" s="338"/>
      </tp>
      <tp t="s">
        <v>#N/A Requesting Data...2800842779</v>
        <stp/>
        <stp>BDP|13856641820218803820</stp>
        <tr r="AB13" s="1"/>
      </tp>
      <tp t="b">
        <v>0</v>
        <stp/>
        <stp>BDH|16328899989412535368</stp>
        <tr r="AM31" s="338"/>
        <tr r="AM32" s="338"/>
      </tp>
      <tp>
        <v>82.78</v>
        <stp/>
        <stp>BDP|2057497571936690391|22</stp>
        <stp>XLP Equity</stp>
        <stp>LAST_PRICE</stp>
        <tr r="I41" s="1"/>
      </tp>
      <tp t="b">
        <v>0</v>
        <stp/>
        <stp>BDH|14241539478024126502</stp>
        <tr r="AP31" s="338"/>
        <tr r="AP32" s="338"/>
      </tp>
      <tp t="b">
        <v>0</v>
        <stp/>
        <stp>BDH|14841814459759862757</stp>
        <tr r="W19" s="252"/>
        <tr r="T19" s="252"/>
      </tp>
      <tp t="b">
        <v>0</v>
        <stp/>
        <stp>BDH|16051389276185022004</stp>
        <tr r="AU12" s="338"/>
      </tp>
      <tp t="b">
        <v>0</v>
        <stp/>
        <stp>BDH|17663640529772248671</stp>
        <tr r="J15" s="252"/>
      </tp>
      <tp>
        <v>86.41</v>
        <stp/>
        <stp>BDP|9722167412074972561|22</stp>
        <stp>MXCN Index</stp>
        <stp>LAST_PRICE</stp>
        <tr r="H17" s="252"/>
        <tr r="H17" s="252"/>
      </tp>
      <tp>
        <v>-0.30375993251800537</v>
        <stp/>
        <stp>BDP|18418713240494206607|22</stp>
        <stp>MRVL US 03/20/26 P75 Equity</stp>
        <stp>DELTA_MID_RT</stp>
        <tr r="AF13" s="2"/>
      </tp>
      <tp>
        <v>0.36</v>
        <stp/>
        <stp>BDP|9219352217858311461|22</stp>
        <stp>NFLX US 03/20/26 C105 Equity</stp>
        <stp>bid</stp>
        <tr r="K186" s="89"/>
      </tp>
      <tp>
        <v>21.1</v>
        <stp/>
        <stp>BDP|8554484547271150911|22</stp>
        <stp>META US 04/17/26 C750 Equity</stp>
        <stp>ask</stp>
        <tr r="L169" s="89"/>
      </tp>
      <tp t="s">
        <v>#N/A Requesting Data...2790820524</v>
        <stp/>
        <stp>BDP|16351185019962298098</stp>
        <tr r="T7" s="89"/>
      </tp>
      <tp t="s">
        <v>#N/A Requesting Data...1889252012</v>
        <stp/>
        <stp>BDP|17506313141244542095</stp>
        <tr r="O55" s="89"/>
      </tp>
      <tp t="s">
        <v>#N/A Requesting Data...3473486580</v>
        <stp/>
        <stp>BDP|12194689278231069699</stp>
        <tr r="AI12" s="1"/>
      </tp>
      <tp t="s">
        <v>#N/A N/A</v>
        <stp/>
        <stp>BDP|15839339977736656325</stp>
        <tr r="AQ9" s="2"/>
        <tr r="AB7" s="89"/>
        <tr r="AB8" s="89"/>
      </tp>
      <tp t="s">
        <v>#N/A Requesting Data...3981925418</v>
        <stp/>
        <stp>BDP|10441895032989795603</stp>
        <tr r="AI11" s="338"/>
      </tp>
      <tp t="s">
        <v>#N/A Requesting Data...1236323785</v>
        <stp/>
        <stp>BDP|14441106816594061499</stp>
        <tr r="C123" s="89"/>
      </tp>
      <tp t="s">
        <v>#N/A Requesting Data...2517006966</v>
        <stp/>
        <stp>BDP|16150678046234374495</stp>
        <tr r="T37" s="338"/>
      </tp>
      <tp t="s">
        <v>#N/A Requesting Data...3480372382</v>
        <stp/>
        <stp>BDP|11019717141062892428</stp>
        <tr r="D222" s="89"/>
      </tp>
      <tp t="s">
        <v>#N/A Requesting Data...1224325898</v>
        <stp/>
        <stp>BDP|17303082674511603530</stp>
        <tr r="C180" s="89"/>
      </tp>
      <tp t="s">
        <v>#N/A Requesting Data...1854679938</v>
        <stp/>
        <stp>BDP|11174255088816885991</stp>
        <tr r="AA13" s="89"/>
        <tr r="Z13" s="89"/>
      </tp>
      <tp t="s">
        <v>#N/A Requesting Data...1397368739</v>
        <stp/>
        <stp>BDP|13677881495424052263</stp>
        <tr r="V46" s="338"/>
      </tp>
      <tp t="s">
        <v>#N/A Requesting Data...2683527189</v>
        <stp/>
        <stp>BDP|17810208191751672937</stp>
        <tr r="U53" s="338"/>
      </tp>
      <tp t="s">
        <v>#N/A Requesting Data...2561956772</v>
        <stp/>
        <stp>BDP|13362587002474685639</stp>
        <tr r="G33" s="446"/>
      </tp>
      <tp t="s">
        <v>#N/A Requesting Data...2572836633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Data...3392854580</v>
        <stp/>
        <stp>BDP|11902077291294537854</stp>
        <tr r="T234" s="89"/>
      </tp>
      <tp t="s">
        <v>#N/A Requesting Data...2029770677</v>
        <stp/>
        <stp>BDP|10953387444814317799</stp>
        <tr r="S18" s="252"/>
      </tp>
      <tp t="s">
        <v>#N/A Requesting Data...2413828927</v>
        <stp/>
        <stp>BDP|16095389787508071105</stp>
        <tr r="V11" s="338"/>
      </tp>
      <tp t="s">
        <v>#N/A Requesting Data...3212657079</v>
        <stp/>
        <stp>BDP|11580587764812660407</stp>
        <tr r="P48" s="338"/>
      </tp>
      <tp t="s">
        <v>#N/A N/A</v>
        <stp/>
        <stp>BDP|14006343299942798856</stp>
        <tr r="AI22" s="1"/>
      </tp>
      <tp t="s">
        <v>#N/A Requesting Data...2861110904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Data...3670672310</v>
        <stp/>
        <stp>BDP|15878521351180442107</stp>
        <tr r="D109" s="89"/>
      </tp>
      <tp>
        <v>25847.25</v>
        <stp/>
        <stp>BDP|5100640861095501669|22</stp>
        <stp>1OH6 Index</stp>
        <stp>LAST_PRICE</stp>
        <tr r="S153" s="89"/>
        <tr r="S154" s="89"/>
      </tp>
      <tp t="s">
        <v>#N/A Requesting Data...1304670602</v>
        <stp/>
        <stp>BDP|13970059459100158254</stp>
        <tr r="T222" s="89"/>
      </tp>
      <tp t="s">
        <v>#N/A Requesting Data...1420634398</v>
        <stp/>
        <stp>BDP|10930560316549062982</stp>
        <tr r="C160" s="89"/>
      </tp>
      <tp t="s">
        <v>#N/A Requesting Data...1521674460</v>
        <stp/>
        <stp>BDP|17624673723155105222</stp>
        <tr r="AB40" s="1"/>
      </tp>
      <tp t="s">
        <v>#N/A Requesting Data...1768889123</v>
        <stp/>
        <stp>BDP|15878042315295832504</stp>
        <tr r="E11" s="2"/>
      </tp>
      <tp t="s">
        <v>#N/A Requesting Data...3863761652</v>
        <stp/>
        <stp>BDP|12562415073000019571</stp>
        <tr r="T4" s="2"/>
      </tp>
      <tp t="s">
        <v>#N/A Requesting Data...2830283428</v>
        <stp/>
        <stp>BDP|16023917640776957980</stp>
        <tr r="AI11" s="338"/>
        <tr r="AK11" s="338"/>
      </tp>
      <tp t="s">
        <v>#N/A Requesting Data...1612193402</v>
        <stp/>
        <stp>BDP|14437871301241284935</stp>
        <tr r="AJ36" s="338"/>
      </tp>
      <tp t="s">
        <v>#N/A Requesting Data...2990682581</v>
        <stp/>
        <stp>BDP|11214745035248274920</stp>
        <tr r="V32" s="338"/>
      </tp>
      <tp t="s">
        <v>#N/A Requesting Data...3382395175</v>
        <stp/>
        <stp>BDP|12168490429210433067</stp>
        <tr r="AA10" s="2"/>
        <tr r="T170" s="89"/>
      </tp>
      <tp t="s">
        <v>#N/A Requesting Data...1622239449</v>
        <stp/>
        <stp>BDP|11625676250200786659</stp>
        <tr r="T32" s="338"/>
      </tp>
      <tp t="s">
        <v>#N/A Requesting Data...2873944934</v>
        <stp/>
        <stp>BDP|13296159244091423359</stp>
        <tr r="P29" s="338"/>
      </tp>
      <tp t="s">
        <v>#N/A N/A</v>
        <stp/>
        <stp>BDP|18042899846108511886</stp>
        <tr r="AB237" s="89"/>
      </tp>
      <tp t="s">
        <v>#N/A Requesting Data...4195981973</v>
        <stp/>
        <stp>BDP|10190934152880793852</stp>
        <tr r="X52" s="338"/>
      </tp>
      <tp t="s">
        <v>#N/A Requesting Data...2725514101</v>
        <stp/>
        <stp>BDP|14059396921424230587</stp>
        <tr r="AF35" s="1"/>
        <tr r="AF14" s="338"/>
        <tr r="AF35" s="338"/>
      </tp>
      <tp t="s">
        <v>#N/A Requesting Data...1762857335</v>
        <stp/>
        <stp>BDP|12679894611876997952</stp>
        <tr r="S44" s="338"/>
      </tp>
      <tp t="s">
        <v>#N/A Requesting Data...2119683883</v>
        <stp/>
        <stp>BDP|15308638561242100355</stp>
        <tr r="V203" s="89"/>
      </tp>
      <tp t="s">
        <v>#N/A Requesting Data...1370762875</v>
        <stp/>
        <stp>BDP|12166373874230381241</stp>
        <tr r="C22" s="2"/>
      </tp>
      <tp t="s">
        <v>#N/A Requesting Data...4178659944</v>
        <stp/>
        <stp>BDP|17956776735294864366</stp>
        <tr r="E145" s="89"/>
      </tp>
      <tp t="s">
        <v>#N/A Requesting Data...3098972508</v>
        <stp/>
        <stp>BDP|13164210523337526031</stp>
        <tr r="E89" s="89"/>
      </tp>
      <tp t="s">
        <v>#N/A Requesting Data...1826315120</v>
        <stp/>
        <stp>BDP|10130888374289856216</stp>
        <tr r="U13" s="338"/>
      </tp>
      <tp t="s">
        <v>#N/A Requesting Data...1932972050</v>
        <stp/>
        <stp>BDP|11025769754705706214</stp>
        <tr r="V40" s="89"/>
      </tp>
      <tp t="s">
        <v>#N/A Requesting Data...4020775523</v>
        <stp/>
        <stp>BDP|12072061123567199335</stp>
        <tr r="X16" s="338"/>
        <tr r="X38" s="338"/>
      </tp>
      <tp t="s">
        <v>#N/A Requesting Data...3597306878</v>
        <stp/>
        <stp>BDP|10337841861653211939</stp>
        <tr r="AB39" s="1"/>
        <tr r="F14" s="446"/>
      </tp>
      <tp t="s">
        <v>#N/A Requesting Data...1292172501</v>
        <stp/>
        <stp>BDP|13510264833692721404</stp>
        <tr r="U49" s="338"/>
      </tp>
      <tp t="s">
        <v>#N/A N/A</v>
        <stp/>
        <stp>BDP|12370547281383201820</stp>
        <tr r="AG22" s="1"/>
      </tp>
      <tp t="s">
        <v>#N/A Requesting Data...2908626949</v>
        <stp/>
        <stp>BDP|11243430201469561835</stp>
        <tr r="AI30" s="1"/>
        <tr r="AI31" s="1"/>
      </tp>
      <tp t="b">
        <v>0</v>
        <stp/>
        <stp>BDH|13318483052654982217</stp>
        <tr r="AM12" s="338"/>
      </tp>
      <tp t="b">
        <v>0</v>
        <stp/>
        <stp>BDH|14787871165809047737</stp>
        <tr r="J10" s="252"/>
      </tp>
      <tp>
        <v>0.27010548114776611</v>
        <stp/>
        <stp>BDP|13606219202075101737|22</stp>
        <stp>INTC US 07/17/26 C60 Equity</stp>
        <stp>DELTA_MID_RT</stp>
        <tr r="AF20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17.55</v>
        <stp/>
        <stp>BDP|7023975285926683061|22</stp>
        <stp>MSFT US 03/20/26 P465 Equity</stp>
        <stp>bid</stp>
        <tr r="P19" s="2"/>
      </tp>
      <tp>
        <v>40.450000000000003</v>
        <stp/>
        <stp>BDP|3455432218402996031|22</stp>
        <stp>META US 02/27/26 C660 Equity</stp>
        <stp>bid</stp>
        <tr r="K180" s="89"/>
      </tp>
      <tp t="s">
        <v>#N/A Requesting Data...1655567939</v>
        <stp/>
        <stp>BDP|10508197528283416594</stp>
        <tr r="X48" s="338"/>
      </tp>
      <tp t="s">
        <v>#N/A N/A</v>
        <stp/>
        <stp>BDP|10976567873595722239</stp>
        <tr r="AV24" s="2"/>
        <tr r="AV23" s="2"/>
        <tr r="R13" s="89"/>
        <tr r="R20" s="89"/>
        <tr r="R14" s="89"/>
        <tr r="R19" s="89"/>
      </tp>
      <tp t="s">
        <v>#N/A Requesting Data...1721836571</v>
        <stp/>
        <stp>BDP|15688066863846340087</stp>
        <tr r="D28" s="446"/>
      </tp>
      <tp t="s">
        <v>#N/A Requesting Data...1882007885</v>
        <stp/>
        <stp>BDP|10174366559095309654</stp>
        <tr r="AA137" s="89"/>
        <tr r="Z137" s="89"/>
      </tp>
      <tp t="s">
        <v>#N/A Requesting Data...2611091501</v>
        <stp/>
        <stp>BDP|15767057305588506896</stp>
        <tr r="AH10" s="338"/>
        <tr r="AH11" s="338"/>
        <tr r="AH33" s="338"/>
      </tp>
      <tp t="s">
        <v>#N/A Requesting Data...2087663845</v>
        <stp/>
        <stp>BDP|12598914732268945550</stp>
        <tr r="E10" s="1"/>
      </tp>
      <tp t="s">
        <v>#N/A Requesting Data...3874742228</v>
        <stp/>
        <stp>BDP|15320520678352516068</stp>
        <tr r="O82" s="89"/>
      </tp>
      <tp t="s">
        <v>#N/A Requesting Data...3788340841</v>
        <stp/>
        <stp>BDP|10946231384896009942</stp>
        <tr r="N15" s="252"/>
        <tr r="N15" s="252"/>
      </tp>
      <tp t="s">
        <v>#N/A Requesting Data...3572093441</v>
        <stp/>
        <stp>BDP|10968744678995921066</stp>
        <tr r="C179" s="89"/>
        <tr r="C178" s="89"/>
      </tp>
      <tp t="s">
        <v>#N/A Requesting Data...2271645459</v>
        <stp/>
        <stp>BDP|11098096253680456149</stp>
        <tr r="P16" s="338"/>
        <tr r="P38" s="338"/>
      </tp>
      <tp t="s">
        <v>#N/A Requesting Data...4046218781</v>
        <stp/>
        <stp>BDP|12490577043850363694</stp>
        <tr r="D10" s="2"/>
        <tr r="C170" s="89"/>
      </tp>
      <tp t="s">
        <v>#N/A Requesting Data...1408988573</v>
        <stp/>
        <stp>BDP|10787623999933097918</stp>
        <tr r="L10" s="252"/>
        <tr r="L10" s="252"/>
      </tp>
      <tp t="s">
        <v>#N/A Requesting Data...1454127717</v>
        <stp/>
        <stp>BDP|17866904244109008611</stp>
        <tr r="Q44" s="338"/>
      </tp>
      <tp t="s">
        <v>#N/A Requesting Data...1734556141</v>
        <stp/>
        <stp>BDP|15872646771885299421</stp>
        <tr r="F16" s="446"/>
      </tp>
      <tp t="s">
        <v>#N/A Requesting Data...2136388343</v>
        <stp/>
        <stp>BDP|17220718142881835059</stp>
        <tr r="F14" s="252"/>
      </tp>
      <tp t="s">
        <v>#N/A Requesting Data...4083645413</v>
        <stp/>
        <stp>BDP|11918335078837659785</stp>
        <tr r="Z204" s="89"/>
        <tr r="AA204" s="89"/>
      </tp>
      <tp t="s">
        <v>#N/A Requesting Data...3097923655</v>
        <stp/>
        <stp>BDP|12558430699342487846</stp>
        <tr r="E187" s="89"/>
      </tp>
      <tp t="s">
        <v>#N/A Requesting Data...1714439835</v>
        <stp/>
        <stp>BDP|15051140014688420859</stp>
        <tr r="AC12" s="1"/>
      </tp>
      <tp t="s">
        <v>#N/A Requesting Data...3971749348</v>
        <stp/>
        <stp>BDP|11160692723917345791</stp>
        <tr r="C169" s="89"/>
      </tp>
      <tp t="s">
        <v>#N/A Requesting Data...1252458247</v>
        <stp/>
        <stp>BDP|13738518813242630024</stp>
        <tr r="U55" s="338"/>
      </tp>
      <tp t="s">
        <v>#N/A Requesting Data...1815057411</v>
        <stp/>
        <stp>BDP|10649617194228048229</stp>
        <tr r="AD20" s="2"/>
        <tr r="V195" s="89"/>
      </tp>
      <tp t="s">
        <v>#N/A Requesting Data...2089243600</v>
        <stp/>
        <stp>BDP|16068368952433220674</stp>
        <tr r="D145" s="89"/>
      </tp>
      <tp t="s">
        <v>#N/A Requesting Data...1545059696</v>
        <stp/>
        <stp>BDP|18184244170510394863</stp>
        <tr r="C33" s="89"/>
      </tp>
      <tp t="s">
        <v>#N/A Requesting Data...3819599302</v>
        <stp/>
        <stp>BDP|10830522917212474394</stp>
        <tr r="M6" s="252"/>
      </tp>
      <tp t="s">
        <v>#N/A N/A</v>
        <stp/>
        <stp>BDP|17289014403731542359</stp>
        <tr r="AQ22" s="2"/>
        <tr r="AQ20" s="2"/>
        <tr r="AQ21" s="2"/>
        <tr r="AB195" s="89"/>
        <tr r="AB196" s="89"/>
        <tr r="AB197" s="89"/>
        <tr r="AB39" s="89"/>
      </tp>
      <tp t="s">
        <v>#N/A Requesting Data...1657940690</v>
        <stp/>
        <stp>BDP|13449047331402957787</stp>
        <tr r="F13" s="2"/>
      </tp>
      <tp t="s">
        <v>#N/A Requesting Data...2868258315</v>
        <stp/>
        <stp>BDP|14342024613619901985</stp>
        <tr r="F32" s="446"/>
      </tp>
      <tp t="s">
        <v>#N/A Requesting Data...2449035905</v>
        <stp/>
        <stp>BDP|17882539857607640595</stp>
        <tr r="AG54" s="338"/>
      </tp>
      <tp t="s">
        <v>#N/A Requesting Data...3283947362</v>
        <stp/>
        <stp>BDP|13450917922399223467</stp>
        <tr r="G34" s="446"/>
      </tp>
      <tp t="s">
        <v>#N/A Requesting Data...1748511691</v>
        <stp/>
        <stp>BDP|12142735374617755031</stp>
        <tr r="AG13" s="1"/>
      </tp>
      <tp t="s">
        <v>#N/A Requesting Data...2303511890</v>
        <stp/>
        <stp>BDP|12540520710212521104</stp>
        <tr r="AC17" s="1"/>
        <tr r="AC16" s="1"/>
      </tp>
      <tp t="s">
        <v>#N/A Requesting Data...3536874187</v>
        <stp/>
        <stp>BDP|10511277652532461062</stp>
        <tr r="AA90" s="89"/>
        <tr r="Z90" s="89"/>
      </tp>
      <tp t="s">
        <v>#N/A Requesting Data...3811456996</v>
        <stp/>
        <stp>BDP|12129279820182595515</stp>
        <tr r="E196" s="89"/>
      </tp>
      <tp t="s">
        <v>#N/A Requesting Data...3268018853</v>
        <stp/>
        <stp>BDP|14655831860859350630</stp>
        <tr r="L13" s="338"/>
        <tr r="J13" s="338"/>
      </tp>
      <tp t="s">
        <v>#N/A Requesting Data...2816941008</v>
        <stp/>
        <stp>BDP|12932290900667287274</stp>
        <tr r="AR10" s="2"/>
      </tp>
      <tp t="s">
        <v>#N/A Requesting Data...2110336276</v>
        <stp/>
        <stp>BDP|16326006333405026555</stp>
        <tr r="T153" s="89"/>
        <tr r="T154" s="89"/>
      </tp>
      <tp t="s">
        <v>#N/A Requesting Data...2350858713</v>
        <stp/>
        <stp>BDP|18269255641489268206</stp>
        <tr r="AC28" s="1"/>
      </tp>
      <tp t="s">
        <v>#N/A Requesting Data...1588236172</v>
        <stp/>
        <stp>BDP|15660791077340487089</stp>
        <tr r="E1" s="1"/>
        <tr r="K30" s="1"/>
      </tp>
      <tp t="s">
        <v>#N/A Requesting Data...4228307259</v>
        <stp/>
        <stp>BDP|10749732335826116771</stp>
        <tr r="D224" s="89"/>
      </tp>
      <tp t="s">
        <v>#N/A Requesting Data...3171794657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Data...2116909620</v>
        <stp/>
        <stp>BDP|11838573161432005595</stp>
        <tr r="C187" s="89"/>
      </tp>
      <tp t="s">
        <v>#N/A Requesting Data...1385817379</v>
        <stp/>
        <stp>BDP|17114611528944869260</stp>
        <tr r="AI12" s="338"/>
        <tr r="AK12" s="338"/>
      </tp>
      <tp t="s">
        <v>#N/A Requesting Data...3924732713</v>
        <stp/>
        <stp>BDP|14505061934744038618</stp>
        <tr r="AB2" s="1"/>
      </tp>
      <tp t="s">
        <v>#N/A Requesting Data...4196026086</v>
        <stp/>
        <stp>BDP|13635936347568321371</stp>
        <tr r="AA235" s="89"/>
        <tr r="Z235" s="89"/>
      </tp>
      <tp t="s">
        <v>#N/A Requesting Data...3980018144</v>
        <stp/>
        <stp>BDP|11370170641465778442</stp>
        <tr r="T10" s="2"/>
        <tr r="O170" s="89"/>
      </tp>
      <tp t="b">
        <v>0</v>
        <stp/>
        <stp>BDH|13569930885454126319</stp>
        <tr r="AN12" s="338"/>
      </tp>
      <tp t="b">
        <v>0</v>
        <stp/>
        <stp>BDH|14131773964710507045</stp>
        <tr r="J9" s="252"/>
      </tp>
      <tp t="b">
        <v>0</v>
        <stp/>
        <stp>BDH|17275424926781901531</stp>
        <tr r="AU32" s="338"/>
        <tr r="AU8" s="338"/>
        <tr r="AU50" s="338"/>
        <tr r="AU46" s="338"/>
      </tp>
      <tp t="b">
        <v>0</v>
        <stp/>
        <stp>BDH|10825554036716072545</stp>
        <tr r="T8" s="252"/>
        <tr r="W8" s="252"/>
      </tp>
      <tp t="b">
        <v>0</v>
        <stp/>
        <stp>BDH|12817058387938472701</stp>
        <tr r="W10" s="252"/>
        <tr r="T10" s="252"/>
      </tp>
    </main>
    <main first="bofaddin.rtdserver">
      <tp>
        <v>14877.96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263.98</v>
        <stp/>
        <stp>BDP|7062867511992634566|22</stp>
        <stp>IWM EQUITY</stp>
        <stp>LAST_PRICE</stp>
        <tr r="I8" s="1"/>
      </tp>
      <tp>
        <v>-0.27788698673248291</v>
        <stp/>
        <stp>BDP|16965813729943912763|22</stp>
        <stp>META US 04/17/26 C690 Equity</stp>
        <stp>theta_mid_rt</stp>
        <tr r="AN10" s="2"/>
      </tp>
      <tp>
        <v>33.700000000000003</v>
        <stp/>
        <stp>BDP|16778716474861008512|22</stp>
        <stp>ASHR US Equity</stp>
        <stp>LAST_PRICE</stp>
        <tr r="Z5" s="2"/>
      </tp>
      <tp t="s">
        <v>USD</v>
        <stp/>
        <stp>BDP|5680709130617741597|22</stp>
        <stp>MSFT US 07/17/26 C475 Equity</stp>
        <stp>QUOTED_CURRENCY_REALTIME</stp>
        <tr r="G17" s="2"/>
        <tr r="G16" s="2"/>
      </tp>
      <tp>
        <v>736000</v>
        <stp/>
        <stp>BDP|5584348829070198606|22</stp>
        <stp>000660 KP Equity</stp>
        <stp>LAST_PRICE</stp>
        <tr r="I26" s="1"/>
      </tp>
      <tp>
        <v>216.76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1413.35</v>
        <stp/>
        <stp>BDP|15490560954416168559|22</stp>
        <stp>ASML US Equity</stp>
        <stp>LAST_PRICE</stp>
        <tr r="S50" s="89"/>
        <tr r="S49" s="89"/>
      </tp>
      <tp>
        <v>-1.675754226744175E-2</v>
        <stp/>
        <stp>BDP|16828695075002840217|22</stp>
        <stp>INTC US 07/17/26 P40 Equity</stp>
        <stp>theta_mid_rt</stp>
        <tr r="AN22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>
        <v>107.48</v>
        <stp/>
        <stp>BDP|828808174050573795|22</stp>
        <stp>GDX US Equity</stp>
        <stp>LAST_PRICE</stp>
        <tr r="Z7" s="2"/>
        <tr r="Z8" s="2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324.85000000000002</v>
        <stp/>
        <stp>BDP|17019897193923426340|22</stp>
        <stp>AVGO US Equity</stp>
        <stp>LAST_PRICE</stp>
        <tr r="Z6" s="2"/>
        <tr r="S222" s="89"/>
        <tr r="S224" s="89"/>
        <tr r="S223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>
        <v>-1.6759999096393585E-2</v>
        <stp/>
        <stp>BDP|4936585278190549239|22</stp>
        <stp>QQQ US 01/21/26 P614 Equity</stp>
        <stp>DELTA_MID_RT</stp>
        <tr r="W82" s="89"/>
      </tp>
      <tp t="s">
        <v>#N/A Real Time</v>
        <stp/>
        <stp>BDP|16831399122066681226|22</stp>
        <stp>RTYWU5C3 2500 Index</stp>
        <stp>bid</stp>
        <tr r="K145" s="89"/>
      </tp>
      <tp>
        <v>398.82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62.66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>
        <v>1.5686845406889915E-2</v>
        <stp/>
        <stp>BDP|3530608701148378750|22</stp>
        <stp>QQQ US 01/26/26 C627 Equity</stp>
        <stp>DELTA_MID_RT</stp>
        <tr r="W212" s="89"/>
      </tp>
      <tp t="s">
        <v>#N/A Requesting Data...2383501542</v>
        <stp/>
        <stp>BDP|3297967097008051</stp>
        <tr r="AA223" s="89"/>
        <tr r="Z223" s="89"/>
      </tp>
      <tp>
        <v>328.49</v>
        <stp/>
        <stp>BDP|4205875099267338750|22</stp>
        <stp>V Equity</stp>
        <stp>LAST PRICE</stp>
        <tr r="G15" s="338"/>
        <tr r="G39" s="338"/>
        <tr r="I40" s="338"/>
      </tp>
      <tp>
        <v>332.71</v>
        <stp/>
        <stp>BDP|5454315708850008901|22</stp>
        <stp>TSM EQUITY</stp>
        <stp>LAST_PRICE</stp>
        <tr r="C3" s="1"/>
      </tp>
      <tp>
        <v>39.700000000000003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319.45999999999998</v>
        <stp/>
        <stp>BDP|14680776317739946594|22</stp>
        <stp>AMAT US Equity</stp>
        <stp>LAST_PRICE</stp>
        <tr r="S56" s="89"/>
        <tr r="S55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-5.6139999069273472E-3</v>
        <stp/>
        <stp>BDP|7770981328006744750|22</stp>
        <stp>QQQ US 01/23/26 P615 Equity</stp>
        <stp>DELTA_MID_RT</stp>
        <tr r="W75" s="89"/>
      </tp>
      <tp t="s">
        <v>USD</v>
        <stp/>
        <stp>BDP|3136129985130948796|22</stp>
        <stp>MSFT US 07/17/26 C465 Equity</stp>
        <stp>QUOTED_CURRENCY_REALTIME</stp>
        <tr r="G18" s="2"/>
      </tp>
      <tp t="s">
        <v>USD</v>
        <stp/>
        <stp>BDP|8789910064232569805|22</stp>
        <stp>AMAT US 01/23/26 P290 Equity</stp>
        <stp>QUOTED_CURRENCY_REALTIME</stp>
        <tr r="F55" s="89"/>
      </tp>
      <tp>
        <v>-0.44709092378616333</v>
        <stp/>
        <stp>BDP|17444184218214348444|22</stp>
        <stp>LITE US 03/20/26 C420 Equity</stp>
        <stp>theta_mid_rt</stp>
        <tr r="AN9" s="2"/>
      </tp>
      <tp>
        <v>-5.9373538941144943E-2</v>
        <stp/>
        <stp>BDP|15158621682476696755|22</stp>
        <stp>MRVL US 03/20/26 P75 Equity</stp>
        <stp>theta_mid_rt</stp>
        <tr r="AN13" s="2"/>
      </tp>
      <tp>
        <v>27.5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G11" s="2"/>
      </tp>
      <tp t="s">
        <v>USD</v>
        <stp/>
        <stp>BDP|12646934507024855207|22</stp>
        <stp>QQQ US 01/26/26 C627 Equity</stp>
        <stp>QUOTED_CURRENCY_REALTIME</stp>
        <tr r="F212" s="89"/>
      </tp>
      <tp t="s">
        <v>USD</v>
        <stp/>
        <stp>BDP|5793744081546209980|22</stp>
        <stp>META US 04/17/26 C690 Equity</stp>
        <stp>QUOTED_CURRENCY_REALTIME</stp>
        <tr r="G10" s="2"/>
        <tr r="F170" s="89"/>
      </tp>
      <tp t="s">
        <v>#N/A Real Time</v>
        <stp/>
        <stp>BDP|4903616747917947670|22</stp>
        <stp>SCH5C   6200 Index</stp>
        <stp>DELTA_MID_RT</stp>
        <tr r="W101" s="89"/>
      </tp>
      <tp>
        <v>-0.10112348943948746</v>
        <stp/>
        <stp>BDP|16650515249797519042|22</stp>
        <stp>MSFT US 07/17/26 C475 Equity</stp>
        <stp>theta_mid_rt</stp>
        <tr r="AN17" s="2"/>
        <tr r="AN16" s="2"/>
      </tp>
      <tp>
        <v>0.52797150611877441</v>
        <stp/>
        <stp>BDP|4155313352666840768|22</stp>
        <stp>GDX US 09/18/26 C115 Equity</stp>
        <stp>DELTA_MID_RT</stp>
        <tr r="AF8" s="2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389.13</v>
        <stp/>
        <stp>BDP|12429311880057526361|22</stp>
        <stp>MU EQUITY</stp>
        <stp>LAST_PRICE</stp>
        <tr r="C4" s="1"/>
      </tp>
      <tp>
        <v>-9.9658846855163574E-2</v>
        <stp/>
        <stp>BDP|16863084936447879221|22</stp>
        <stp>MSFT US 07/17/26 C465 Equity</stp>
        <stp>theta_mid_rt</stp>
        <tr r="AN18" s="2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15.75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USD</v>
        <stp/>
        <stp>BDP|3970030095933477348|22</stp>
        <stp>LITE US 02/20/26 C400 Equity</stp>
        <stp>QUOTED_CURRENCY_REALTIME</stp>
        <tr r="F7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-1.6361987218260765E-2</v>
        <stp/>
        <stp>BDP|18355121389053073684|22</stp>
        <stp>INTC US 07/17/26 C60 Equity</stp>
        <stp>theta_mid_rt</stp>
        <tr r="AN20" s="2"/>
      </tp>
      <tp>
        <v>42.49</v>
        <stp/>
        <stp>BDP|15280641543212915371|22</stp>
        <stp>INTC US Equity</stp>
        <stp>LAST_PRICE</stp>
        <tr r="Z21" s="2"/>
        <tr r="Z22" s="2"/>
        <tr r="Z20" s="2"/>
        <tr r="S195" s="89"/>
        <tr r="S196" s="89"/>
        <tr r="S197" s="89"/>
        <tr r="S39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-4.8970911651849747E-2</v>
        <stp/>
        <stp>BDP|16456111785153391042|22</stp>
        <stp>MRVL US 03/20/26 P70 Equity</stp>
        <stp>theta_mid_rt</stp>
        <tr r="AN15" s="2"/>
      </tp>
      <tp>
        <v>6061.2187999999996</v>
        <stp/>
        <stp>BDP|12063806539307343070|22</stp>
        <stp>H11137 Index</stp>
        <stp>LAST_PRICE</stp>
        <tr r="H13" s="252"/>
        <tr r="H13" s="252"/>
      </tp>
      <tp>
        <v>238.42</v>
        <stp/>
        <stp>BDP|11431942920512482031|22</stp>
        <stp>AMZN US Equity</stp>
        <stp>LAST_PRICE</stp>
        <tr r="Z4" s="2"/>
        <tr r="S234" s="89"/>
      </tp>
      <tp>
        <v>0.62351810932159424</v>
        <stp/>
        <stp>BDP|7447356985829106309|22</stp>
        <stp>GDX US 09/18/26 C105 Equity</stp>
        <stp>DELTA_MID_RT</stp>
        <tr r="AF7" s="2"/>
      </tp>
      <tp>
        <v>625.46</v>
        <stp/>
        <stp>BDP|360499996244621952|22</stp>
        <stp>QQQ US Equity</stp>
        <stp>LAST_PRICE</stp>
        <tr r="S68" s="89"/>
        <tr r="S69" s="89"/>
        <tr r="S75" s="89"/>
        <tr r="S76" s="89"/>
        <tr r="S81" s="89"/>
        <tr r="S203" s="89"/>
        <tr r="S204" s="89"/>
        <tr r="S205" s="89"/>
        <tr r="S211" s="89"/>
        <tr r="S212" s="89"/>
        <tr r="S82" s="89"/>
        <tr r="S33" s="89"/>
        <tr r="S213" s="89"/>
      </tp>
      <tp t="s">
        <v>#N/A Real Time</v>
        <stp/>
        <stp>BDP|15463751634066228508|22</stp>
        <stp>MRYWZ4C4 2390 Index</stp>
        <stp>ask</stp>
        <tr r="L129" s="89"/>
      </tp>
      <tp>
        <v>0.05</v>
        <stp/>
        <stp>BDP|7471545347057439094|22</stp>
        <stp>ASML US 01/23/26 P1200 Equity</stp>
        <stp>ask</stp>
        <tr r="L49" s="89"/>
      </tp>
      <tp>
        <v>672.36</v>
        <stp/>
        <stp>BDP|12884552599081678750|22</stp>
        <stp>META US Equity</stp>
        <stp>LAST_PRICE</stp>
        <tr r="Z10" s="2"/>
        <tr r="Z11" s="2"/>
        <tr r="S169" s="89"/>
        <tr r="S170" s="89"/>
        <tr r="S171" s="89"/>
        <tr r="S233" s="89"/>
        <tr r="S180" s="89"/>
      </tp>
      <tp>
        <v>88.08</v>
        <stp/>
        <stp>BDP|18303621184368417422|22</stp>
        <stp>COPX US Equity</stp>
        <stp>LAST_PRICE</stp>
        <tr r="S34" s="89"/>
        <tr r="S26" s="89"/>
        <tr r="S27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-1.8381606787443161E-2</v>
        <stp/>
        <stp>BDP|17856461713270669920|22</stp>
        <stp>INTC US 07/17/26 C50 Equity</stp>
        <stp>theta_mid_rt</stp>
        <tr r="AN21" s="2"/>
      </tp>
      <tp>
        <v>-6.6864036023616791E-2</v>
        <stp/>
        <stp>BDP|12438727553717188638|22</stp>
        <stp>MRVL US 03/20/26 P85 Equity</stp>
        <stp>theta_mid_rt</stp>
        <tr r="AN12" s="2"/>
      </tp>
      <tp t="s">
        <v>#N/A N/A</v>
        <stp/>
        <stp>BDP|4931331422744178730|22</stp>
        <stp>ASML US 01/23/26 P1100 Equity</stp>
        <stp>bid</stp>
        <tr r="K50" s="89"/>
      </tp>
      <tp t="s">
        <v>USD</v>
        <stp/>
        <stp>BDP|13653475185267269899|22</stp>
        <stp>QQQ US 01/16/26 C633 Equity</stp>
        <stp>QUOTED_CURRENCY_REALTIME</stp>
        <tr r="F204" s="89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9" s="2"/>
        <tr r="F8" s="89"/>
      </tp>
      <tp>
        <v>98.81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77.010000000000005</v>
        <stp/>
        <stp>BDP|224343272968290990|22</stp>
        <stp>CSCO Equity</stp>
        <stp>LAST_PRICE</stp>
        <tr r="I29" s="1"/>
      </tp>
      <tp t="s">
        <v>USD</v>
        <stp/>
        <stp>BDP|15921512247754171265|22</stp>
        <stp>QQQ US 02/06/26 P616 Equity</stp>
        <stp>QUOTED_CURRENCY_REALTIME</stp>
        <tr r="F81" s="89"/>
      </tp>
      <tp t="s">
        <v>USD</v>
        <stp/>
        <stp>BDP|4017173425125763732|22</stp>
        <stp>META US 04/17/26 C750 Equity</stp>
        <stp>QUOTED_CURRENCY_REALTIME</stp>
        <tr r="F169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>
        <v>625.46</v>
        <stp/>
        <stp>BDP|2689810960265066336|22</stp>
        <stp>QQQ EQUITY</stp>
        <stp>LAST_PRICE</stp>
        <tr r="I6" s="1"/>
      </tp>
      <tp t="s">
        <v>#N/A Requesting Data...2931425536</v>
        <stp/>
        <stp>BDP|3970119255888163378</stp>
        <tr r="L14" s="338"/>
        <tr r="H14" s="338"/>
        <tr r="L35" s="338"/>
        <tr r="H35" s="338"/>
      </tp>
      <tp t="s">
        <v>#N/A Requesting Data...3934763566</v>
        <stp/>
        <stp>BDP|1780817128230709721</stp>
        <tr r="AC33" s="1"/>
      </tp>
      <tp t="s">
        <v>#N/A Requesting Data...1696792907</v>
        <stp/>
        <stp>BDP|6079579929065496810</stp>
        <tr r="O17" s="252"/>
      </tp>
      <tp t="s">
        <v>#N/A Requesting Data...3322295810</v>
        <stp/>
        <stp>BDP|7892942422180160079</stp>
        <tr r="AF29" s="338"/>
        <tr r="AF30" s="338"/>
      </tp>
      <tp t="s">
        <v>#N/A Requesting Data...1956888998</v>
        <stp/>
        <stp>BDP|6875767680954769102</stp>
        <tr r="AR6" s="2"/>
      </tp>
      <tp t="s">
        <v>#N/A Requesting Data...3582728734</v>
        <stp/>
        <stp>BDP|7500005297250850236</stp>
        <tr r="K1" s="1"/>
      </tp>
      <tp t="s">
        <v>#N/A Requesting Data...3256179859</v>
        <stp/>
        <stp>BDP|7828562231434179977</stp>
        <tr r="G30" s="446"/>
      </tp>
      <tp t="b">
        <v>0</v>
        <stp/>
        <stp>BDH|8030486740952624673</stp>
        <tr r="AR45" s="338"/>
      </tp>
      <tp t="s">
        <v>#N/A Requesting Data...1565298950</v>
        <stp/>
        <stp>BDP|5719360958046661910</stp>
        <tr r="U16" s="338"/>
        <tr r="U38" s="338"/>
      </tp>
      <tp t="s">
        <v>#N/A Requesting Data...4236235342</v>
        <stp/>
        <stp>BDP|8367283627072476679</stp>
        <tr r="AC30" s="1"/>
        <tr r="AC31" s="1"/>
      </tp>
      <tp t="s">
        <v>#N/A Requesting Data...3035260946</v>
        <stp/>
        <stp>BDP|6021078455249412694</stp>
        <tr r="AJ37" s="338"/>
      </tp>
      <tp t="s">
        <v>#N/A Requesting Data...2219776948</v>
        <stp/>
        <stp>BDP|2116301475429922329</stp>
        <tr r="E205" s="89"/>
      </tp>
      <tp t="s">
        <v>#N/A Requesting Data...3286921337</v>
        <stp/>
        <stp>BDP|1166102887343177783</stp>
        <tr r="C69" s="89"/>
      </tp>
      <tp t="s">
        <v>#N/A Requesting Data...1881074804</v>
        <stp/>
        <stp>BDP|4596394917382492801</stp>
        <tr r="AF10" s="1"/>
      </tp>
      <tp t="s">
        <v>#N/A Requesting Data...3646636118</v>
        <stp/>
        <stp>BDP|6404917817581645389</stp>
        <tr r="O14" s="252"/>
      </tp>
      <tp t="s">
        <v>#N/A Requesting Data...3501216481</v>
        <stp/>
        <stp>BDP|8267476373493896423</stp>
        <tr r="K2" s="1"/>
      </tp>
      <tp t="b">
        <v>0</v>
        <stp/>
        <stp>BDH|1321609848368252752</stp>
        <tr r="AP34" s="338"/>
        <tr r="AP13" s="338"/>
      </tp>
      <tp t="s">
        <v>#N/A Requesting Data...4280403268</v>
        <stp/>
        <stp>BDP|4738998939235389797</stp>
        <tr r="F8" s="446"/>
      </tp>
      <tp t="s">
        <v>#N/A N/A</v>
        <stp/>
        <stp>BDP|2282995976142786289</stp>
        <tr r="AV6" s="2"/>
        <tr r="R222" s="89"/>
        <tr r="R224" s="89"/>
        <tr r="R223" s="89"/>
        <tr r="R225" s="89"/>
      </tp>
      <tp t="s">
        <v>#N/A Requesting Data...3242529733</v>
        <stp/>
        <stp>BDP|8370148836023021531</stp>
        <tr r="AF36" s="1"/>
        <tr r="AF37" s="338"/>
      </tp>
      <tp t="s">
        <v>#N/A Requesting Data...2032785275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Data...3080039902</v>
        <stp/>
        <stp>BDP|5270872678817673187</stp>
        <tr r="O13" s="252"/>
      </tp>
      <tp t="s">
        <v>#N/A Requesting Data...1984664436</v>
        <stp/>
        <stp>BDP|2737330982055463026</stp>
        <tr r="AG36" s="1"/>
      </tp>
      <tp t="s">
        <v>#N/A Requesting Data...3425032982</v>
        <stp/>
        <stp>BDP|3098041072779459130</stp>
        <tr r="E170" s="89"/>
      </tp>
      <tp t="s">
        <v>#N/A Requesting Data...4260902051</v>
        <stp/>
        <stp>BDP|3331016988720805736</stp>
        <tr r="T34" s="89"/>
      </tp>
      <tp t="s">
        <v>#N/A Requesting Data...4233644814</v>
        <stp/>
        <stp>BDP|6202726206315217853</stp>
        <tr r="AH41" s="338"/>
        <tr r="AH42" s="338"/>
      </tp>
      <tp t="b">
        <v>0</v>
        <stp/>
        <stp>BDH|9004776845775608355</stp>
        <tr r="J13" s="252"/>
      </tp>
      <tp t="s">
        <v>#N/A Requesting Data...2989678543</v>
        <stp/>
        <stp>BDP|5489377534060375922</stp>
        <tr r="T145" s="89"/>
      </tp>
      <tp t="s">
        <v>#N/A Requesting Data...2055068350</v>
        <stp/>
        <stp>BDP|7547135630721272822</stp>
        <tr r="T29" s="338"/>
      </tp>
      <tp t="s">
        <v>#N/A Requesting Data...3750639464</v>
        <stp/>
        <stp>BDP|9515949913399601436</stp>
        <tr r="G25" s="446"/>
      </tp>
      <tp t="s">
        <v>#N/A Requesting Data...2820489959</v>
        <stp/>
        <stp>BDP|2250196021425433893</stp>
        <tr r="AA237" s="89"/>
        <tr r="Z237" s="89"/>
      </tp>
      <tp t="b">
        <v>0</v>
        <stp/>
        <stp>BDH|3976479519172719872</stp>
        <tr r="AP11" s="338"/>
        <tr r="AP10" s="338"/>
        <tr r="AP33" s="338"/>
      </tp>
      <tp t="s">
        <v>#N/A Requesting Data...3488128319</v>
        <stp/>
        <stp>BDP|9712190854671951078</stp>
        <tr r="M16" s="252"/>
      </tp>
      <tp t="s">
        <v>#N/A Requesting Data...3605829415</v>
        <stp/>
        <stp>BDP|5511275398847971578</stp>
        <tr r="T45" s="338"/>
      </tp>
      <tp t="s">
        <v>#N/A Requesting Data...2331873714</v>
        <stp/>
        <stp>BDP|2209854278019805833</stp>
        <tr r="D39" s="89"/>
      </tp>
      <tp>
        <v>85.13</v>
        <stp/>
        <stp>BDP|7394371982457470369|22</stp>
        <stp>KBWB Equity</stp>
        <stp>LAST PRICE</stp>
        <tr r="G52" s="338"/>
        <tr r="G53" s="338"/>
        <tr r="G54" s="338"/>
      </tp>
      <tp>
        <v>0.51037758588790894</v>
        <stp/>
        <stp>BDP|3618230694791584226|22</stp>
        <stp>COPX US 07/17/26 C95 Equity</stp>
        <stp>DELTA_MID_RT</stp>
        <tr r="W27" s="89"/>
      </tp>
      <tp t="s">
        <v>#N/A Requesting Data...3747760847</v>
        <stp/>
        <stp>BDP|5415224161148491497</stp>
        <tr r="O187" s="89"/>
      </tp>
      <tp t="s">
        <v>#N/A Requesting Data...1749968359</v>
        <stp/>
        <stp>BDP|9641015641826985650</stp>
        <tr r="U52" s="338"/>
      </tp>
      <tp t="s">
        <v>#N/A Requesting Data...3338710001</v>
        <stp/>
        <stp>BDP|9663379623834075196</stp>
        <tr r="C17" s="2"/>
        <tr r="C16" s="2"/>
      </tp>
      <tp t="s">
        <v>#N/A Requesting Data...3420461662</v>
        <stp/>
        <stp>BDP|6731818678664058062</stp>
        <tr r="C116" s="89"/>
      </tp>
      <tp t="s">
        <v>#N/A Requesting Data...1943326370</v>
        <stp/>
        <stp>BDP|3337761684491833019</stp>
        <tr r="F44" s="446"/>
      </tp>
      <tp t="s">
        <v>#N/A Requesting Data...2837408726</v>
        <stp/>
        <stp>BDP|4245700180187394193</stp>
        <tr r="E144" s="89"/>
      </tp>
      <tp t="b">
        <v>0</v>
        <stp/>
        <stp>BDH|9094319910555077391</stp>
        <tr r="AP14" s="338"/>
        <tr r="AP35" s="338"/>
      </tp>
      <tp t="s">
        <v>#N/A Requesting Data...3342068484</v>
        <stp/>
        <stp>BDP|2599954552966387584</stp>
        <tr r="V15" s="338"/>
        <tr r="V39" s="338"/>
      </tp>
      <tp t="s">
        <v>#N/A Requesting Data...4121951683</v>
        <stp/>
        <stp>BDP|6927294984968537987</stp>
        <tr r="C224" s="89"/>
      </tp>
      <tp t="s">
        <v>#N/A Requesting Data...1954255376</v>
        <stp/>
        <stp>BDP|9699474378527567053</stp>
        <tr r="AC27" s="1"/>
      </tp>
      <tp t="s">
        <v>#N/A Requesting Data...1882780930</v>
        <stp/>
        <stp>BDP|4059296425981795825</stp>
        <tr r="T89" s="89"/>
      </tp>
      <tp t="s">
        <v>#N/A Requesting Data...3408667510</v>
        <stp/>
        <stp>BDP|9987750837224410406</stp>
        <tr r="F11" s="2"/>
      </tp>
      <tp t="s">
        <v>#N/A Requesting Data...3509091267</v>
        <stp/>
        <stp>BDP|8113789535866062735</stp>
        <tr r="T237" s="89"/>
      </tp>
      <tp t="s">
        <v>#N/A Requesting Data...2677377577</v>
        <stp/>
        <stp>BDP|6822986114586808509</stp>
        <tr r="AA13" s="2"/>
      </tp>
      <tp t="s">
        <v>#N/A Requesting Data...2512764396</v>
        <stp/>
        <stp>BDP|9592498748502103695</stp>
        <tr r="L7" s="252"/>
        <tr r="L7" s="252"/>
      </tp>
      <tp t="s">
        <v>#N/A Requesting Data...2097157903</v>
        <stp/>
        <stp>BDP|6754010884411976277</stp>
        <tr r="X44" s="338"/>
      </tp>
      <tp t="s">
        <v>#N/A Requesting Data...1925588479</v>
        <stp/>
        <stp>BDP|4958570254160242959</stp>
        <tr r="T33" s="338"/>
      </tp>
      <tp t="s">
        <v>#N/A Requesting Data...3512300299</v>
        <stp/>
        <stp>BDP|4678905769292619449</stp>
        <tr r="AK29" s="338"/>
      </tp>
      <tp t="s">
        <v>#N/A Requesting Data...1808522101</v>
        <stp/>
        <stp>BDP|7223883239641187000</stp>
        <tr r="G16" s="446"/>
      </tp>
      <tp t="s">
        <v>#N/A Requesting Data...2371725659</v>
        <stp/>
        <stp>BDP|5114854945934215018</stp>
        <tr r="AD10" s="2"/>
        <tr r="V170" s="89"/>
      </tp>
      <tp t="b">
        <v>0</v>
        <stp/>
        <stp>BDH|6510200972726120845</stp>
        <tr r="T14" s="252"/>
        <tr r="W14" s="252"/>
      </tp>
      <tp t="s">
        <v>#N/A Requesting Data...3791100852</v>
        <stp/>
        <stp>BDP|8227558946176666242</stp>
        <tr r="C204" s="89"/>
      </tp>
      <tp t="s">
        <v>#N/A Requesting Data...3768382828</v>
        <stp/>
        <stp>BDP|7635803534404750562</stp>
        <tr r="Q29" s="338"/>
      </tp>
      <tp t="s">
        <v>#N/A Requesting Data...2188815460</v>
        <stp/>
        <stp>BDP|8023230975554206472</stp>
        <tr r="U33" s="338"/>
      </tp>
      <tp t="s">
        <v>#N/A Requesting Data...4160657100</v>
        <stp/>
        <stp>BDP|2832828567039648888</stp>
        <tr r="D5" s="2"/>
      </tp>
      <tp t="s">
        <v>#N/A Requesting Data...2984371364</v>
        <stp/>
        <stp>BDP|1449141764908407306</stp>
        <tr r="F11" s="446"/>
      </tp>
      <tp t="s">
        <v>#N/A Requesting Data...2210406373</v>
        <stp/>
        <stp>BDP|6113923539666992720</stp>
        <tr r="N14" s="252"/>
        <tr r="N14" s="252"/>
      </tp>
      <tp t="s">
        <v>#N/A N/A</v>
        <stp/>
        <stp>BDP|8840098927283470439</stp>
        <tr r="AB153" s="89"/>
        <tr r="AB154" s="89"/>
      </tp>
      <tp t="s">
        <v>#N/A Requesting Data...4006927752</v>
        <stp/>
        <stp>BDP|7951947862590616582</stp>
        <tr r="AF32" s="1"/>
        <tr r="AF13" s="338"/>
        <tr r="AF34" s="338"/>
      </tp>
      <tp t="s">
        <v>#N/A Requesting Data...3709202558</v>
        <stp/>
        <stp>BDP|9891481019803044282</stp>
        <tr r="G23" s="446"/>
      </tp>
      <tp t="s">
        <v>#N/A Requesting Data...3331542613</v>
        <stp/>
        <stp>BDP|8890689995642342808</stp>
        <tr r="V53" s="338"/>
      </tp>
      <tp t="s">
        <v>#N/A Requesting Data...2469336257</v>
        <stp/>
        <stp>BDP|4140538680732569611</stp>
        <tr r="AD11" s="2"/>
      </tp>
      <tp t="s">
        <v>#N/A Requesting Data...2609444186</v>
        <stp/>
        <stp>BDP|9480751962541692435</stp>
        <tr r="D17" s="2"/>
        <tr r="D16" s="2"/>
      </tp>
      <tp t="s">
        <v>#N/A Requesting Data...2072324888</v>
        <stp/>
        <stp>BDP|2455215735317653905</stp>
        <tr r="E223" s="89"/>
      </tp>
      <tp t="b">
        <v>0</v>
        <stp/>
        <stp>BDH|1022161920367637867</stp>
        <tr r="AM46" s="338"/>
        <tr r="AM45" s="338"/>
        <tr r="AR31" s="338"/>
        <tr r="AR41" s="338"/>
        <tr r="AM49" s="338"/>
        <tr r="AR51" s="338"/>
        <tr r="AR33" s="338"/>
        <tr r="AR47" s="338"/>
      </tp>
      <tp t="s">
        <v>#N/A Requesting Data...3079970906</v>
        <stp/>
        <stp>BDP|2447569196515159629</stp>
        <tr r="T8" s="2"/>
      </tp>
      <tp t="s">
        <v>#N/A Requesting Data...4003349295</v>
        <stp/>
        <stp>BDP|7612533417436704812</stp>
        <tr r="AJ13" s="338"/>
        <tr r="AJ34" s="338"/>
      </tp>
      <tp t="s">
        <v>#N/A Requesting Data...2852923855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Data...1651072271</v>
        <stp/>
        <stp>BDP|3007975292676340821</stp>
        <tr r="G24" s="446"/>
      </tp>
      <tp t="b">
        <v>0</v>
        <stp/>
        <stp>BDH|9727631859733985400</stp>
        <tr r="AR40" s="338"/>
        <tr r="AM39" s="338"/>
        <tr r="AM15" s="338"/>
      </tp>
      <tp t="s">
        <v>#N/A Requesting Data...1869066790</v>
        <stp/>
        <stp>BDP|5665815221263095138</stp>
        <tr r="E95" s="89"/>
      </tp>
      <tp t="b">
        <v>0</v>
        <stp/>
        <stp>BDH|2114060395467773106</stp>
        <tr r="J16" s="252"/>
      </tp>
      <tp>
        <v>15.55</v>
        <stp/>
        <stp>BDP|18096733178424916458|22</stp>
        <stp>AVGO US 06/18/26 P270 Equity</stp>
        <stp>bid</stp>
        <tr r="K225" s="89"/>
      </tp>
      <tp>
        <v>30.55</v>
        <stp/>
        <stp>BDP|10089550128122679017|22</stp>
        <stp>TSM US 06/18/26 C340 Equity</stp>
        <stp>ask</stp>
        <tr r="Q23" s="2"/>
        <tr r="L13" s="89"/>
      </tp>
      <tp>
        <v>-0.20842684805393219</v>
        <stp/>
        <stp>BDP|3431413272118379814|22</stp>
        <stp>MRVL US 03/20/26 P70 Equity</stp>
        <stp>DELTA_MID_RT</stp>
        <tr r="AF15" s="2"/>
        <tr r="W63" s="89"/>
      </tp>
      <tp t="s">
        <v>#N/A Requesting Data...3661309254</v>
        <stp/>
        <stp>BDP|5266989866390412427</stp>
        <tr r="D38" s="446"/>
      </tp>
      <tp t="s">
        <v>#N/A Requesting Data...2144687999</v>
        <stp/>
        <stp>BDP|8338110186819693688</stp>
        <tr r="E212" s="89"/>
      </tp>
      <tp t="s">
        <v>#N/A N/A</v>
        <stp/>
        <stp>BDP|8927228557595141478</stp>
        <tr r="R115" s="89"/>
        <tr r="R116" s="89"/>
      </tp>
      <tp t="s">
        <v>#N/A Requesting Data...3728308417</v>
        <stp/>
        <stp>BDP|5527710723047808956</stp>
        <tr r="T50" s="89"/>
      </tp>
      <tp t="s">
        <v>#N/A Requesting Data...2294546909</v>
        <stp/>
        <stp>BDP|5586265622589882234</stp>
        <tr r="T187" s="89"/>
      </tp>
      <tp t="s">
        <v>#N/A Requesting Data...4206543702</v>
        <stp/>
        <stp>BDP|3507742477994476993</stp>
        <tr r="D40" s="89"/>
      </tp>
      <tp t="s">
        <v>#N/A Requesting Data...2390989863</v>
        <stp/>
        <stp>BDP|1529618684855229495</stp>
        <tr r="E197" s="89"/>
      </tp>
      <tp t="s">
        <v>#N/A N/A</v>
        <stp/>
        <stp>BDP|8452001835880289581</stp>
        <tr r="AB29" s="1"/>
      </tp>
      <tp t="b">
        <v>0</v>
        <stp/>
        <stp>BDH|7320923508626170630</stp>
        <tr r="AU35" s="338"/>
        <tr r="AU37" s="338"/>
        <tr r="AU36" s="338"/>
        <tr r="AP51" s="338"/>
        <tr r="AU34" s="338"/>
        <tr r="AP50" s="338"/>
      </tp>
      <tp t="s">
        <v>#N/A Requesting Data...3512842942</v>
        <stp/>
        <stp>BDP|8518419899713251871</stp>
        <tr r="X8" s="338"/>
      </tp>
      <tp t="s">
        <v>#N/A Requesting Data...2661895323</v>
        <stp/>
        <stp>BDP|6375542897924166091</stp>
        <tr r="C109" s="89"/>
      </tp>
      <tp t="s">
        <v>#N/A Requesting Data...3244268449</v>
        <stp/>
        <stp>BDP|6865956502756622717</stp>
        <tr r="AH36" s="338"/>
        <tr r="AJ36" s="338"/>
      </tp>
      <tp t="s">
        <v>#N/A Requesting Data...4080749557</v>
        <stp/>
        <stp>BDP|2379295593121097618</stp>
        <tr r="D44" s="446"/>
      </tp>
      <tp t="b">
        <v>0</v>
        <stp/>
        <stp>BDH|2165558799394718424</stp>
        <tr r="AN30" s="338"/>
        <tr r="AN29" s="338"/>
      </tp>
      <tp t="s">
        <v>#N/A Requesting Data...3443203383</v>
        <stp/>
        <stp>BDP|4680288495411508078</stp>
        <tr r="F18" s="2"/>
      </tp>
      <tp t="s">
        <v>#N/A Requesting Data...2519650771</v>
        <stp/>
        <stp>BDP|9349867885552045593</stp>
        <tr r="S48" s="338"/>
      </tp>
      <tp t="b">
        <v>0</v>
        <stp/>
        <stp>BDH|4072193451596796866</stp>
        <tr r="AR29" s="338"/>
      </tp>
      <tp t="s">
        <v>#N/A Requesting Data...3234319105</v>
        <stp/>
        <stp>BDP|8800614714481507068</stp>
        <tr r="AD22" s="2"/>
        <tr r="V197" s="89"/>
      </tp>
      <tp t="s">
        <v>#N/A Requesting Data...2039062342</v>
        <stp/>
        <stp>BDP|8943988508449477635</stp>
        <tr r="F4" s="2"/>
      </tp>
      <tp t="s">
        <v>#N/A Requesting Data...2539990259</v>
        <stp/>
        <stp>BDP|1210812459016425419</stp>
        <tr r="T169" s="89"/>
      </tp>
      <tp t="s">
        <v>#N/A Requesting Data...2257503608</v>
        <stp/>
        <stp>BDP|3116185742219750133</stp>
        <tr r="T109" s="89"/>
      </tp>
      <tp t="s">
        <v>#N/A Requesting Data...2885755217</v>
        <stp/>
        <stp>BDP|8974216276565695646</stp>
        <tr r="C8" s="2"/>
      </tp>
      <tp t="s">
        <v>#N/A Requesting Data...1939235105</v>
        <stp/>
        <stp>BDP|8883658922450224216</stp>
        <tr r="C76" s="89"/>
      </tp>
      <tp t="s">
        <v>#N/A N/A</v>
        <stp/>
        <stp>BDP|8927803377951233812</stp>
        <tr r="AB160" s="89"/>
      </tp>
      <tp t="s">
        <v>#N/A Requesting Data...4206952110</v>
        <stp/>
        <stp>BDP|9104922632105284817</stp>
        <tr r="D20" s="89"/>
      </tp>
      <tp t="s">
        <v>#N/A Requesting Data...2351933618</v>
        <stp/>
        <stp>BDP|5796504129065876948</stp>
        <tr r="U8" s="338"/>
      </tp>
      <tp t="s">
        <v>#N/A Requesting Data...3187679381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s">
        <v>#N/A Requesting Data...3779115256</v>
        <stp/>
        <stp>BDP|3591287980260932747</stp>
        <tr r="Q30" s="338"/>
      </tp>
      <tp t="s">
        <v>#N/A Requesting Data...4171724669</v>
        <stp/>
        <stp>BDP|9233199299816659948</stp>
        <tr r="P11" s="252"/>
      </tp>
      <tp t="s">
        <v>#N/A Requesting Data...3957970245</v>
        <stp/>
        <stp>BDP|2292616657717420814</stp>
        <tr r="AF31" s="338"/>
        <tr r="AF32" s="338"/>
      </tp>
      <tp t="s">
        <v>#N/A Requesting Data...3182729898</v>
        <stp/>
        <stp>BDP|1704402293557704529</stp>
        <tr r="K7" s="1"/>
      </tp>
      <tp t="s">
        <v>#N/A Requesting Data...2437186602</v>
        <stp/>
        <stp>BDP|4042472092244568314</stp>
        <tr r="V108" s="89"/>
      </tp>
      <tp t="s">
        <v>#N/A Requesting Data...2470562728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Data...2042390194</v>
        <stp/>
        <stp>BDP|5068380246295060987</stp>
        <tr r="P49" s="338"/>
      </tp>
      <tp t="b">
        <v>0</v>
        <stp/>
        <stp>BDH|5674194540649995708</stp>
        <tr r="W17" s="252"/>
        <tr r="T17" s="252"/>
      </tp>
      <tp t="s">
        <v>#N/A Requesting Data...1961276583</v>
        <stp/>
        <stp>BDP|6562923680930375939</stp>
        <tr r="T11" s="338"/>
      </tp>
      <tp t="s">
        <v>#N/A Requesting Data...2060253217</v>
        <stp/>
        <stp>BDP|4719256686637012732</stp>
        <tr r="M19" s="252"/>
      </tp>
      <tp t="s">
        <v>#N/A Requesting Data...3327888995</v>
        <stp/>
        <stp>BDP|2644203280360986688</stp>
        <tr r="AB32" s="1"/>
        <tr r="F35" s="446"/>
      </tp>
      <tp t="s">
        <v>#N/A Requesting Data...3878705342</v>
        <stp/>
        <stp>BDP|3687895063137929413</stp>
        <tr r="U51" s="338"/>
      </tp>
      <tp t="b">
        <v>0</v>
        <stp/>
        <stp>BDH|8097674423842712077</stp>
        <tr r="AN32" s="338"/>
        <tr r="AN31" s="338"/>
      </tp>
      <tp t="s">
        <v>#N/A Requesting Data...2334735316</v>
        <stp/>
        <stp>BDP|2866283045919885388</stp>
        <tr r="L18" s="338"/>
        <tr r="J18" s="338"/>
      </tp>
      <tp t="s">
        <v>#N/A Requesting Data...2111795391</v>
        <stp/>
        <stp>BDP|8754151420072627717</stp>
        <tr r="AR8" s="2"/>
      </tp>
      <tp t="s">
        <v>#N/A Requesting Data...2897830102</v>
        <stp/>
        <stp>BDP|8565804017506463936</stp>
        <tr r="L17" s="252"/>
        <tr r="L17" s="252"/>
      </tp>
      <tp t="b">
        <v>0</v>
        <stp/>
        <stp>BDH|5028992049441700726</stp>
        <tr r="AP36" s="338"/>
      </tp>
      <tp t="b">
        <v>0</v>
        <stp/>
        <stp>BDH|5519148376648109532</stp>
        <tr r="AN37" s="338"/>
      </tp>
      <tp>
        <v>19.100000000000001</v>
        <stp/>
        <stp>BDP|13753378013260123339|22</stp>
        <stp>AMZN US 07/17/26 C250 Equity</stp>
        <stp>bid</stp>
        <tr r="K234" s="89"/>
      </tp>
      <tp>
        <v>19.57</v>
        <stp/>
        <stp>BDP|1056906607050736285|22</stp>
        <stp>CPNG Equity</stp>
        <stp>LAST PRICE</stp>
        <tr r="L7" s="446"/>
      </tp>
      <tp>
        <v>36.76</v>
        <stp/>
        <stp>BDP|8479129259841183337|22</stp>
        <stp>BP Equity</stp>
        <stp>LAST PRICE</stp>
        <tr r="G29" s="338"/>
        <tr r="G30" s="338"/>
      </tp>
      <tp>
        <v>-0.19168871641159058</v>
        <stp/>
        <stp>BDP|5526706154841928378|22</stp>
        <stp>MSFT US 03/20/26 P465 Equity</stp>
        <stp>theta_mid_rt</stp>
        <tr r="AN19" s="2"/>
      </tp>
      <tp t="s">
        <v>USD</v>
        <stp/>
        <stp>BDP|14291221851174083025|22</stp>
        <stp>AMZN US 07/17/26 C245 Equity</stp>
        <stp>QUOTED_CURRENCY_REALTIME</stp>
        <tr r="G4" s="2"/>
      </tp>
      <tp>
        <v>332.71</v>
        <stp/>
        <stp>BDP|10734773146792366841|22</stp>
        <stp>TSM US Equity</stp>
        <stp>LAST_PRICE</stp>
        <tr r="Z24" s="2"/>
        <tr r="Z23" s="2"/>
        <tr r="S13" s="89"/>
        <tr r="S20" s="89"/>
        <tr r="S14" s="89"/>
        <tr r="S19" s="89"/>
      </tp>
      <tp t="s">
        <v>#N/A Requesting Data...2448506391</v>
        <stp/>
        <stp>BDP|3786323124408946521</stp>
        <tr r="D45" s="446"/>
      </tp>
      <tp t="s">
        <v>#N/A Requesting Data...2727673774</v>
        <stp/>
        <stp>BDP|7859159525229324216</stp>
        <tr r="C49" s="89"/>
      </tp>
      <tp t="s">
        <v>#N/A Requesting Data...3363036299</v>
        <stp/>
        <stp>BDP|8896143753810578305</stp>
        <tr r="F14" s="2"/>
      </tp>
      <tp t="s">
        <v>#N/A Requesting Data...3358531155</v>
        <stp/>
        <stp>BDP|2806504826139638334</stp>
        <tr r="AG32" s="1"/>
      </tp>
      <tp t="s">
        <v>#N/A Requesting Data...2056255201</v>
        <stp/>
        <stp>BDP|4784976331940308190</stp>
        <tr r="AA144" s="89"/>
        <tr r="Z144" s="89"/>
      </tp>
      <tp t="s">
        <v>#N/A Requesting Data...4062292340</v>
        <stp/>
        <stp>BDP|2131718523418809031</stp>
        <tr r="X9" s="338"/>
      </tp>
      <tp t="s">
        <v>#N/A Requesting Data...3861501472</v>
        <stp/>
        <stp>BDP|8119275495638947437</stp>
        <tr r="AI37" s="1"/>
        <tr r="AI38" s="1"/>
      </tp>
      <tp t="s">
        <v>#N/A Requesting Data...2588170951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Data...4282574199</v>
        <stp/>
        <stp>BDP|2842170687233636700</stp>
        <tr r="AH13" s="338"/>
        <tr r="AH34" s="338"/>
      </tp>
      <tp t="s">
        <v>#N/A Requesting Data...3113887964</v>
        <stp/>
        <stp>BDP|1457483532620769970</stp>
        <tr r="L18" s="252"/>
        <tr r="L18" s="252"/>
      </tp>
      <tp t="s">
        <v>#N/A Requesting Data...3416109983</v>
        <stp/>
        <stp>BDP|7952717157178061208</stp>
        <tr r="AI17" s="1"/>
        <tr r="AI16" s="1"/>
      </tp>
      <tp t="s">
        <v>#N/A Requesting Data...2743961539</v>
        <stp/>
        <stp>BDP|6268649388386345129</stp>
        <tr r="D144" s="89"/>
      </tp>
      <tp t="s">
        <v>#N/A Requesting Data...1860180792</v>
        <stp/>
        <stp>BDP|8154630115763023381</stp>
        <tr r="T52" s="338"/>
      </tp>
      <tp t="s">
        <v>#N/A Requesting Data...3053284690</v>
        <stp/>
        <stp>BDP|7576730522755872830</stp>
        <tr r="F38" s="446"/>
      </tp>
      <tp t="b">
        <v>0</v>
        <stp/>
        <stp>BDH|6017282798762637092</stp>
        <tr r="AS30" s="338"/>
      </tp>
      <tp t="s">
        <v>#N/A Requesting Data...2409641028</v>
        <stp/>
        <stp>BDP|3379738209742094959</stp>
        <tr r="AG34" s="1"/>
      </tp>
      <tp t="s">
        <v>#N/A Requesting Data...3097838691</v>
        <stp/>
        <stp>BDP|9507005719251486644</stp>
        <tr r="M10" s="252"/>
      </tp>
      <tp t="s">
        <v>#N/A Requesting Data...2741574277</v>
        <stp/>
        <stp>BDP|7273408672439991253</stp>
        <tr r="E34" s="89"/>
      </tp>
      <tp t="s">
        <v>#N/A Requesting Data...4161424259</v>
        <stp/>
        <stp>BDP|8864177178196306783</stp>
        <tr r="C213" s="89"/>
      </tp>
      <tp t="s">
        <v>#N/A Requesting Data...1818488376</v>
        <stp/>
        <stp>BDP|3243919885914808926</stp>
        <tr r="AB14" s="1"/>
      </tp>
      <tp t="s">
        <v>#N/A Requesting Data...2059808601</v>
        <stp/>
        <stp>BDP|9539667201337640785</stp>
        <tr r="U36" s="338"/>
      </tp>
      <tp t="s">
        <v>#N/A Requesting Data...1869043675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Data...3413000356</v>
        <stp/>
        <stp>BDP|3017449980125941505</stp>
        <tr r="V212" s="89"/>
      </tp>
      <tp t="s">
        <v>#N/A N/A</v>
        <stp/>
        <stp>BDP|6430708143608850224</stp>
        <tr r="R34" s="89"/>
        <tr r="R26" s="89"/>
        <tr r="R27" s="89"/>
      </tp>
      <tp t="s">
        <v>#N/A Requesting Data...2667009923</v>
        <stp/>
        <stp>BDP|7758988602381610061</stp>
        <tr r="AC15" s="1"/>
      </tp>
      <tp t="s">
        <v>#N/A Requesting Data...3895763656</v>
        <stp/>
        <stp>BDP|1394056382724108288</stp>
        <tr r="Q37" s="338"/>
      </tp>
      <tp t="s">
        <v>#N/A Requesting Data...3623802016</v>
        <stp/>
        <stp>BDP|8782158116286979106</stp>
        <tr r="AG41" s="1"/>
      </tp>
      <tp t="s">
        <v>#N/A Requesting Data...3939042553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Data...2877365137</v>
        <stp/>
        <stp>BDP|4065099833740136891</stp>
        <tr r="P42" s="338"/>
      </tp>
      <tp t="s">
        <v>#N/A Requesting Data...3843087049</v>
        <stp/>
        <stp>BDP|8496510345395763350</stp>
        <tr r="D49" s="89"/>
      </tp>
      <tp t="s">
        <v>#N/A Requesting Data...2919542959</v>
        <stp/>
        <stp>BDP|5267619434148669720</stp>
        <tr r="AJ52" s="338"/>
        <tr r="AJ53" s="338"/>
        <tr r="AJ54" s="338"/>
      </tp>
      <tp t="s">
        <v>#N/A Requesting Data...2384410403</v>
        <stp/>
        <stp>BDP|8622760163721094706</stp>
        <tr r="Z178" s="89"/>
        <tr r="AA179" s="89"/>
        <tr r="AA178" s="89"/>
        <tr r="Z179" s="89"/>
      </tp>
      <tp t="s">
        <v>#N/A Requesting Data...3608400347</v>
        <stp/>
        <stp>BDP|7148106705448380141</stp>
        <tr r="V41" s="338"/>
      </tp>
      <tp t="s">
        <v>#N/A Requesting Data...3930069993</v>
        <stp/>
        <stp>BDP|1566983548630295344</stp>
        <tr r="AA12" s="2"/>
      </tp>
      <tp t="s">
        <v>#N/A Requesting Data...1823592529</v>
        <stp/>
        <stp>BDP|7511636250779138240</stp>
        <tr r="V40" s="338"/>
      </tp>
      <tp t="b">
        <v>0</v>
        <stp/>
        <stp>BDH|5982715015498709491</stp>
        <tr r="AP9" s="338"/>
        <tr r="AP8" s="338"/>
      </tp>
      <tp t="s">
        <v>#N/A Requesting Data...3945312422</v>
        <stp/>
        <stp>BDP|5576438787561382724</stp>
        <tr r="AJ10" s="338"/>
        <tr r="AJ11" s="338"/>
        <tr r="AJ33" s="338"/>
      </tp>
      <tp t="s">
        <v>#N/A Requesting Data...2844862737</v>
        <stp/>
        <stp>BDP|1371944730256623208</stp>
        <tr r="T137" s="89"/>
      </tp>
      <tp t="s">
        <v>#N/A Requesting Data...1982816503</v>
        <stp/>
        <stp>BDP|2475069015355307957</stp>
        <tr r="V179" s="89"/>
        <tr r="V178" s="89"/>
      </tp>
      <tp t="s">
        <v>#N/A Requesting Data...3814532162</v>
        <stp/>
        <stp>BDP|8553085138774321079</stp>
        <tr r="T123" s="89"/>
      </tp>
      <tp t="s">
        <v>#N/A Requesting Data...3738101543</v>
        <stp/>
        <stp>BDP|9274343827420648768</stp>
        <tr r="G10" s="446"/>
      </tp>
      <tp t="s">
        <v>#N/A Requesting Data...3737613045</v>
        <stp/>
        <stp>BDP|8495299733930600699</stp>
        <tr r="V33" s="89"/>
      </tp>
      <tp t="s">
        <v>#N/A Requesting Data...3192043956</v>
        <stp/>
        <stp>BDP|1937197186723171466</stp>
        <tr r="F23" s="2"/>
      </tp>
      <tp t="s">
        <v>#N/A Requesting Data...2540224373</v>
        <stp/>
        <stp>BDP|1136567666448935591</stp>
        <tr r="V37" s="338"/>
      </tp>
      <tp t="s">
        <v>#N/A Requesting Data...2739426234</v>
        <stp/>
        <stp>BDP|7385638697900780713</stp>
        <tr r="AB28" s="1"/>
      </tp>
      <tp t="b">
        <v>0</v>
        <stp/>
        <stp>BDH|7932391018268097299</stp>
        <tr r="AU48" s="338"/>
        <tr r="AU49" s="338"/>
      </tp>
      <tp t="b">
        <v>0</v>
        <stp/>
        <stp>BDH|3192266592180226768</stp>
        <tr r="AM18" s="338"/>
        <tr r="AM17" s="338"/>
      </tp>
      <tp t="s">
        <v>#N/A Requesting Data...3504910634</v>
        <stp/>
        <stp>BDP|8715752362304396251</stp>
        <tr r="C233" s="89"/>
      </tp>
      <tp t="s">
        <v>#N/A Requesting Data...2401760541</v>
        <stp/>
        <stp>BDP|9728149439951510598</stp>
        <tr r="F15" s="2"/>
      </tp>
      <tp t="s">
        <v>#N/A Requesting Data...2530751776</v>
        <stp/>
        <stp>BDP|2036830374436602479</stp>
        <tr r="U50" s="338"/>
      </tp>
      <tp t="s">
        <v>#N/A Requesting Data...1853914958</v>
        <stp/>
        <stp>BDP|6317578591636076338</stp>
        <tr r="D138" s="89"/>
      </tp>
      <tp t="s">
        <v>#N/A N/A</v>
        <stp/>
        <stp>BDP|3916828528720515608</stp>
        <tr r="AQ8" s="2"/>
        <tr r="AQ7" s="2"/>
      </tp>
      <tp t="s">
        <v>#N/A Requesting Data...3050341508</v>
        <stp/>
        <stp>BDP|1370952567270052174</stp>
        <tr r="AH8" s="338"/>
        <tr r="AH9" s="338"/>
        <tr r="AJ8" s="338"/>
        <tr r="AJ9" s="338"/>
      </tp>
      <tp t="s">
        <v>#N/A Requesting Data...2072325891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Data...2824329012</v>
        <stp/>
        <stp>BDP|9461243956507277607</stp>
        <tr r="K39" s="1"/>
      </tp>
      <tp t="s">
        <v>#N/A Requesting Data...3993605000</v>
        <stp/>
        <stp>BDP|7606838743706089227</stp>
        <tr r="Q36" s="338"/>
      </tp>
      <tp t="s">
        <v>#N/A Requesting Data...3464967296</v>
        <stp/>
        <stp>BDP|6160662584120657700</stp>
        <tr r="G12" s="446"/>
      </tp>
      <tp t="s">
        <v>#N/A Requesting Data...1934009005</v>
        <stp/>
        <stp>BDP|2050769895694328758</stp>
        <tr r="S7" s="252"/>
      </tp>
      <tp t="s">
        <v>#N/A Requesting Data...1928051877</v>
        <stp/>
        <stp>BDP|9347523066310519576</stp>
        <tr r="E17" s="2"/>
        <tr r="E16" s="2"/>
      </tp>
      <tp t="s">
        <v>#N/A Requesting Data...2038055565</v>
        <stp/>
        <stp>BDP|7406613185485631331</stp>
        <tr r="V233" s="89"/>
      </tp>
      <tp t="s">
        <v>#N/A Requesting Data...2963424662</v>
        <stp/>
        <stp>BDP|8759533260432150600</stp>
        <tr r="E56" s="89"/>
      </tp>
      <tp t="b">
        <v>0</v>
        <stp/>
        <stp>BDH|8350321766290719253</stp>
        <tr r="AU54" s="338"/>
      </tp>
      <tp t="b">
        <v>0</v>
        <stp/>
        <stp>BDH|1284388522806478996</stp>
        <tr r="AU11" s="338"/>
      </tp>
      <tp>
        <v>6.2</v>
        <stp/>
        <stp>BDP|14467189058144963421|22</stp>
        <stp>QQQ US 02/06/26 C630 Equity</stp>
        <stp>ask</stp>
        <tr r="L33" s="89"/>
      </tp>
      <tp>
        <v>324.85000000000002</v>
        <stp/>
        <stp>BDP|6093066913446547993|22</stp>
        <stp>AVGO Equity</stp>
        <stp>LAST_PRICE</stp>
        <tr r="I30" s="1"/>
        <tr r="I31" s="1"/>
      </tp>
      <tp>
        <v>29</v>
        <stp/>
        <stp>BDP|14476957307763141828|22</stp>
        <stp>TSM US 06/18/26 C340 Equity</stp>
        <stp>bid</stp>
        <tr r="P23" s="2"/>
        <tr r="K13" s="89"/>
      </tp>
      <tp>
        <v>692.73</v>
        <stp/>
        <stp>BDP|11764468863197025710|22</stp>
        <stp>SPY EQUITY</stp>
        <stp>LAST_PRICE</stp>
        <tr r="I4" s="1"/>
      </tp>
      <tp>
        <v>-3.1027970835566521E-2</v>
        <stp/>
        <stp>BDP|12480500075908314127|22</stp>
        <stp>GDX US 09/18/26 C105 Equity</stp>
        <stp>theta_mid_rt</stp>
        <tr r="AN7" s="2"/>
      </tp>
      <tp t="s">
        <v>#N/A Requesting Data...3104504653</v>
        <stp/>
        <stp>BDP|4983617041569093735</stp>
        <tr r="U10" s="338"/>
      </tp>
      <tp t="s">
        <v>#N/A Requesting Data...2062626040</v>
        <stp/>
        <stp>BDP|9340855016030830837</stp>
        <tr r="D7" s="2"/>
      </tp>
      <tp t="s">
        <v>#N/A Requesting Data...3250824798</v>
        <stp/>
        <stp>BDP|1158468690973405781</stp>
        <tr r="AK18" s="338"/>
      </tp>
      <tp t="s">
        <v>#N/A Requesting Data...2159946022</v>
        <stp/>
        <stp>BDP|2898694498747321222</stp>
        <tr r="E3" s="1"/>
        <tr r="K32" s="1"/>
      </tp>
      <tp t="s">
        <v>#N/A Requesting Data...2904768806</v>
        <stp/>
        <stp>BDP|7526986475906100712</stp>
        <tr r="E123" s="89"/>
      </tp>
      <tp t="s">
        <v>#N/A Requesting Data...2237224237</v>
        <stp/>
        <stp>BDP|9064191480710005817</stp>
        <tr r="V16" s="338"/>
        <tr r="V38" s="338"/>
      </tp>
      <tp t="s">
        <v>#N/A Requesting Data...3370184880</v>
        <stp/>
        <stp>BDP|9490986995892939382</stp>
        <tr r="E13" s="89"/>
      </tp>
      <tp t="s">
        <v>#N/A Requesting Data...3347676364</v>
        <stp/>
        <stp>BDP|9119371270756838373</stp>
        <tr r="N18" s="252"/>
        <tr r="N18" s="252"/>
      </tp>
      <tp t="s">
        <v>#N/A Requesting Data...4260495733</v>
        <stp/>
        <stp>BDP|6201270299844298101</stp>
        <tr r="O68" s="89"/>
      </tp>
      <tp t="s">
        <v>#N/A Requesting Data...2740762907</v>
        <stp/>
        <stp>BDP|8903788637142927602</stp>
        <tr r="AK30" s="338"/>
      </tp>
      <tp t="s">
        <v>#N/A Requesting Data...2897061300</v>
        <stp/>
        <stp>BDP|9657162411476734792</stp>
        <tr r="P47" s="338"/>
      </tp>
      <tp t="s">
        <v>#N/A Requesting Data...3708760385</v>
        <stp/>
        <stp>BDP|5133781604559034315</stp>
        <tr r="O76" s="89"/>
      </tp>
      <tp t="s">
        <v>#N/A Requesting Data...4019198838</v>
        <stp/>
        <stp>BDP|7099656161528162789</stp>
        <tr r="E21" s="2"/>
      </tp>
      <tp t="s">
        <v>#N/A Requesting Data...4106156292</v>
        <stp/>
        <stp>BDP|9541693808182769518</stp>
        <tr r="D29" s="446"/>
      </tp>
      <tp t="s">
        <v>#N/A Requesting Data...2229969356</v>
        <stp/>
        <stp>BDP|6024155984106720147</stp>
        <tr r="D24" s="2"/>
        <tr r="C14" s="89"/>
      </tp>
      <tp t="s">
        <v>#N/A Requesting Data...3222207791</v>
        <stp/>
        <stp>BDP|2361913501277478452</stp>
        <tr r="E203" s="89"/>
      </tp>
      <tp t="s">
        <v>#N/A Requesting Data...3103982511</v>
        <stp/>
        <stp>BDP|6772414405089956382</stp>
        <tr r="Z76" s="89"/>
        <tr r="AA76" s="89"/>
      </tp>
      <tp t="s">
        <v>#N/A Requesting Data...3288265415</v>
        <stp/>
        <stp>BDP|6839173327418343594</stp>
        <tr r="F7" s="446"/>
      </tp>
      <tp t="s">
        <v>#N/A Requesting Data...2824757940</v>
        <stp/>
        <stp>BDP|7248503210943138805</stp>
        <tr r="D68" s="89"/>
      </tp>
      <tp t="s">
        <v>#N/A Requesting Data...2991658370</v>
        <stp/>
        <stp>BDP|5668869742685379426</stp>
        <tr r="AA222" s="89"/>
        <tr r="Z222" s="89"/>
      </tp>
      <tp t="s">
        <v>#N/A Requesting Data...3946202781</v>
        <stp/>
        <stp>BDP|5036112677148006353</stp>
        <tr r="L14" s="338"/>
        <tr r="H55" s="338"/>
        <tr r="J55" s="338"/>
        <tr r="L55" s="338"/>
        <tr r="L55" s="338"/>
        <tr r="J14" s="338"/>
      </tp>
      <tp t="s">
        <v>#N/A Requesting Data...3763243469</v>
        <stp/>
        <stp>BDP|4481261054123222849</stp>
        <tr r="V213" s="89"/>
      </tp>
      <tp t="s">
        <v>#N/A Requesting Data...2774316130</v>
        <stp/>
        <stp>BDP|5237225300886746967</stp>
        <tr r="AA129" s="89"/>
        <tr r="Z129" s="89"/>
      </tp>
      <tp t="s">
        <v>#N/A Requesting Data...3366721642</v>
        <stp/>
        <stp>BDP|5098111893277025237</stp>
        <tr r="AI15" s="1"/>
      </tp>
      <tp t="s">
        <v>#N/A Requesting Data...4217172386</v>
        <stp/>
        <stp>BDP|3746009638598604087</stp>
        <tr r="AA136" s="89"/>
        <tr r="Z136" s="89"/>
      </tp>
      <tp t="s">
        <v>#N/A Requesting Data...3746923217</v>
        <stp/>
        <stp>BDP|8506305911474169649</stp>
        <tr r="V27" s="89"/>
      </tp>
      <tp t="s">
        <v>#N/A Requesting Data...3210443532</v>
        <stp/>
        <stp>BDP|7027987678572062314</stp>
        <tr r="AC35" s="1"/>
        <tr r="D36" s="446"/>
      </tp>
      <tp t="s">
        <v>#N/A Requesting Data...3581034399</v>
        <stp/>
        <stp>BDP|2739243071518004749</stp>
        <tr r="E138" s="89"/>
      </tp>
      <tp t="s">
        <v>#N/A N/A</v>
        <stp/>
        <stp>BDP|9400997768466424874</stp>
        <tr r="AV21" s="2"/>
        <tr r="AV22" s="2"/>
        <tr r="AV20" s="2"/>
        <tr r="R195" s="89"/>
        <tr r="R196" s="89"/>
        <tr r="R197" s="89"/>
        <tr r="R39" s="89"/>
      </tp>
      <tp t="b">
        <v>0</v>
        <stp/>
        <stp>BDH|7010958550111077231</stp>
        <tr r="W16" s="252"/>
        <tr r="T16" s="252"/>
      </tp>
      <tp t="b">
        <v>0</v>
        <stp/>
        <stp>BDH|1826598244660673842</stp>
        <tr r="AM30" s="338"/>
        <tr r="AM29" s="338"/>
      </tp>
      <tp t="s">
        <v>#N/A Requesting Data...3119478347</v>
        <stp/>
        <stp>BDP|9450040674965070308</stp>
        <tr r="E24" s="2"/>
      </tp>
      <tp t="b">
        <v>0</v>
        <stp/>
        <stp>BDH|2375673906255636901</stp>
        <tr r="T11" s="252"/>
        <tr r="W11" s="252"/>
      </tp>
      <tp t="b">
        <v>0</v>
        <stp/>
        <stp>BDH|8087257053846574179</stp>
        <tr r="AU9" s="338"/>
      </tp>
      <tp t="s">
        <v>#N/A Requesting Data...2587399947</v>
        <stp/>
        <stp>BDP|7322810857195514754</stp>
        <tr r="T235" s="89"/>
      </tp>
      <tp t="s">
        <v>#N/A Requesting Data...2744734105</v>
        <stp/>
        <stp>BDP|2056152586557168472</stp>
        <tr r="O39" s="89"/>
      </tp>
      <tp>
        <v>133.38999999999999</v>
        <stp/>
        <stp>BDP|1232203967796078876|22</stp>
        <stp>ABNB Equity</stp>
        <stp>LAST PRICE</stp>
        <tr r="I12" s="338"/>
      </tp>
      <tp>
        <v>35.82</v>
        <stp/>
        <stp>BDP|2650520762982825878|22</stp>
        <stp>KWEB Equity</stp>
        <stp>LAST_PRICE</stp>
        <tr r="H12" s="252"/>
        <tr r="H12" s="252"/>
      </tp>
      <tp>
        <v>4</v>
        <stp/>
        <stp>BDP|239012915816136366|22</stp>
        <stp>MRVL US 03/20/26 P75 Equity</stp>
        <stp>bid</stp>
        <tr r="P13" s="2"/>
      </tp>
      <tp>
        <v>0.01</v>
        <stp/>
        <stp>BDP|14861555431928893617|22</stp>
        <stp>QQQ US 01/26/26 C627 Equity</stp>
        <stp>ask</stp>
        <tr r="L212" s="89"/>
      </tp>
      <tp t="s">
        <v>#N/A Requesting Data...2799092796</v>
        <stp/>
        <stp>BDP|2441593726955875997</stp>
        <tr r="L20" s="252"/>
        <tr r="L20" s="252"/>
      </tp>
      <tp t="s">
        <v>#N/A Requesting Data...2691209067</v>
        <stp/>
        <stp>BDP|8996292475495824173</stp>
        <tr r="O16" s="252"/>
      </tp>
      <tp t="s">
        <v>#N/A Requesting Data...3457760252</v>
        <stp/>
        <stp>BDP|1267200791591813216</stp>
        <tr r="C18" s="2"/>
      </tp>
      <tp t="b">
        <v>0</v>
        <stp/>
        <stp>BDH|8342912790955155491</stp>
        <tr r="AR36" s="338"/>
        <tr r="AR37" s="338"/>
        <tr r="AR35" s="338"/>
        <tr r="AM50" s="338"/>
        <tr r="AR34" s="338"/>
        <tr r="AM51" s="338"/>
      </tp>
      <tp t="s">
        <v>#N/A Requesting Data...3435109771</v>
        <stp/>
        <stp>BDP|9788785317823069539</stp>
        <tr r="C145" s="89"/>
      </tp>
      <tp t="s">
        <v>#N/A Requesting Data...2515736461</v>
        <stp/>
        <stp>BDP|3993805876862168756</stp>
        <tr r="U45" s="338"/>
      </tp>
      <tp t="s">
        <v>#N/A Requesting Data...2152876711</v>
        <stp/>
        <stp>BDP|5562894851780567134</stp>
        <tr r="AA203" s="89"/>
        <tr r="Z203" s="89"/>
      </tp>
      <tp t="b">
        <v>0</v>
        <stp/>
        <stp>BDH|3624967378910361409</stp>
        <tr r="AP41" s="338"/>
        <tr r="AP42" s="338"/>
      </tp>
      <tp t="s">
        <v>#N/A Requesting Data...2729259798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Data...3569504022</v>
        <stp/>
        <stp>BDP|9754162438145550750</stp>
        <tr r="E14" s="2"/>
      </tp>
      <tp t="s">
        <v>#N/A Requesting Data...2705480428</v>
        <stp/>
        <stp>BDP|2257884823860585153</stp>
        <tr r="C144" s="89"/>
      </tp>
      <tp t="s">
        <v>#N/A Requesting Data...3173397210</v>
        <stp/>
        <stp>BDP|1849313424598658123</stp>
        <tr r="T82" s="89"/>
      </tp>
      <tp t="s">
        <v>#N/A Requesting Data...2215371677</v>
        <stp/>
        <stp>BDP|2463897743725982291</stp>
        <tr r="F20" s="446"/>
      </tp>
      <tp t="s">
        <v>#N/A Requesting Data...3888824717</v>
        <stp/>
        <stp>BDP|9344561247696579794</stp>
        <tr r="AH15" s="338"/>
        <tr r="AH39" s="338"/>
        <tr r="AI40" s="338"/>
      </tp>
      <tp t="s">
        <v>#N/A N/A</v>
        <stp/>
        <stp>BDP|8207706352447744484</stp>
        <tr r="AG29" s="1"/>
      </tp>
      <tp t="b">
        <v>0</v>
        <stp/>
        <stp>BDH|8710693375957528718</stp>
        <tr r="AR13" s="338"/>
      </tp>
      <tp t="s">
        <v>#N/A Requesting Data...2719572523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Data...2441745953</v>
        <stp/>
        <stp>BDP|1654355529258739113</stp>
        <tr r="E153" s="89"/>
        <tr r="E154" s="89"/>
      </tp>
      <tp t="s">
        <v>#N/A Requesting Data...2648580363</v>
        <stp/>
        <stp>BDP|1918834507510755077</stp>
        <tr r="S8" s="338"/>
      </tp>
      <tp t="b">
        <v>0</v>
        <stp/>
        <stp>BDH|3833863852590216737</stp>
        <tr r="AS31" s="338"/>
        <tr r="AN49" s="338"/>
        <tr r="AS41" s="338"/>
        <tr r="AN46" s="338"/>
        <tr r="AS51" s="338"/>
        <tr r="AS47" s="338"/>
        <tr r="AS33" s="338"/>
        <tr r="AN45" s="338"/>
      </tp>
      <tp t="b">
        <v>0</v>
        <stp/>
        <stp>BDH|1040599424336284928</stp>
        <tr r="AM35" s="338"/>
        <tr r="AM14" s="338"/>
      </tp>
      <tp t="s">
        <v>#N/A Requesting Data...4201618774</v>
        <stp/>
        <stp>BDP|1186915098941854922</stp>
        <tr r="P17" s="338"/>
      </tp>
      <tp t="s">
        <v>#N/A Requesting Data...4271475788</v>
        <stp/>
        <stp>BDP|3411193788855096676</stp>
        <tr r="AA24" s="2"/>
        <tr r="T14" s="89"/>
      </tp>
      <tp t="s">
        <v>#N/A N/A</v>
        <stp/>
        <stp>BDP|5430386408488532737</stp>
        <tr r="AB109" s="89"/>
      </tp>
      <tp t="s">
        <v>#N/A Requesting Data...4067321364</v>
        <stp/>
        <stp>BDP|9786265344314211258</stp>
        <tr r="AA17" s="2"/>
        <tr r="AA16" s="2"/>
      </tp>
      <tp t="s">
        <v>#N/A Requesting Data...2244513663</v>
        <stp/>
        <stp>BDP|9316566775525772740</stp>
        <tr r="O186" s="89"/>
      </tp>
      <tp t="s">
        <v>#N/A Requesting Data...3967472316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Data...3809683129</v>
        <stp/>
        <stp>BDP|2048477006706491956</stp>
        <tr r="X33" s="338"/>
      </tp>
      <tp t="s">
        <v>#N/A Requesting Data...2754323992</v>
        <stp/>
        <stp>BDP|8193756994096264929</stp>
        <tr r="AA154" s="89"/>
        <tr r="AA153" s="89"/>
        <tr r="Z153" s="89"/>
        <tr r="Z154" s="89"/>
      </tp>
      <tp t="s">
        <v>#N/A Requesting Data...2830300064</v>
        <stp/>
        <stp>BDP|4401866454658402822</stp>
        <tr r="D203" s="89"/>
      </tp>
      <tp t="s">
        <v>#N/A Requesting Data...3718924125</v>
        <stp/>
        <stp>BDP|8993500628312049404</stp>
        <tr r="E180" s="89"/>
      </tp>
      <tp t="s">
        <v>#N/A Requesting Data...2869038422</v>
        <stp/>
        <stp>BDP|9762563002360150543</stp>
        <tr r="P9" s="338"/>
      </tp>
      <tp t="s">
        <v>#N/A Requesting Data...2856571635</v>
        <stp/>
        <stp>BDP|1617406885725244177</stp>
        <tr r="AA68" s="89"/>
        <tr r="Z68" s="89"/>
      </tp>
      <tp t="s">
        <v>#N/A Requesting Data...2477132373</v>
        <stp/>
        <stp>BDP|3266268590763139222</stp>
        <tr r="AA8" s="2"/>
      </tp>
      <tp t="s">
        <v>#N/A Requesting Data...3588156436</v>
        <stp/>
        <stp>BDP|8690033388548820123</stp>
        <tr r="AJ14" s="338"/>
        <tr r="AJ35" s="338"/>
      </tp>
      <tp t="s">
        <v>#N/A Requesting Data...3806448559</v>
        <stp/>
        <stp>BDP|8916289435834203428</stp>
        <tr r="O234" s="89"/>
      </tp>
      <tp t="s">
        <v>#N/A Requesting Data...2488693475</v>
        <stp/>
        <stp>BDP|5400835087744406808</stp>
        <tr r="AG29" s="338"/>
      </tp>
      <tp t="s">
        <v>#N/A Requesting Data...3609609586</v>
        <stp/>
        <stp>BDP|2272046972965931995</stp>
        <tr r="V188" s="89"/>
      </tp>
      <tp t="b">
        <v>0</v>
        <stp/>
        <stp>BDH|7524744180898380962</stp>
        <tr r="AM33" s="338"/>
        <tr r="AM11" s="338"/>
        <tr r="AM10" s="338"/>
      </tp>
      <tp t="s">
        <v>#N/A Requesting Data...2963488223</v>
        <stp/>
        <stp>BDP|9280288157897826002</stp>
        <tr r="C138" s="89"/>
      </tp>
      <tp t="s">
        <v>#N/A Requesting Data...2260478865</v>
        <stp/>
        <stp>BDP|6141864573737095712</stp>
        <tr r="T178" s="89"/>
        <tr r="T179" s="89"/>
      </tp>
      <tp t="s">
        <v>#N/A Requesting Data...4011875149</v>
        <stp/>
        <stp>BDP|8865039534922905038</stp>
        <tr r="L13" s="252"/>
        <tr r="L13" s="252"/>
      </tp>
      <tp t="s">
        <v>#N/A Requesting Data...3297639175</v>
        <stp/>
        <stp>BDP|5629592674339849762</stp>
        <tr r="E75" s="89"/>
      </tp>
      <tp t="s">
        <v>#N/A N/A</v>
        <stp/>
        <stp>BDP|8508395004434515685</stp>
        <tr r="AB186" s="89"/>
        <tr r="AB187" s="89"/>
        <tr r="AB188" s="89"/>
      </tp>
      <tp>
        <v>20.85</v>
        <stp/>
        <stp>BDP|15170082727718363189|22</stp>
        <stp>META US 04/17/26 C750 Equity</stp>
        <stp>bid</stp>
        <tr r="K169" s="89"/>
      </tp>
      <tp>
        <v>41.3</v>
        <stp/>
        <stp>BDP|14111141271769378618|22</stp>
        <stp>META US 04/17/26 C690 Equity</stp>
        <stp>ask</stp>
        <tr r="Q10" s="2"/>
        <tr r="L170" s="89"/>
      </tp>
      <tp t="s">
        <v>#N/A N/A</v>
        <stp/>
        <stp>BDP|12169995077563309253|22</stp>
        <stp>QQQ US 01/16/26 C635 Equity</stp>
        <stp>bid</stp>
        <tr r="K203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Data...3625895518</v>
        <stp/>
        <stp>BDP|9888398554546738389</stp>
        <tr r="T76" s="89"/>
      </tp>
      <tp t="s">
        <v>#N/A Requesting Data...4126947158</v>
        <stp/>
        <stp>BDP|5587682882935341464</stp>
        <tr r="E90" s="89"/>
      </tp>
      <tp t="s">
        <v>#N/A Requesting Data...2077070492</v>
        <stp/>
        <stp>BDP|7230833674217968563</stp>
        <tr r="S36" s="338"/>
      </tp>
      <tp t="s">
        <v>#N/A Requesting Data...2207929790</v>
        <stp/>
        <stp>BDP|9917367812392094366</stp>
        <tr r="D27" s="89"/>
      </tp>
      <tp t="s">
        <v>#N/A Requesting Data...2824775724</v>
        <stp/>
        <stp>BDP|3603190722478324251</stp>
        <tr r="AI35" s="1"/>
      </tp>
      <tp t="b">
        <v>0</v>
        <stp/>
        <stp>BDH|6241907941838134994</stp>
        <tr r="AN18" s="338"/>
        <tr r="AN17" s="338"/>
      </tp>
      <tp t="s">
        <v>#N/A N/A</v>
        <stp/>
        <stp>BDP|1841797186795773188</stp>
        <tr r="AV9" s="2"/>
        <tr r="R8" s="89"/>
        <tr r="R7" s="89"/>
      </tp>
      <tp t="s">
        <v>#N/A Requesting Data...3785721639</v>
        <stp/>
        <stp>BDP|6392840872006556586</stp>
        <tr r="E8" s="1"/>
      </tp>
      <tp t="s">
        <v>#N/A Requesting Data...2400343780</v>
        <stp/>
        <stp>BDP|5263574927779802120</stp>
        <tr r="V45" s="338"/>
      </tp>
      <tp t="s">
        <v>#N/A Requesting Data...3889801219</v>
        <stp/>
        <stp>BDP|2344935394120970850</stp>
        <tr r="C108" s="89"/>
      </tp>
      <tp t="s">
        <v>#N/A Requesting Data...4059753978</v>
        <stp/>
        <stp>BDP|1305485589197843027</stp>
        <tr r="AJ17" s="338"/>
        <tr r="AJ18" s="338"/>
        <tr r="AH17" s="338"/>
        <tr r="AH18" s="338"/>
      </tp>
      <tp t="s">
        <v>#N/A Requesting Data...4237992031</v>
        <stp/>
        <stp>BDP|9065585755010767336</stp>
        <tr r="F17" s="252"/>
      </tp>
      <tp t="b">
        <v>0</v>
        <stp/>
        <stp>BDH|2364453657911625898</stp>
        <tr r="AP29" s="338"/>
        <tr r="AP30" s="338"/>
      </tp>
      <tp t="b">
        <v>0</v>
        <stp/>
        <stp>BDH|2734053018858031144</stp>
        <tr r="J6" s="252"/>
      </tp>
      <tp t="s">
        <v>#N/A Requesting Data...2873939311</v>
        <stp/>
        <stp>BDP|7601817619447885392</stp>
        <tr r="O27" s="89"/>
      </tp>
      <tp t="s">
        <v>#N/A Requesting Data...3765908310</v>
        <stp/>
        <stp>BDP|3271990383928035073</stp>
        <tr r="K10" s="1"/>
        <tr r="K16" s="1"/>
      </tp>
      <tp t="s">
        <v>#N/A Requesting Data...3833626353</v>
        <stp/>
        <stp>BDP|7038982583049677518</stp>
        <tr r="T108" s="89"/>
      </tp>
      <tp t="s">
        <v>#N/A Requesting Data...4186754076</v>
        <stp/>
        <stp>BDP|1004337573258431787</stp>
        <tr r="L8" s="338"/>
        <tr r="H8" s="338"/>
        <tr r="L9" s="338"/>
        <tr r="H9" s="338"/>
      </tp>
      <tp t="s">
        <v>#N/A Requesting Data...3811676838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Data...3436552585</v>
        <stp/>
        <stp>BDP|2322958882768230140</stp>
        <tr r="E178" s="89"/>
        <tr r="E179" s="89"/>
      </tp>
      <tp t="s">
        <v>#N/A Requesting Data...2488585943</v>
        <stp/>
        <stp>BDP|2786473499167807238</stp>
        <tr r="AI45" s="338"/>
      </tp>
      <tp t="b">
        <v>0</v>
        <stp/>
        <stp>BDH|8315905397680676201</stp>
        <tr r="AN47" s="338"/>
        <tr r="AS53" s="338"/>
        <tr r="AS10" s="338"/>
        <tr r="AN48" s="338"/>
        <tr r="AN44" s="338"/>
      </tp>
      <tp t="s">
        <v>#N/A Requesting Data...2143138598</v>
        <stp/>
        <stp>BDP|9928781162902167014</stp>
        <tr r="AA171" s="89"/>
        <tr r="Z171" s="89"/>
      </tp>
      <tp t="s">
        <v>#N/A Requesting Data...3000478821</v>
        <stp/>
        <stp>BDP|6785747401219846296</stp>
        <tr r="S41" s="338"/>
      </tp>
      <tp t="s">
        <v>#N/A Requesting Data...3812373680</v>
        <stp/>
        <stp>BDP|9500211458423629792</stp>
        <tr r="V31" s="338"/>
      </tp>
      <tp t="s">
        <v>#N/A Requesting Data...3496936657</v>
        <stp/>
        <stp>BDP|3991525680666985223</stp>
        <tr r="C171" s="89"/>
      </tp>
      <tp t="s">
        <v>#N/A Requesting Data...2163807422</v>
        <stp/>
        <stp>BDP|4587517495856843492</stp>
        <tr r="T16" s="338"/>
        <tr r="T38" s="338"/>
      </tp>
      <tp t="s">
        <v>#N/A N/A</v>
        <stp/>
        <stp>BDP|8471485932241814460</stp>
        <tr r="AQ4" s="2"/>
        <tr r="AB234" s="89"/>
      </tp>
      <tp t="s">
        <v>#N/A Requesting Data...2663979747</v>
        <stp/>
        <stp>BDP|2397499487206466291</stp>
        <tr r="O237" s="89"/>
      </tp>
      <tp t="s">
        <v>#N/A Requesting Data...2596285400</v>
        <stp/>
        <stp>BDP|2830595975422333866</stp>
        <tr r="E235" s="89"/>
      </tp>
      <tp t="s">
        <v>#N/A Requesting Data...2713809907</v>
        <stp/>
        <stp>BDP|9965794027725386324</stp>
        <tr r="AB24" s="1"/>
        <tr r="AB20" s="1"/>
        <tr r="F26" s="446"/>
      </tp>
      <tp t="s">
        <v>#N/A N/A</v>
        <stp/>
        <stp>BDP|1354781798976465315</stp>
        <tr r="R40" s="89"/>
      </tp>
      <tp t="s">
        <v>#N/A Requesting Data...2883571983</v>
        <stp/>
        <stp>BDP|1269563299172286598</stp>
        <tr r="V56" s="89"/>
      </tp>
      <tp t="s">
        <v>#N/A Requesting Data...2307784329</v>
        <stp/>
        <stp>BDP|3885846074322660492</stp>
        <tr r="AG40" s="1"/>
      </tp>
      <tp t="s">
        <v>#N/A Requesting Data...3087432364</v>
        <stp/>
        <stp>BDP|6933090956031492852</stp>
        <tr r="E39" s="89"/>
      </tp>
      <tp t="s">
        <v>#N/A Requesting Data...3183233524</v>
        <stp/>
        <stp>BDP|1001769831296786978</stp>
        <tr r="AI45" s="338"/>
        <tr r="AK45" s="338"/>
      </tp>
      <tp t="s">
        <v>#N/A Requesting Data...3024322457</v>
        <stp/>
        <stp>BDP|2779597998256859293</stp>
        <tr r="E188" s="89"/>
      </tp>
      <tp t="s">
        <v>#N/A Requesting Data...3378493936</v>
        <stp/>
        <stp>BDP|3394479430858909693</stp>
        <tr r="C96" s="89"/>
      </tp>
      <tp t="s">
        <v>#N/A Requesting Data...4125510377</v>
        <stp/>
        <stp>BDP|4524000010539321624</stp>
        <tr r="V129" s="89"/>
      </tp>
      <tp t="s">
        <v>#N/A Requesting Data...3322403181</v>
        <stp/>
        <stp>BDP|8558300512371318103</stp>
        <tr r="C205" s="89"/>
      </tp>
      <tp t="s">
        <v>#N/A N/A</v>
        <stp/>
        <stp>BDP|2140911238616808459</stp>
        <tr r="AQ11" s="2"/>
        <tr r="AQ10" s="2"/>
        <tr r="AB169" s="89"/>
        <tr r="AB170" s="89"/>
        <tr r="AB171" s="89"/>
        <tr r="AB180" s="89"/>
        <tr r="AB233" s="89"/>
      </tp>
      <tp t="s">
        <v>#N/A Requesting Data...2175667052</v>
        <stp/>
        <stp>BDP|3332604227028093513</stp>
        <tr r="S13" s="338"/>
      </tp>
      <tp t="s">
        <v>#N/A Requesting Data...2444949160</v>
        <stp/>
        <stp>BDP|7403651280812138158</stp>
        <tr r="L15" s="338"/>
        <tr r="L16" s="338"/>
        <tr r="L38" s="338"/>
        <tr r="L39" s="338"/>
        <tr r="J15" s="338"/>
        <tr r="J16" s="338"/>
        <tr r="L17" s="338"/>
        <tr r="J17" s="338"/>
        <tr r="J38" s="338"/>
        <tr r="J39" s="338"/>
        <tr r="L44" s="338"/>
        <tr r="J44" s="338"/>
        <tr r="L52" s="338"/>
        <tr r="J52" s="338"/>
      </tp>
      <tp t="s">
        <v>#N/A Requesting Data...3508488437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29.77</v>
        <stp/>
        <stp>BDP|12794319931511644694|22</stp>
        <stp>TSM US 06/18/26 C340 Equity</stp>
        <stp>mid</stp>
        <tr r="L23" s="2"/>
      </tp>
      <tp t="s">
        <v>#N/A Requesting Data...3541230200</v>
        <stp/>
        <stp>BDP|6535458296649412984</stp>
        <tr r="T188" s="89"/>
      </tp>
      <tp t="s">
        <v>#N/A Requesting Data...2768716973</v>
        <stp/>
        <stp>BDP|8888687617413548780</stp>
        <tr r="L54" s="338"/>
        <tr r="J54" s="338"/>
      </tp>
      <tp t="s">
        <v>#N/A Requesting Data...3624899061</v>
        <stp/>
        <stp>BDP|9388393805602203373</stp>
        <tr r="V39" s="89"/>
      </tp>
      <tp t="s">
        <v>#N/A Requesting Data...3516633314</v>
        <stp/>
        <stp>BDP|2329729297960563787</stp>
        <tr r="U42" s="338"/>
      </tp>
      <tp t="s">
        <v>#N/A Requesting Data...3145783293</v>
        <stp/>
        <stp>BDP|5055978459833341163</stp>
        <tr r="S40" s="338"/>
      </tp>
      <tp t="s">
        <v>#N/A Requesting Data...2788127005</v>
        <stp/>
        <stp>BDP|9916250733583306071</stp>
        <tr r="V95" s="89"/>
      </tp>
      <tp t="s">
        <v>#N/A Requesting Data...2441458848</v>
        <stp/>
        <stp>BDP|4721614875256887832</stp>
        <tr r="AR12" s="2"/>
      </tp>
      <tp t="s">
        <v>#N/A Requesting Data...4241721795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Data...4292075010</v>
        <stp/>
        <stp>BDP|4926041887351657654</stp>
        <tr r="D137" s="89"/>
      </tp>
      <tp t="s">
        <v>#N/A Requesting Data...3602110014</v>
        <stp/>
        <stp>BDP|5102977448936382545</stp>
        <tr r="Q48" s="338"/>
      </tp>
      <tp t="s">
        <v>#N/A Requesting Data...4279761539</v>
        <stp/>
        <stp>BDP|9866940913692641877</stp>
        <tr r="AF23" s="1"/>
      </tp>
      <tp t="s">
        <v>#N/A Requesting Data...3598512042</v>
        <stp/>
        <stp>BDP|8737954890503872047</stp>
        <tr r="D33" s="446"/>
      </tp>
      <tp t="s">
        <v>#N/A Requesting Data...4035292562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Data...2999662751</v>
        <stp/>
        <stp>BDP|4440081808298299792</stp>
        <tr r="AK42" s="338"/>
        <tr r="AI42" s="338"/>
      </tp>
      <tp t="s">
        <v>#N/A Requesting Data...4032872674</v>
        <stp/>
        <stp>BDP|6735248014207248991</stp>
        <tr r="T49" s="338"/>
      </tp>
      <tp t="s">
        <v>#N/A Requesting Data...2532561432</v>
        <stp/>
        <stp>BDP|2139028585213834226</stp>
        <tr r="AA123" s="89"/>
        <tr r="Z123" s="89"/>
      </tp>
      <tp t="s">
        <v>#N/A Requesting Data...4035940845</v>
        <stp/>
        <stp>BDP|8786342763721865752</stp>
        <tr r="P31" s="338"/>
      </tp>
      <tp t="s">
        <v>#N/A Requesting Data...2460610741</v>
        <stp/>
        <stp>BDP|7001248851652159998</stp>
        <tr r="T34" s="338"/>
      </tp>
      <tp t="s">
        <v>#N/A Requesting Data...3224738485</v>
        <stp/>
        <stp>BDP|1914533822549360466</stp>
        <tr r="K14" s="1"/>
      </tp>
      <tp t="s">
        <v>#N/A Requesting Data...2297765762</v>
        <stp/>
        <stp>BDP|9650633421404369258</stp>
        <tr r="T211" s="89"/>
      </tp>
      <tp t="s">
        <v>#N/A Requesting Data...2822797740</v>
        <stp/>
        <stp>BDP|9762687753917905669</stp>
        <tr r="T12" s="338"/>
      </tp>
      <tp t="s">
        <v>#N/A N/A</v>
        <stp/>
        <stp>BDP|2220703499371845606</stp>
        <tr r="R237" s="89"/>
      </tp>
      <tp t="s">
        <v>#N/A Requesting Data...4024228403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Data...2763471275</v>
        <stp/>
        <stp>BDP|6241611932378988086</stp>
        <tr r="G42" s="446"/>
      </tp>
      <tp t="s">
        <v>#N/A Requesting Data...3614912465</v>
        <stp/>
        <stp>BDP|6296263756973290900</stp>
        <tr r="F20" s="2"/>
      </tp>
      <tp t="s">
        <v>#N/A Requesting Data...2503762635</v>
        <stp/>
        <stp>BDP|7985659615982817917</stp>
        <tr r="V36" s="338"/>
      </tp>
      <tp t="s">
        <v>#N/A Requesting Data...4130748205</v>
        <stp/>
        <stp>BDP|3686904656286506250</stp>
        <tr r="O69" s="89"/>
      </tp>
      <tp t="s">
        <v>#N/A Requesting Data...2657157762</v>
        <stp/>
        <stp>BDP|2754061954929434510</stp>
        <tr r="D62" s="89"/>
      </tp>
      <tp t="s">
        <v>#N/A Requesting Data...2144457144</v>
        <stp/>
        <stp>BDP|8637443246353684034</stp>
        <tr r="T51" s="338"/>
      </tp>
      <tp t="s">
        <v>#N/A Requesting Data...2126405275</v>
        <stp/>
        <stp>BDP|7254106586446704322</stp>
        <tr r="AA55" s="89"/>
        <tr r="Z55" s="89"/>
      </tp>
      <tp t="s">
        <v>#N/A N/A</v>
        <stp/>
        <stp>BDP|8959047049495095258</stp>
        <tr r="AV17" s="2"/>
        <tr r="AV19" s="2"/>
        <tr r="AV18" s="2"/>
        <tr r="AV16" s="2"/>
        <tr r="R235" s="89"/>
      </tp>
      <tp t="s">
        <v>#N/A Requesting Data...3781394813</v>
        <stp/>
        <stp>BDP|5187006175490775958</stp>
        <tr r="N7" s="252"/>
        <tr r="N7" s="252"/>
      </tp>
      <tp t="b">
        <v>0</v>
        <stp/>
        <stp>BDH|6497614401962091920</stp>
        <tr r="AR18" s="338"/>
      </tp>
      <tp t="s">
        <v>#N/A Requesting Data...2450192005</v>
        <stp/>
        <stp>BDP|2612160096671704068</stp>
        <tr r="D31" s="446"/>
      </tp>
      <tp t="s">
        <v>#N/A Requesting Data...4165410413</v>
        <stp/>
        <stp>BDP|7517755008088933364</stp>
        <tr r="AG15" s="1"/>
      </tp>
      <tp t="s">
        <v>#N/A Requesting Data...2971172765</v>
        <stp/>
        <stp>BDP|4718173344583097938</stp>
        <tr r="F16" s="252"/>
      </tp>
      <tp t="s">
        <v>#N/A Requesting Data...2982592799</v>
        <stp/>
        <stp>BDP|2268545091931148418</stp>
        <tr r="T20" s="2"/>
        <tr r="O195" s="89"/>
      </tp>
      <tp t="s">
        <v>#N/A Requesting Data...3609136379</v>
        <stp/>
        <stp>BDP|9318183699928316256</stp>
        <tr r="D43" s="446"/>
      </tp>
      <tp t="s">
        <v>#N/A Requesting Data...2562478948</v>
        <stp/>
        <stp>BDP|2397389796744963701</stp>
        <tr r="AK42" s="338"/>
      </tp>
      <tp t="s">
        <v>#N/A Requesting Data...2833891085</v>
        <stp/>
        <stp>BDP|2130704157473529871</stp>
        <tr r="C15" s="2"/>
      </tp>
      <tp t="s">
        <v>#N/A Requesting Data...2712767447</v>
        <stp/>
        <stp>BDP|9352295318971282043</stp>
        <tr r="T102" s="89"/>
      </tp>
      <tp t="s">
        <v>#N/A Requesting Data...2743463130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Data...4249637345</v>
        <stp/>
        <stp>BDP|9109255824295024740</stp>
        <tr r="E4" s="2"/>
      </tp>
      <tp t="s">
        <v>#N/A Requesting Data...3341103474</v>
        <stp/>
        <stp>BDP|4946496227111068830</stp>
        <tr r="T101" s="89"/>
      </tp>
      <tp t="s">
        <v>#N/A Requesting Data...3382687826</v>
        <stp/>
        <stp>BDP|4411149358442996952</stp>
        <tr r="O11" s="252"/>
      </tp>
      <tp t="s">
        <v>#N/A Requesting Data...3303312748</v>
        <stp/>
        <stp>BDP|8633363721614159645</stp>
        <tr r="G8" s="446"/>
      </tp>
      <tp>
        <v>26.35</v>
        <stp/>
        <stp>BDP|16895049281307982456|22</stp>
        <stp>AVGO US 06/18/26 P300 Equity</stp>
        <stp>ask</stp>
        <tr r="L224" s="89"/>
      </tp>
      <tp>
        <v>70.8</v>
        <stp/>
        <stp>BDP|18281957532617946909|22</stp>
        <stp>META US 07/17/26 C680 Equity</stp>
        <stp>ask</stp>
        <tr r="L233" s="89"/>
      </tp>
      <tp>
        <v>81.77</v>
        <stp/>
        <stp>BDP|2279876738225149449|22</stp>
        <stp>MRVL US Equity</stp>
        <stp>LAST_PRICE</stp>
        <tr r="Z12" s="2"/>
        <tr r="Z15" s="2"/>
        <tr r="Z14" s="2"/>
        <tr r="Z13" s="2"/>
        <tr r="S62" s="89"/>
        <tr r="S63" s="89"/>
      </tp>
      <tp>
        <v>2.6</v>
        <stp/>
        <stp>BDP|16321192409833246773|22</stp>
        <stp>ASML US 01/23/26 P1100 Equity</stp>
        <stp>ask</stp>
        <tr r="L50" s="89"/>
      </tp>
      <tp>
        <v>-0.40899455547332764</v>
        <stp/>
        <stp>BDP|1393123865485650562|22</stp>
        <stp>MRVL US 03/20/26 P80 Equity</stp>
        <stp>DELTA_MID_RT</stp>
        <tr r="AF14" s="2"/>
        <tr r="W62" s="89"/>
      </tp>
      <tp t="s">
        <v>#N/A Requesting Data...2201176695</v>
        <stp/>
        <stp>BDP|9669031297401111598</stp>
        <tr r="AG28" s="1"/>
      </tp>
      <tp t="b">
        <v>0</v>
        <stp/>
        <stp>BDH|1159495010641468179</stp>
        <tr r="AP54" s="338"/>
        <tr r="AP53" s="338"/>
        <tr r="AP52" s="338"/>
      </tp>
      <tp t="s">
        <v>#N/A N/A</v>
        <stp/>
        <stp>BDP|4283940605309327082</stp>
        <tr r="AV5" s="2"/>
      </tp>
      <tp t="s">
        <v>#N/A Requesting Data...3556121568</v>
        <stp/>
        <stp>BDP|7846163779046776380</stp>
        <tr r="V8" s="338"/>
      </tp>
      <tp t="s">
        <v>#N/A Requesting Data...3025693160</v>
        <stp/>
        <stp>BDP|3958804124584137945</stp>
        <tr r="T21" s="2"/>
        <tr r="O196" s="89"/>
      </tp>
      <tp t="s">
        <v>#N/A Requesting Data...3272117823</v>
        <stp/>
        <stp>BDP|7798787343353582310</stp>
        <tr r="O233" s="89"/>
      </tp>
      <tp t="b">
        <v>0</v>
        <stp/>
        <stp>BDH|2332427327956795695</stp>
        <tr r="AN52" s="338"/>
        <tr r="AN54" s="338"/>
        <tr r="AN53" s="338"/>
      </tp>
      <tp t="s">
        <v>#N/A Requesting Data...3462213946</v>
        <stp/>
        <stp>BDP|1272798819383873033</stp>
        <tr r="D9" s="2"/>
        <tr r="C8" s="89"/>
      </tp>
      <tp t="s">
        <v>#N/A Requesting Data...2613174266</v>
        <stp/>
        <stp>BDP|4966659791349467604</stp>
        <tr r="AG45" s="338"/>
      </tp>
      <tp t="s">
        <v>#N/A Requesting Data...2753160916</v>
        <stp/>
        <stp>BDP|2906346500884364176</stp>
        <tr r="AJ31" s="338"/>
        <tr r="AJ32" s="338"/>
      </tp>
      <tp t="s">
        <v>#N/A Requesting Data...2425022332</v>
        <stp/>
        <stp>BDP|3419727698730200952</stp>
        <tr r="AR5" s="2"/>
      </tp>
      <tp t="s">
        <v>#N/A Requesting Data...3344040739</v>
        <stp/>
        <stp>BDP|6472525957406128491</stp>
        <tr r="AA63" s="89"/>
        <tr r="Z63" s="89"/>
      </tp>
      <tp t="s">
        <v>#N/A Requesting Data...2785223710</v>
        <stp/>
        <stp>BDP|6899414930851030473</stp>
        <tr r="V50" s="89"/>
      </tp>
      <tp t="s">
        <v>#N/A Requesting Data...3149088172</v>
        <stp/>
        <stp>BDP|1105691956700330633</stp>
        <tr r="AG30" s="1"/>
        <tr r="AG31" s="1"/>
      </tp>
      <tp t="s">
        <v>#N/A Requesting Data...2243642466</v>
        <stp/>
        <stp>BDP|7494523709231730773</stp>
        <tr r="F31" s="446"/>
      </tp>
      <tp t="s">
        <v>#N/A Requesting Data...2860563052</v>
        <stp/>
        <stp>BDP|2743037479982482367</stp>
        <tr r="AF37" s="1"/>
        <tr r="AF38" s="1"/>
      </tp>
      <tp t="s">
        <v>#N/A Requesting Data...2990621587</v>
        <stp/>
        <stp>BDP|8549451961438864644</stp>
        <tr r="AK14" s="338"/>
        <tr r="AJ55" s="338"/>
        <tr r="AK55" s="338"/>
      </tp>
      <tp t="s">
        <v>#N/A Requesting Data...2806925778</v>
        <stp/>
        <stp>BDP|9945382899790540700</stp>
        <tr r="AA138" s="89"/>
        <tr r="Z138" s="89"/>
      </tp>
      <tp t="s">
        <v>#N/A Requesting Data...3788664521</v>
        <stp/>
        <stp>BDP|1051127841111916176</stp>
        <tr r="P16" s="252"/>
      </tp>
      <tp t="s">
        <v>#N/A Requesting Data...2517813909</v>
        <stp/>
        <stp>BDP|2199559048282875569</stp>
        <tr r="AI18" s="338"/>
      </tp>
      <tp t="s">
        <v>#N/A Requesting Data...2282096013</v>
        <stp/>
        <stp>BDP|4374742715501301730</stp>
        <tr r="N16" s="252"/>
        <tr r="N16" s="252"/>
      </tp>
      <tp t="s">
        <v>#N/A Requesting Data...2419633384</v>
        <stp/>
        <stp>BDP|9063402768959888626</stp>
        <tr r="AA21" s="2"/>
        <tr r="T196" s="89"/>
      </tp>
      <tp t="s">
        <v>#N/A Requesting Data...3383388753</v>
        <stp/>
        <stp>BDP|3004206956470481008</stp>
        <tr r="AA20" s="89"/>
        <tr r="Z20" s="89"/>
      </tp>
      <tp t="s">
        <v>#N/A Requesting Data...3498034895</v>
        <stp/>
        <stp>BDP|8764335623844685936</stp>
        <tr r="T225" s="89"/>
      </tp>
      <tp t="s">
        <v>#N/A Requesting Data...3667465395</v>
        <stp/>
        <stp>BDP|1615244074723761330</stp>
        <tr r="T36" s="338"/>
      </tp>
      <tp t="b">
        <v>0</v>
        <stp/>
        <stp>BDH|5324281726311982069</stp>
        <tr r="AR9" s="338"/>
      </tp>
      <tp t="s">
        <v>#N/A Requesting Data...3641365547</v>
        <stp/>
        <stp>BDP|8326860540126523632</stp>
        <tr r="E129" s="89"/>
      </tp>
      <tp t="s">
        <v>#N/A Requesting Data...2821119474</v>
        <stp/>
        <stp>BDP|1540324633492530722</stp>
        <tr r="V81" s="89"/>
      </tp>
      <tp t="s">
        <v>#N/A Requesting Data...3531282036</v>
        <stp/>
        <stp>BDP|5790626169004593599</stp>
        <tr r="F40" s="446"/>
      </tp>
      <tp t="s">
        <v>#N/A Requesting Data...3811064486</v>
        <stp/>
        <stp>BDP|9726257024364768910</stp>
        <tr r="O19" s="252"/>
      </tp>
      <tp t="s">
        <v>#N/A Requesting Data...2526772480</v>
        <stp/>
        <stp>BDP|3121965407037939996</stp>
        <tr r="T10" s="338"/>
      </tp>
      <tp t="s">
        <v>#N/A Requesting Data...2195241109</v>
        <stp/>
        <stp>BDP|7599424229276827376</stp>
        <tr r="AF17" s="1"/>
        <tr r="AF16" s="1"/>
      </tp>
      <tp t="s">
        <v>#N/A Requesting Data...4075465036</v>
        <stp/>
        <stp>BDP|7467390538945749637</stp>
        <tr r="AD8" s="2"/>
      </tp>
      <tp t="s">
        <v>#N/A Requesting Data...2992394806</v>
        <stp/>
        <stp>BDP|5177333853422420541</stp>
        <tr r="AI34" s="1"/>
      </tp>
      <tp t="s">
        <v>#N/A Requesting Data...2433021654</v>
        <stp/>
        <stp>BDP|6940186872470420463</stp>
        <tr r="AI33" s="1"/>
      </tp>
      <tp t="s">
        <v>#N/A Requesting Data...2418297844</v>
        <stp/>
        <stp>BDP|2781273192095754848</stp>
        <tr r="P37" s="338"/>
      </tp>
      <tp t="s">
        <v>#N/A Requesting Data...2726866688</v>
        <stp/>
        <stp>BDP|5028796441871860363</stp>
        <tr r="D6" s="2"/>
        <tr r="C223" s="89"/>
      </tp>
      <tp t="s">
        <v>#N/A Requesting Data...2448930836</v>
        <stp/>
        <stp>BDP|5440482774885960773</stp>
        <tr r="AH36" s="338"/>
      </tp>
      <tp t="s">
        <v>#N/A Requesting Data...3211717767</v>
        <stp/>
        <stp>BDP|8903483087139985997</stp>
        <tr r="S8" s="252"/>
      </tp>
      <tp t="s">
        <v>#N/A Requesting Data...3094939239</v>
        <stp/>
        <stp>BDP|1490932935796586918</stp>
        <tr r="T19" s="89"/>
      </tp>
      <tp t="s">
        <v>#N/A Requesting Data...4071981850</v>
        <stp/>
        <stp>BDP|2357040805921494704</stp>
        <tr r="AJ10" s="338"/>
        <tr r="AJ11" s="338"/>
        <tr r="AJ33" s="338"/>
      </tp>
      <tp t="s">
        <v>#N/A Requesting Data...4274564485</v>
        <stp/>
        <stp>BDP|6846041857277848049</stp>
        <tr r="T236" s="89"/>
      </tp>
      <tp t="s">
        <v>#N/A Requesting Data...4146710733</v>
        <stp/>
        <stp>BDP|2785695221570324283</stp>
        <tr r="O188" s="89"/>
      </tp>
      <tp t="s">
        <v>#N/A Requesting Data...2901893272</v>
        <stp/>
        <stp>BDP|1913639431982971268</stp>
        <tr r="V122" s="89"/>
      </tp>
      <tp t="s">
        <v>#N/A Requesting Data...2571978605</v>
        <stp/>
        <stp>BDP|8103428543709687520</stp>
        <tr r="G5" s="446"/>
        <tr r="G6" s="446"/>
      </tp>
      <tp t="s">
        <v>#N/A Requesting Data...4039768567</v>
        <stp/>
        <stp>BDP|5430094244624859152</stp>
        <tr r="D34" s="446"/>
      </tp>
      <tp t="s">
        <v>#N/A Requesting Data...3766671829</v>
        <stp/>
        <stp>BDP|5284294530751812164</stp>
        <tr r="AI12" s="338"/>
      </tp>
      <tp t="s">
        <v>#N/A Requesting Data...3829761782</v>
        <stp/>
        <stp>BDP|2593154816901666757</stp>
        <tr r="N13" s="252"/>
        <tr r="N13" s="252"/>
      </tp>
      <tp t="s">
        <v>#N/A Requesting Data...2566861865</v>
        <stp/>
        <stp>BDP|9638513960499697749</stp>
        <tr r="T46" s="338"/>
      </tp>
      <tp>
        <v>27.8</v>
        <stp/>
        <stp>BDP|16085343363608571045|22</stp>
        <stp>LITE US 03/20/26 C420 Equity</stp>
        <stp>ask</stp>
        <tr r="Q9" s="2"/>
        <tr r="L8" s="89"/>
      </tp>
      <tp>
        <v>672.36</v>
        <stp/>
        <stp>BDP|3807768373389777345|22</stp>
        <stp>META Equity</stp>
        <stp>LAST_PRICE</stp>
        <tr r="I24" s="1"/>
        <tr r="I20" s="1"/>
      </tp>
      <tp>
        <v>107.48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USD</v>
        <stp/>
        <stp>BDP|13238054977426083009|22</stp>
        <stp>META US 04/17/26 P590 Equity</stp>
        <stp>QUOTED_CURRENCY_REALTIME</stp>
        <tr r="F171" s="89"/>
      </tp>
      <tp t="s">
        <v>#N/A Requesting Data...3778907596</v>
        <stp/>
        <stp>BDP|9005897765572380053</stp>
        <tr r="E15" s="2"/>
      </tp>
      <tp t="s">
        <v>#N/A N/A</v>
        <stp/>
        <stp>BDP|1163242074811817033</stp>
        <tr r="AV4" s="2"/>
        <tr r="R234" s="89"/>
      </tp>
      <tp t="s">
        <v>#N/A Requesting Data...3661775889</v>
        <stp/>
        <stp>BDP|2926137671092226333</stp>
        <tr r="P14" s="252"/>
      </tp>
      <tp t="s">
        <v>#N/A Requesting Data...4091506700</v>
        <stp/>
        <stp>BDP|4780459414043985746</stp>
        <tr r="S33" s="338"/>
      </tp>
      <tp t="s">
        <v>#N/A Requesting Data...4193494218</v>
        <stp/>
        <stp>BDP|3715220583989463590</stp>
        <tr r="AB25" s="1"/>
        <tr r="AB21" s="1"/>
        <tr r="F30" s="446"/>
      </tp>
      <tp t="s">
        <v>#N/A Requesting Data...2410044270</v>
        <stp/>
        <stp>BDP|3983744460122577503</stp>
        <tr r="AF30" s="1"/>
        <tr r="AF31" s="1"/>
        <tr r="AF36" s="338"/>
      </tp>
      <tp t="s">
        <v>#N/A Requesting Data...3320869144</v>
        <stp/>
        <stp>BDP|5013605744345919757</stp>
        <tr r="D19" s="2"/>
      </tp>
      <tp t="s">
        <v>#N/A Requesting Data...2827100611</v>
        <stp/>
        <stp>BDP|5308081551174601141</stp>
        <tr r="U11" s="338"/>
      </tp>
      <tp t="s">
        <v>#N/A Requesting Data...3450179265</v>
        <stp/>
        <stp>BDP|6753546406895899355</stp>
        <tr r="Q16" s="338"/>
        <tr r="Q38" s="338"/>
      </tp>
      <tp t="s">
        <v>#N/A Requesting Data...3829185834</v>
        <stp/>
        <stp>BDP|1871933503555387825</stp>
        <tr r="AA34" s="89"/>
        <tr r="Z34" s="89"/>
      </tp>
      <tp t="s">
        <v>#N/A Requesting Data...2218001127</v>
        <stp/>
        <stp>BDP|3051431949301095732</stp>
        <tr r="AB37" s="1"/>
        <tr r="AB38" s="1"/>
      </tp>
      <tp t="s">
        <v>#N/A Requesting Data...2983239460</v>
        <stp/>
        <stp>BDP|2636595951407112010</stp>
        <tr r="D41" s="446"/>
      </tp>
      <tp t="b">
        <v>0</v>
        <stp/>
        <stp>BDH|7779618312036278380</stp>
        <tr r="J19" s="252"/>
      </tp>
      <tp t="s">
        <v>#N/A Requesting Data...2556990923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Data...3460179003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Data...3557201476</v>
        <stp/>
        <stp>BDP|8626964800726479283</stp>
        <tr r="T17" s="338"/>
      </tp>
      <tp t="b">
        <v>0</v>
        <stp/>
        <stp>BDH|5834632761579331956</stp>
        <tr r="AM54" s="338"/>
        <tr r="AM53" s="338"/>
        <tr r="AM52" s="338"/>
      </tp>
      <tp t="s">
        <v>#N/A Requesting Data...3077487457</v>
        <stp/>
        <stp>BDP|8161895482119328448</stp>
        <tr r="D20" s="2"/>
        <tr r="C195" s="89"/>
      </tp>
      <tp t="s">
        <v>#N/A Requesting Data...4291824897</v>
        <stp/>
        <stp>BDP|6689657087039171489</stp>
        <tr r="D50" s="89"/>
      </tp>
      <tp t="s">
        <v>#N/A Requesting Data...2776275474</v>
        <stp/>
        <stp>BDP|6453493511390892665</stp>
        <tr r="T31" s="338"/>
      </tp>
      <tp t="s">
        <v>#N/A Requesting Data...3723148432</v>
        <stp/>
        <stp>BDP|1933423945534840047</stp>
        <tr r="AK9" s="338"/>
      </tp>
      <tp t="b">
        <v>0</v>
        <stp/>
        <stp>BDH|5697373764856722309</stp>
        <tr r="AR16" s="338"/>
        <tr r="AR15" s="338"/>
        <tr r="AR44" s="338"/>
        <tr r="AR52" s="338"/>
        <tr r="AR39" s="338"/>
        <tr r="AR38" s="338"/>
        <tr r="AR17" s="338"/>
      </tp>
      <tp t="s">
        <v>#N/A Requesting Data...2605019338</v>
        <stp/>
        <stp>BDP|4087771710803757431</stp>
        <tr r="X54" s="338"/>
      </tp>
      <tp t="s">
        <v>#N/A Requesting Data...3372470340</v>
        <stp/>
        <stp>BDP|7419327903193598239</stp>
        <tr r="AJ15" s="338"/>
        <tr r="AJ39" s="338"/>
        <tr r="AK40" s="338"/>
      </tp>
      <tp t="b">
        <v>0</v>
        <stp/>
        <stp>BDH|5907180552106352231</stp>
        <tr r="AR11" s="338"/>
      </tp>
      <tp t="s">
        <v>#N/A Requesting Data...2832631351</v>
        <stp/>
        <stp>BDP|5133852355808281539</stp>
        <tr r="AD15" s="2"/>
        <tr r="V63" s="89"/>
      </tp>
      <tp t="s">
        <v>#N/A Requesting Data...3784783332</v>
        <stp/>
        <stp>BDP|4569291905061840219</stp>
        <tr r="C7" s="2"/>
      </tp>
      <tp t="s">
        <v>#N/A Requesting Data...3928961613</v>
        <stp/>
        <stp>BDP|9525835047501594141</stp>
        <tr r="AG18" s="1"/>
        <tr r="AG19" s="1"/>
      </tp>
      <tp t="s">
        <v>#N/A N/A</v>
        <stp/>
        <stp>BDP|9212642566604321834</stp>
        <tr r="R89" s="89"/>
        <tr r="R90" s="89"/>
      </tp>
      <tp t="s">
        <v>#N/A Requesting Data...4229917152</v>
        <stp/>
        <stp>BDP|7337309723996972590</stp>
        <tr r="K41" s="1"/>
      </tp>
      <tp t="s">
        <v>#N/A Requesting Data...3805856659</v>
        <stp/>
        <stp>BDP|1252039566197775513</stp>
        <tr r="AK54" s="338"/>
      </tp>
      <tp t="s">
        <v>#N/A Requesting Data...3250748497</v>
        <stp/>
        <stp>BDP|6695752411146080338</stp>
        <tr r="AG27" s="1"/>
      </tp>
      <tp t="s">
        <v>#N/A Requesting Data...3484006230</v>
        <stp/>
        <stp>BDP|9107847052373360258</stp>
        <tr r="C10" s="2"/>
      </tp>
      <tp t="s">
        <v>#N/A Requesting Data...2727640443</v>
        <stp/>
        <stp>BDP|2086153919656543184</stp>
        <tr r="E18" s="2"/>
      </tp>
      <tp t="s">
        <v>#N/A Requesting Data...3234185261</v>
        <stp/>
        <stp>BDP|4380862594534846484</stp>
        <tr r="Q54" s="338"/>
      </tp>
      <tp t="s">
        <v>#N/A Requesting Data...2574018475</v>
        <stp/>
        <stp>BDP|1340430251865159018</stp>
        <tr r="C122" s="89"/>
      </tp>
      <tp t="s">
        <v>#N/A Requesting Data...3887635103</v>
        <stp/>
        <stp>BDP|6973296607750514137</stp>
        <tr r="V76" s="89"/>
      </tp>
      <tp t="s">
        <v>#N/A Requesting Data...2588872641</v>
        <stp/>
        <stp>BDP|6397811860628218562</stp>
        <tr r="O40" s="89"/>
      </tp>
      <tp t="s">
        <v>#N/A Requesting Data...2666399876</v>
        <stp/>
        <stp>BDP|3777685039867817484</stp>
        <tr r="E20" s="89"/>
      </tp>
      <tp t="s">
        <v>#N/A Requesting Data...3012133282</v>
        <stp/>
        <stp>BDP|6124212647123164610</stp>
        <tr r="AA109" s="89"/>
        <tr r="Z109" s="89"/>
      </tp>
      <tp t="s">
        <v>#N/A Requesting Data...3897477552</v>
        <stp/>
        <stp>BDP|6362820535118116020</stp>
        <tr r="D75" s="89"/>
      </tp>
      <tp t="b">
        <v>0</v>
        <stp/>
        <stp>BDH|2271280508786275379</stp>
        <tr r="AU47" s="338"/>
        <tr r="AU41" s="338"/>
        <tr r="AP45" s="338"/>
        <tr r="AP49" s="338"/>
        <tr r="AU31" s="338"/>
        <tr r="AP46" s="338"/>
        <tr r="AU33" s="338"/>
        <tr r="AU51" s="338"/>
      </tp>
      <tp t="s">
        <v>#N/A Requesting Data...2787599688</v>
        <stp/>
        <stp>BDP|2987580469143878743</stp>
        <tr r="AA115" s="89"/>
        <tr r="Z115" s="89"/>
      </tp>
      <tp t="s">
        <v>#N/A Requesting Data...3392445999</v>
        <stp/>
        <stp>BDP|7460910680203620073</stp>
        <tr r="E23" s="2"/>
      </tp>
      <tp t="s">
        <v>#N/A Requesting Data...3578485107</v>
        <stp/>
        <stp>BDP|1785534484179509007</stp>
        <tr r="U37" s="338"/>
      </tp>
      <tp>
        <v>70.45</v>
        <stp/>
        <stp>BDP|14201652617253647190|22</stp>
        <stp>META US 07/17/26 C680 Equity</stp>
        <stp>bid</stp>
        <tr r="K233" s="89"/>
      </tp>
      <tp>
        <v>21.35</v>
        <stp/>
        <stp>BDP|14623209133839534515|22</stp>
        <stp>AMZN US 07/17/26 C245 Equity</stp>
        <stp>bid</stp>
        <tr r="P4" s="2"/>
      </tp>
      <tp>
        <v>17.75</v>
        <stp/>
        <stp>BDP|16902259978573716312|22</stp>
        <stp>MSFT US 03/20/26 P465 Equity</stp>
        <stp>ask</stp>
        <tr r="Q19" s="2"/>
      </tp>
      <tp>
        <v>75.2</v>
        <stp/>
        <stp>BDP|10509480426370688750|22</stp>
        <stp>META US 07/17/26 C670 Equity</stp>
        <stp>bid</stp>
        <tr r="P11" s="2"/>
      </tp>
      <tp>
        <v>14.9</v>
        <stp/>
        <stp>BDP|479954285595231818|22</stp>
        <stp>GDX US 09/18/26 C115 Equity</stp>
        <stp>ask</stp>
        <tr r="Q8" s="2"/>
      </tp>
      <tp t="s">
        <v>USD</v>
        <stp/>
        <stp>BDP|397487976034915571|22</stp>
        <stp>TSM US 06/18/26 C380 Equity</stp>
        <stp>QUOTED_CURRENCY_REALTIME</stp>
        <tr r="G24" s="2"/>
        <tr r="F14" s="89"/>
      </tp>
      <tp>
        <v>255.41</v>
        <stp/>
        <stp>BDP|4350104393385922955|22</stp>
        <stp>AAPL Equity</stp>
        <stp>LAST PRICE</stp>
        <tr r="I11" s="338"/>
      </tp>
      <tp t="s">
        <v>#N/A Requesting Data...3406404546</v>
        <stp/>
        <stp>BDP|9823698439132005823</stp>
        <tr r="M12" s="252"/>
      </tp>
      <tp t="s">
        <v>#N/A Requesting Data...4279613195</v>
        <stp/>
        <stp>BDP|3019690065241065465</stp>
        <tr r="AI48" s="338"/>
        <tr r="AI49" s="338"/>
      </tp>
      <tp t="s">
        <v>#N/A Requesting Data...2746614082</v>
        <stp/>
        <stp>BDP|7188757863485888551</stp>
        <tr r="G39" s="446"/>
      </tp>
      <tp t="s">
        <v>#N/A Requesting Data...3860458435</v>
        <stp/>
        <stp>BDP|7422247533576110683</stp>
        <tr r="AI40" s="1"/>
      </tp>
      <tp t="s">
        <v>#N/A Requesting Data...3857807664</v>
        <stp/>
        <stp>BDP|6357706968437215632</stp>
        <tr r="S51" s="338"/>
      </tp>
      <tp t="s">
        <v>#N/A Requesting Data...2622322457</v>
        <stp/>
        <stp>BDP|2912249135106636351</stp>
        <tr r="E171" s="89"/>
      </tp>
      <tp t="s">
        <v>#N/A Requesting Data...2691503001</v>
        <stp/>
        <stp>BDP|1443585917713323038</stp>
        <tr r="L30" s="338"/>
        <tr r="J30" s="338"/>
      </tp>
      <tp t="s">
        <v>#N/A Requesting Data...3869816753</v>
        <stp/>
        <stp>BDP|4646626558147768607</stp>
        <tr r="T144" s="89"/>
      </tp>
      <tp t="s">
        <v>#N/A Requesting Data...3856599218</v>
        <stp/>
        <stp>BDP|9958243614845156906</stp>
        <tr r="AK30" s="338"/>
        <tr r="AI30" s="338"/>
      </tp>
      <tp t="s">
        <v>#N/A Requesting Data...3367331571</v>
        <stp/>
        <stp>BDP|3175608666544602195</stp>
        <tr r="T171" s="89"/>
      </tp>
      <tp t="s">
        <v>#N/A Requesting Data...3903286383</v>
        <stp/>
        <stp>BDP|5039768449673604319</stp>
        <tr r="Q40" s="338"/>
      </tp>
      <tp t="s">
        <v>#N/A Requesting Data...2444434355</v>
        <stp/>
        <stp>BDP|1754575979255457051</stp>
        <tr r="G14" s="446"/>
      </tp>
      <tp t="s">
        <v>#N/A Requesting Data...4088053672</v>
        <stp/>
        <stp>BDP|5130174576111125487</stp>
        <tr r="K36" s="1"/>
      </tp>
      <tp t="s">
        <v>#N/A Requesting Data...2791194761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Data...3921069939</v>
        <stp/>
        <stp>BDP|6095484704072209604</stp>
        <tr r="AJ13" s="338"/>
        <tr r="AJ34" s="338"/>
      </tp>
      <tp t="s">
        <v>#N/A Requesting Data...3605918451</v>
        <stp/>
        <stp>BDP|6921540255739678909</stp>
        <tr r="AK32" s="338"/>
        <tr r="AK46" s="338"/>
        <tr r="AK50" s="338"/>
        <tr r="AK8" s="338"/>
      </tp>
      <tp t="s">
        <v>#N/A Requesting Data...3175451068</v>
        <stp/>
        <stp>BDP|3249294146887437478</stp>
        <tr r="T17" s="2"/>
        <tr r="T16" s="2"/>
      </tp>
      <tp t="s">
        <v>#N/A Requesting Data...4275741775</v>
        <stp/>
        <stp>BDP|5836174453674625345</stp>
        <tr r="V34" s="338"/>
      </tp>
      <tp t="s">
        <v>#N/A Requesting Data...4062749021</v>
        <stp/>
        <stp>BDP|6914181187250139988</stp>
        <tr r="AA6" s="2"/>
        <tr r="T223" s="89"/>
      </tp>
      <tp t="s">
        <v>#N/A Requesting Data...3353115836</v>
        <stp/>
        <stp>BDP|2814849394527657214</stp>
        <tr r="Q8" s="338"/>
      </tp>
      <tp t="s">
        <v>#N/A Requesting Data...3544751695</v>
        <stp/>
        <stp>BDP|3930578222146831483</stp>
        <tr r="G43" s="446"/>
      </tp>
      <tp t="s">
        <v>#N/A Requesting Data...3380672336</v>
        <stp/>
        <stp>BDP|1796976268448721036</stp>
        <tr r="E14" s="89"/>
      </tp>
      <tp t="s">
        <v>#N/A Requesting Data...3699084543</v>
        <stp/>
        <stp>BDP|8403728728339567278</stp>
        <tr r="AC41" s="1"/>
      </tp>
      <tp t="s">
        <v>#N/A Requesting Data...3718744491</v>
        <stp/>
        <stp>BDP|9880395878588381367</stp>
        <tr r="AA188" s="89"/>
        <tr r="Z188" s="89"/>
      </tp>
      <tp t="s">
        <v>#N/A Requesting Data...2952147965</v>
        <stp/>
        <stp>BDP|3166087990788095446</stp>
        <tr r="G21" s="446"/>
      </tp>
      <tp t="s">
        <v>#N/A Requesting Data...2572771765</v>
        <stp/>
        <stp>BDP|4996607430791175657</stp>
        <tr r="T122" s="89"/>
      </tp>
      <tp t="s">
        <v>#N/A Requesting Data...3037698908</v>
        <stp/>
        <stp>BDP|3807948298497989200</stp>
        <tr r="P45" s="338"/>
      </tp>
      <tp t="s">
        <v>#N/A Requesting Data...3220535272</v>
        <stp/>
        <stp>BDP|4148348666006447154</stp>
        <tr r="AF18" s="1"/>
        <tr r="AF19" s="1"/>
      </tp>
      <tp t="s">
        <v>#N/A Requesting Data...4178661725</v>
        <stp/>
        <stp>BDP|2876687939266845739</stp>
        <tr r="AA19" s="2"/>
      </tp>
      <tp t="s">
        <v>#N/A N/A</v>
        <stp/>
        <stp>BDP|9242806905375372266</stp>
        <tr r="R122" s="89"/>
        <tr r="R123" s="89"/>
      </tp>
      <tp t="s">
        <v>#N/A Requesting Data...2259512597</v>
        <stp/>
        <stp>BDP|3531676896459233342</stp>
        <tr r="G35" s="446"/>
      </tp>
      <tp t="s">
        <v>#N/A Requesting Data...4000939623</v>
        <stp/>
        <stp>BDP|9850960325197941300</stp>
        <tr r="AF16" s="338"/>
        <tr r="AF38" s="338"/>
        <tr r="AF40" s="338"/>
      </tp>
      <tp t="s">
        <v>#N/A Requesting Data...2619079125</v>
        <stp/>
        <stp>BDP|6363186864423553482</stp>
        <tr r="D205" s="89"/>
      </tp>
      <tp t="s">
        <v>#N/A Requesting Data...4142801127</v>
        <stp/>
        <stp>BDP|1831578601782415092</stp>
        <tr r="V18" s="338"/>
      </tp>
      <tp t="s">
        <v>#N/A Requesting Data...3398421944</v>
        <stp/>
        <stp>BDP|5023379335197141408</stp>
        <tr r="T22" s="2"/>
        <tr r="O197" s="89"/>
      </tp>
      <tp t="b">
        <v>0</v>
        <stp/>
        <stp>BDH|6117326100265200619</stp>
        <tr r="AM34" s="338"/>
        <tr r="AM13" s="338"/>
      </tp>
      <tp t="s">
        <v>#N/A Requesting Data...2514503002</v>
        <stp/>
        <stp>BDP|5315552559291956278</stp>
        <tr r="T56" s="89"/>
      </tp>
      <tp t="s">
        <v>#N/A Requesting Data...2736885475</v>
        <stp/>
        <stp>BDP|9650470625011320866</stp>
        <tr r="AA225" s="89"/>
        <tr r="Z225" s="89"/>
      </tp>
      <tp t="s">
        <v>#N/A Requesting Data...3286067543</v>
        <stp/>
        <stp>BDP|9271742846914689876</stp>
        <tr r="S15" s="338"/>
        <tr r="S39" s="338"/>
      </tp>
      <tp t="s">
        <v>#N/A Requesting Data...2510314560</v>
        <stp/>
        <stp>BDP|1183356610207551274</stp>
        <tr r="T24" s="2"/>
        <tr r="O14" s="89"/>
      </tp>
      <tp t="s">
        <v>#N/A Requesting Data...2936548330</v>
        <stp/>
        <stp>BDP|7100569815600173559</stp>
        <tr r="AR18" s="2"/>
      </tp>
      <tp t="s">
        <v>#N/A Requesting Data...2646425357</v>
        <stp/>
        <stp>BDP|3672362430114067167</stp>
        <tr r="T14" s="338"/>
      </tp>
      <tp t="s">
        <v>#N/A Requesting Data...4251984436</v>
        <stp/>
        <stp>BDP|3597495719060392002</stp>
        <tr r="C237" s="89"/>
      </tp>
      <tp t="s">
        <v>#N/A Requesting Data...3284641473</v>
        <stp/>
        <stp>BDP|2714917007269668409</stp>
        <tr r="M8" s="252"/>
      </tp>
      <tp t="s">
        <v>#N/A Requesting Data...3525762128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Data...3867065157</v>
        <stp/>
        <stp>BDP|8408000722589740564</stp>
        <tr r="T68" s="89"/>
      </tp>
      <tp t="s">
        <v>#N/A Requesting Data...3220813464</v>
        <stp/>
        <stp>BDP|8885961869603230210</stp>
        <tr r="AK32" s="338"/>
        <tr r="AK46" s="338"/>
        <tr r="AK50" s="338"/>
        <tr r="AK8" s="338"/>
      </tp>
      <tp t="s">
        <v>#N/A Requesting Data...3677342598</v>
        <stp/>
        <stp>BDP|5769981822101030995</stp>
        <tr r="T96" s="89"/>
      </tp>
      <tp t="s">
        <v>#N/A Requesting Data...3772687265</v>
        <stp/>
        <stp>BDP|8318036623599634512</stp>
        <tr r="D225" s="89"/>
      </tp>
      <tp t="s">
        <v>#N/A N/A</v>
        <stp/>
        <stp>BDP|1772751390731486839</stp>
        <tr r="AI29" s="1"/>
      </tp>
      <tp t="s">
        <v>#N/A Requesting Data...2867654829</v>
        <stp/>
        <stp>BDP|2700137841574069501</stp>
        <tr r="AR7" s="2"/>
      </tp>
      <tp t="s">
        <v>#N/A Requesting Data...2489840368</v>
        <stp/>
        <stp>BDP|3256176262240474260</stp>
        <tr r="K34" s="1"/>
      </tp>
      <tp t="s">
        <v>#N/A Requesting Data...3591685696</v>
        <stp/>
        <stp>BDP|7214956164048318650</stp>
        <tr r="U34" s="338"/>
      </tp>
      <tp>
        <v>672.36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-0.13648319244384766</v>
        <stp/>
        <stp>BDP|8795046347241444117|22</stp>
        <stp>AVGO US 06/18/26 C350 Equity</stp>
        <stp>theta_mid_rt</stp>
        <tr r="AN6" s="2"/>
      </tp>
      <tp t="s">
        <v>#N/A N/A</v>
        <stp/>
        <stp>BDP|10619735984996990676|22</stp>
        <stp>QQQ US 01/26/26 C627 Equity</stp>
        <stp>bid</stp>
        <tr r="K212" s="89"/>
      </tp>
      <tp t="s">
        <v>#N/A Requesting Data...2843861674</v>
        <stp/>
        <stp>BDP|4283425441594897730</stp>
        <tr r="AA170" s="89"/>
        <tr r="Z170" s="89"/>
      </tp>
      <tp t="s">
        <v>#N/A Requesting Data...3345257345</v>
        <stp/>
        <stp>BDP|4245799967772009077</stp>
        <tr r="D37" s="446"/>
      </tp>
      <tp t="s">
        <v>#N/A Requesting Data...3410422826</v>
        <stp/>
        <stp>BDP|4758516714777806016</stp>
        <tr r="AR15" s="2"/>
      </tp>
      <tp t="s">
        <v>#N/A Requesting Data...2361881992</v>
        <stp/>
        <stp>BDP|2863781781368349292</stp>
        <tr r="AJ16" s="338"/>
        <tr r="AJ38" s="338"/>
        <tr r="AJ40" s="338"/>
      </tp>
      <tp t="s">
        <v>#N/A Requesting Data...3835024629</v>
        <stp/>
        <stp>BDP|8120208431448184693</stp>
        <tr r="S46" s="338"/>
      </tp>
      <tp t="s">
        <v>#N/A Requesting Data...2776320248</v>
        <stp/>
        <stp>BDP|7156185906827354649</stp>
        <tr r="AI13" s="1"/>
      </tp>
      <tp t="s">
        <v>#N/A Requesting Data...2390616695</v>
        <stp/>
        <stp>BDP|4897361001360642018</stp>
        <tr r="T48" s="338"/>
      </tp>
      <tp t="s">
        <v>#N/A Requesting Data...3413434960</v>
        <stp/>
        <stp>BDP|6577894425722203925</stp>
        <tr r="AI36" s="1"/>
      </tp>
      <tp t="s">
        <v>#N/A Requesting Data...2890419104</v>
        <stp/>
        <stp>BDP|5289094940154690244</stp>
        <tr r="S14" s="338"/>
      </tp>
      <tp t="s">
        <v>#N/A Requesting Data...3041229865</v>
        <stp/>
        <stp>BDP|1707015801081904771</stp>
        <tr r="S11" s="338"/>
      </tp>
      <tp t="s">
        <v>#N/A Requesting Data...3471395160</v>
        <stp/>
        <stp>BDP|5947737455944304421</stp>
        <tr r="AB36" s="1"/>
      </tp>
      <tp t="b">
        <v>0</v>
        <stp/>
        <stp>BDH|2849404052390556412</stp>
        <tr r="AR30" s="338"/>
      </tp>
      <tp t="s">
        <v>#N/A Requesting Data...3131210859</v>
        <stp/>
        <stp>BDP|1510584037002581204</stp>
        <tr r="T115" s="89"/>
      </tp>
      <tp t="s">
        <v>#N/A Requesting Data...3448111874</v>
        <stp/>
        <stp>BDP|6917157052941035414</stp>
        <tr r="AK54" s="338"/>
      </tp>
      <tp t="s">
        <v>#N/A Requesting Data...3022027721</v>
        <stp/>
        <stp>BDP|7903719114714371204</stp>
        <tr r="T203" s="89"/>
      </tp>
      <tp t="s">
        <v>#N/A Requesting Data...3079567131</v>
        <stp/>
        <stp>BDP|1092378379464484650</stp>
        <tr r="G9" s="446"/>
      </tp>
      <tp t="s">
        <v>#N/A Requesting Data...4075154349</v>
        <stp/>
        <stp>BDP|5346594685016575959</stp>
        <tr r="AI18" s="338"/>
        <tr r="AK18" s="338"/>
      </tp>
      <tp t="s">
        <v>#N/A Requesting Data...3263388205</v>
        <stp/>
        <stp>BDP|5675170649634239369</stp>
        <tr r="E109" s="89"/>
      </tp>
      <tp t="s">
        <v>#N/A Requesting Data...2872984656</v>
        <stp/>
        <stp>BDP|7675645627431897518</stp>
        <tr r="C23" s="2"/>
      </tp>
      <tp t="s">
        <v>#N/A Requesting Data...2971697088</v>
        <stp/>
        <stp>BDP|3706549500372914371</stp>
        <tr r="E136" s="89"/>
      </tp>
      <tp t="s">
        <v>#N/A Requesting Data...2802386447</v>
        <stp/>
        <stp>BDP|5312075309057886586</stp>
        <tr r="AI39" s="1"/>
      </tp>
      <tp t="s">
        <v>#N/A Requesting Data...3194362209</v>
        <stp/>
        <stp>BDP|7107626834487292286</stp>
        <tr r="L11" s="252"/>
        <tr r="L11" s="252"/>
      </tp>
      <tp t="s">
        <v>#N/A Requesting Data...4234422893</v>
        <stp/>
        <stp>BDP|8336092558638833275</stp>
        <tr r="M18" s="252"/>
      </tp>
      <tp t="s">
        <v>#N/A Requesting Data...2912022916</v>
        <stp/>
        <stp>BDP|1287193847504467758</stp>
        <tr r="D153" s="89"/>
        <tr r="D154" s="89"/>
      </tp>
      <tp t="s">
        <v>#N/A Requesting Data...3916546999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Data...3649733222</v>
        <stp/>
        <stp>BDP|1288906989993060491</stp>
        <tr r="X49" s="338"/>
      </tp>
      <tp t="b">
        <v>0</v>
        <stp/>
        <stp>BDH|1581967982627148025</stp>
        <tr r="AM41" s="338"/>
        <tr r="AM42" s="338"/>
      </tp>
      <tp t="s">
        <v>#N/A Requesting Data...2891771110</v>
        <stp/>
        <stp>BDP|5938177747656903132</stp>
        <tr r="S55" s="338"/>
      </tp>
      <tp t="s">
        <v>#N/A Requesting Data...4131449201</v>
        <stp/>
        <stp>BDP|1855721819082945297</stp>
        <tr r="P52" s="338"/>
      </tp>
      <tp t="s">
        <v>#N/A Requesting Data...3577419544</v>
        <stp/>
        <stp>BDP|7226011316269547804</stp>
        <tr r="Z101" s="89"/>
        <tr r="AA101" s="89"/>
      </tp>
      <tp t="s">
        <v>#N/A Requesting Data...3112453934</v>
        <stp/>
        <stp>BDP|3900760639080469025</stp>
        <tr r="AA7" s="2"/>
      </tp>
      <tp t="s">
        <v>#N/A Requesting Data...2696477274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Data...3009310608</v>
        <stp/>
        <stp>BDP|6362624963838148922</stp>
        <tr r="AF25" s="1"/>
        <tr r="AF21" s="1"/>
        <tr r="AF8" s="338"/>
        <tr r="AF9" s="338"/>
      </tp>
      <tp t="s">
        <v>#N/A Requesting Data...3856917570</v>
        <stp/>
        <stp>BDP|2907663611126652497</stp>
        <tr r="D136" s="89"/>
      </tp>
      <tp t="s">
        <v>#N/A Requesting Data...2493895058</v>
        <stp/>
        <stp>BDP|7909641621027922343</stp>
        <tr r="O50" s="89"/>
      </tp>
      <tp t="s">
        <v>#N/A Requesting Data...2454307317</v>
        <stp/>
        <stp>BDP|5447413907492272417</stp>
        <tr r="AG48" s="338"/>
        <tr r="AG49" s="338"/>
      </tp>
      <tp t="s">
        <v>#N/A Requesting Data...3953950402</v>
        <stp/>
        <stp>BDP|2614909402095251903</stp>
        <tr r="L12" s="252"/>
        <tr r="L12" s="252"/>
      </tp>
      <tp t="s">
        <v>#N/A Requesting Data...4254466251</v>
        <stp/>
        <stp>BDP|1776687918603536244</stp>
        <tr r="AD21" s="2"/>
        <tr r="V196" s="89"/>
      </tp>
      <tp t="s">
        <v>#N/A Requesting Data...3526304601</v>
        <stp/>
        <stp>BDP|1763661788150711882</stp>
        <tr r="E233" s="89"/>
      </tp>
      <tp t="s">
        <v>#N/A Requesting Data...2930051635</v>
        <stp/>
        <stp>BDP|5476793879341768354</stp>
        <tr r="AK30" s="338"/>
      </tp>
      <tp t="s">
        <v>#N/A Requesting Data...3808445086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Data...3074883813</v>
        <stp/>
        <stp>BDP|9356568301399407276</stp>
        <tr r="L29" s="338"/>
        <tr r="J29" s="338"/>
      </tp>
      <tp t="s">
        <v>#N/A Requesting Data...2390183828</v>
        <stp/>
        <stp>BDP|7057279456164256342</stp>
        <tr r="S32" s="338"/>
      </tp>
      <tp t="s">
        <v>#N/A Requesting Data...4082081447</v>
        <stp/>
        <stp>BDP|7250845338122873916</stp>
        <tr r="D13" s="2"/>
      </tp>
      <tp t="s">
        <v>#N/A Requesting Data...4260883615</v>
        <stp/>
        <stp>BDP|5679496740627876502</stp>
        <tr r="N20" s="252"/>
        <tr r="N20" s="252"/>
      </tp>
      <tp t="s">
        <v>#N/A Requesting Data...3578247570</v>
        <stp/>
        <stp>BDP|7775425857631476016</stp>
        <tr r="X53" s="338"/>
      </tp>
      <tp t="s">
        <v>#N/A Requesting Data...3744178712</v>
        <stp/>
        <stp>BDP|6730519311327945299</stp>
        <tr r="AK11" s="338"/>
      </tp>
      <tp t="s">
        <v>#N/A Requesting Data...3302632714</v>
        <stp/>
        <stp>BDP|7034052966182144450</stp>
        <tr r="G7" s="446"/>
      </tp>
      <tp t="s">
        <v>#N/A Requesting Data...2362880930</v>
        <stp/>
        <stp>BDP|1643511825883151271</stp>
        <tr r="T212" s="89"/>
      </tp>
      <tp t="s">
        <v>#N/A Requesting Data...2710019788</v>
        <stp/>
        <stp>BDP|5264049846531072744</stp>
        <tr r="Z95" s="89"/>
        <tr r="AA95" s="89"/>
      </tp>
      <tp t="s">
        <v>#N/A Requesting Data...2504975848</v>
        <stp/>
        <stp>BDP|4375402103807111045</stp>
        <tr r="AR20" s="2"/>
      </tp>
      <tp t="s">
        <v>#N/A Requesting Data...2801431123</v>
        <stp/>
        <stp>BDP|7817792651205133748</stp>
        <tr r="U30" s="338"/>
      </tp>
      <tp t="s">
        <v>#N/A Requesting Data...4206362342</v>
        <stp/>
        <stp>BDP|1636158366620394139</stp>
        <tr r="V160" s="89"/>
      </tp>
      <tp t="s">
        <v>#N/A Requesting Data...3131206652</v>
        <stp/>
        <stp>BDP|7130911573469165773</stp>
        <tr r="AD6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238.42</v>
        <stp/>
        <stp>BDP|4344863504285541564|22</stp>
        <stp>AMZN Equity</stp>
        <stp>LAST_PRICE</stp>
        <tr r="I23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Data...2440457793</v>
        <stp/>
        <stp>BDP|5392093770183418143</stp>
        <tr r="AR11" s="2"/>
      </tp>
      <tp t="s">
        <v>#N/A Requesting Data...2934832815</v>
        <stp/>
        <stp>BDP|9478381283761550308</stp>
        <tr r="AD23" s="2"/>
        <tr r="V13" s="89"/>
      </tp>
      <tp t="s">
        <v>#N/A Requesting Data...3488156679</v>
        <stp/>
        <stp>BDP|3454753217493992655</stp>
        <tr r="AB35" s="1"/>
        <tr r="F36" s="446"/>
      </tp>
      <tp t="s">
        <v>#N/A Requesting Data...2440772424</v>
        <stp/>
        <stp>BDP|8148908707662517398</stp>
        <tr r="AG24" s="1"/>
        <tr r="AG20" s="1"/>
      </tp>
      <tp t="s">
        <v>#N/A Requesting Data...3569777813</v>
        <stp/>
        <stp>BDP|1189172247476298290</stp>
        <tr r="O7" s="252"/>
      </tp>
      <tp t="s">
        <v>#N/A Requesting Data...3542171656</v>
        <stp/>
        <stp>BDP|6955622269271151797</stp>
        <tr r="T5" s="2"/>
      </tp>
      <tp t="b">
        <v>0</v>
        <stp/>
        <stp>BDH|6300508665442857747</stp>
        <tr r="J20" s="252"/>
      </tp>
      <tp t="s">
        <v>#N/A N/A</v>
        <stp/>
        <stp>BDP|3685516077896874709</stp>
        <tr r="AC4" s="2"/>
      </tp>
      <tp t="s">
        <v>#N/A Requesting Data...3833955890</v>
        <stp/>
        <stp>BDP|2073373381748750195</stp>
        <tr r="F25" s="446"/>
      </tp>
      <tp t="s">
        <v>#N/A N/A</v>
        <stp/>
        <stp>BDP|3939120905882700019</stp>
        <tr r="K1" s="2"/>
      </tp>
      <tp t="s">
        <v>#N/A Requesting Data...3819460277</v>
        <stp/>
        <stp>BDP|1341032626152789198</stp>
        <tr r="E27" s="89"/>
      </tp>
      <tp t="s">
        <v>#N/A Requesting Data...3287693537</v>
        <stp/>
        <stp>BDP|5508729427063936303</stp>
        <tr r="AB33" s="1"/>
      </tp>
      <tp t="s">
        <v>#N/A Requesting Data...3529569714</v>
        <stp/>
        <stp>BDP|1626262929107928698</stp>
        <tr r="O224" s="89"/>
      </tp>
      <tp t="s">
        <v>#N/A Requesting Data...3608963091</v>
        <stp/>
        <stp>BDP|7426051978057192711</stp>
        <tr r="K12" s="1"/>
      </tp>
      <tp t="s">
        <v>#N/A Requesting Data...3283381394</v>
        <stp/>
        <stp>BDP|5045073666933003089</stp>
        <tr r="V9" s="338"/>
      </tp>
      <tp t="s">
        <v>#N/A Requesting Data...2871207096</v>
        <stp/>
        <stp>BDP|9764891143463159650</stp>
        <tr r="Q45" s="338"/>
      </tp>
      <tp t="s">
        <v>#N/A Requesting Data...3106076125</v>
        <stp/>
        <stp>BDP|3688206206872156385</stp>
        <tr r="D81" s="89"/>
      </tp>
      <tp t="s">
        <v>#N/A Requesting Data...2983651738</v>
        <stp/>
        <stp>BDP|7131418634293998332</stp>
        <tr r="T13" s="2"/>
      </tp>
      <tp t="s">
        <v>#N/A Requesting Data...3906834078</v>
        <stp/>
        <stp>BDP|4874875695403262667</stp>
        <tr r="O169" s="89"/>
      </tp>
      <tp t="s">
        <v>#N/A Requesting Data...4006515471</v>
        <stp/>
        <stp>BDP|5247577618786009732</stp>
        <tr r="D197" s="89"/>
      </tp>
      <tp t="b">
        <v>0</v>
        <stp/>
        <stp>BDH|8988564030116095813</stp>
        <tr r="AN34" s="338"/>
        <tr r="AN13" s="338"/>
      </tp>
      <tp t="s">
        <v>#N/A N/A</v>
        <stp/>
        <stp>BDP|3833608477975887782</stp>
        <tr r="AC9" s="2"/>
      </tp>
      <tp t="s">
        <v>#N/A Requesting Data...3564591265</v>
        <stp/>
        <stp>BDP|3872713712930116557</stp>
        <tr r="V186" s="89"/>
      </tp>
      <tp t="s">
        <v>#N/A Requesting Data...3196769618</v>
        <stp/>
        <stp>BDP|5526635939431875188</stp>
        <tr r="AI29" s="338"/>
      </tp>
      <tp t="s">
        <v>#N/A Requesting Data...2759360360</v>
        <stp/>
        <stp>BDP|5959149956824211564</stp>
        <tr r="G38" s="446"/>
      </tp>
      <tp t="s">
        <v>#N/A Requesting Data...4125513255</v>
        <stp/>
        <stp>BDP|7838078402807242000</stp>
        <tr r="AC34" s="1"/>
      </tp>
      <tp t="b">
        <v>0</v>
        <stp/>
        <stp>BDH|2947865067578428438</stp>
        <tr r="AM47" s="338"/>
        <tr r="AR53" s="338"/>
        <tr r="AM48" s="338"/>
        <tr r="AR10" s="338"/>
        <tr r="AM44" s="338"/>
      </tp>
      <tp t="s">
        <v>#N/A Requesting Data...2620657513</v>
        <stp/>
        <stp>BDP|5227150449344083429</stp>
        <tr r="D8" s="89"/>
      </tp>
      <tp t="s">
        <v>#N/A Requesting Data...3723883037</v>
        <stp/>
        <stp>BDP|5381969730908949709</stp>
        <tr r="AD5" s="2"/>
      </tp>
      <tp t="s">
        <v>#N/A Requesting Data...3405309038</v>
        <stp/>
        <stp>BDP|1296983167408819684</stp>
        <tr r="AA33" s="89"/>
        <tr r="Z33" s="89"/>
      </tp>
      <tp t="s">
        <v>#N/A Requesting Data...4221707317</v>
        <stp/>
        <stp>BDP|8739029094357904654</stp>
        <tr r="O20" s="89"/>
      </tp>
      <tp t="s">
        <v>#N/A Requesting Data...3045650707</v>
        <stp/>
        <stp>BDP|3572723856414756549</stp>
        <tr r="C222" s="89"/>
      </tp>
      <tp t="s">
        <v>#N/A Requesting Data...3220758491</v>
        <stp/>
        <stp>BDP|1905590006853613726</stp>
        <tr r="E169" s="89"/>
      </tp>
      <tp t="s">
        <v>#N/A Requesting Data...3446799320</v>
        <stp/>
        <stp>BDP|8781859390611325836</stp>
        <tr r="X12" s="338"/>
      </tp>
      <tp t="s">
        <v>#N/A Requesting Data...4172410669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6" s="2"/>
        <tr r="AB222" s="89"/>
        <tr r="AB223" s="89"/>
        <tr r="AB224" s="89"/>
        <tr r="AB225" s="89"/>
      </tp>
      <tp t="s">
        <v>#N/A Requesting Data...4151650632</v>
        <stp/>
        <stp>BDP|2925650370332906175</stp>
        <tr r="AI28" s="1"/>
      </tp>
      <tp t="s">
        <v>#N/A Requesting Data...2635550690</v>
        <stp/>
        <stp>BDP|3960122539301296028</stp>
        <tr r="T11" s="2"/>
      </tp>
      <tp t="s">
        <v>#N/A Requesting Data...3381776039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Data...2908448841</v>
        <stp/>
        <stp>BDP|2469275853951470473</stp>
        <tr r="F21" s="2"/>
      </tp>
      <tp t="s">
        <v>#N/A Requesting Data...2670070410</v>
        <stp/>
        <stp>BDP|4552037620785435316</stp>
        <tr r="P33" s="338"/>
      </tp>
      <tp t="s">
        <v>#N/A Requesting Data...2825458596</v>
        <stp/>
        <stp>BDP|7452750254675161071</stp>
        <tr r="T26" s="89"/>
      </tp>
      <tp t="s">
        <v>#N/A Requesting Data...2509151787</v>
        <stp/>
        <stp>BDP|1912350260220949454</stp>
        <tr r="AJ29" s="338"/>
        <tr r="AJ30" s="338"/>
      </tp>
      <tp t="s">
        <v>#N/A Requesting Data...3239056868</v>
        <stp/>
        <stp>BDP|5137251643354744701</stp>
        <tr r="L36" s="338"/>
        <tr r="H36" s="338"/>
      </tp>
      <tp t="s">
        <v>#N/A Requesting Data...2538889194</v>
        <stp/>
        <stp>BDP|6283111272633911397</stp>
        <tr r="AJ14" s="338"/>
        <tr r="AJ35" s="338"/>
      </tp>
      <tp t="s">
        <v>#N/A Requesting Data...3665839335</v>
        <stp/>
        <stp>BDP|7112967104169217777</stp>
        <tr r="P30" s="338"/>
      </tp>
      <tp t="s">
        <v>#N/A Requesting Data...3247970426</v>
        <stp/>
        <stp>BDP|7207851431765010907</stp>
        <tr r="C235" s="89"/>
      </tp>
      <tp t="s">
        <v>#N/A Requesting Data...4042434378</v>
        <stp/>
        <stp>BDP|5682063267492381124</stp>
        <tr r="S12" s="338"/>
      </tp>
      <tp t="s">
        <v>#N/A Requesting Data...4110569256</v>
        <stp/>
        <stp>BDP|1018734111515407205</stp>
        <tr r="F18" s="252"/>
      </tp>
      <tp t="s">
        <v>#N/A Requesting Data...2633743866</v>
        <stp/>
        <stp>BDP|4028930726656593970</stp>
        <tr r="AJ16" s="338"/>
        <tr r="AJ38" s="338"/>
        <tr r="AJ40" s="338"/>
      </tp>
      <tp t="s">
        <v>#N/A Requesting Data...4277929093</v>
        <stp/>
        <stp>BDP|9163195119900175972</stp>
        <tr r="C188" s="89"/>
      </tp>
      <tp t="s">
        <v>#N/A Requesting Data...3282778190</v>
        <stp/>
        <stp>BDP|1494500509740882420</stp>
        <tr r="D96" s="89"/>
      </tp>
      <tp>
        <v>0.4302697479724884</v>
        <stp/>
        <stp>BDP|15412285494780661870|22</stp>
        <stp>1OG6C 26000 Index</stp>
        <stp>DELTA_MID_RT</stp>
        <tr r="W153" s="89"/>
        <tr r="W154" s="89"/>
      </tp>
      <tp t="s">
        <v>#N/A Requesting Data...3050291368</v>
        <stp/>
        <stp>BDP|8313925844516597346</stp>
        <tr r="AA40" s="89"/>
        <tr r="Z40" s="89"/>
      </tp>
      <tp t="s">
        <v>#N/A Requesting Data...4063712686</v>
        <stp/>
        <stp>BDP|3485044105441809296</stp>
        <tr r="L12" s="338"/>
        <tr r="J12" s="338"/>
      </tp>
      <tp t="s">
        <v>#N/A Requesting Data...3312531141</v>
        <stp/>
        <stp>BDP|7774064174301905182</stp>
        <tr r="T49" s="89"/>
      </tp>
      <tp t="s">
        <v>#N/A Requesting Data...4266464145</v>
        <stp/>
        <stp>BDP|6637641837380428351</stp>
        <tr r="D89" s="89"/>
      </tp>
      <tp t="s">
        <v>#N/A Requesting Data...2614837648</v>
        <stp/>
        <stp>BDP|2723076874625349028</stp>
        <tr r="M7" s="252"/>
      </tp>
      <tp t="s">
        <v>#N/A Requesting Data...4171765401</v>
        <stp/>
        <stp>BDP|4386065153847319607</stp>
        <tr r="C9" s="2"/>
      </tp>
      <tp t="s">
        <v>#N/A Requesting Data...3053637411</v>
        <stp/>
        <stp>BDP|1377734860226121644</stp>
        <tr r="C234" s="89"/>
      </tp>
      <tp>
        <v>19.350000000000001</v>
        <stp/>
        <stp>BDP|18330625039410541292|22</stp>
        <stp>AMZN US 07/17/26 C250 Equity</stp>
        <stp>ask</stp>
        <tr r="L234" s="89"/>
      </tp>
      <tp>
        <v>34.6</v>
        <stp/>
        <stp>BDP|14709653448625040347|22</stp>
        <stp>TSM US 07/17/26 C340 Equity</stp>
        <stp>ask</stp>
        <tr r="L19" s="89"/>
      </tp>
      <tp>
        <v>16.55</v>
        <stp/>
        <stp>BDP|13708122924811862625|22</stp>
        <stp>TSM US 06/18/26 C380 Equity</stp>
        <stp>mid</stp>
        <tr r="L24" s="2"/>
      </tp>
      <tp>
        <v>3.9809998124837875E-3</v>
        <stp/>
        <stp>BDP|8036523313045880996|22</stp>
        <stp>INTC US 01/23/26 C60 Equity</stp>
        <stp>DELTA_MID_RT</stp>
        <tr r="W39" s="89"/>
      </tp>
      <tp>
        <v>199.24</v>
        <stp/>
        <stp>BDP|17027429052585223577|22</stp>
        <stp>RSP EQUITY</stp>
        <stp>LAST_PRICE</stp>
        <tr r="I5" s="1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Data...2690791853</v>
        <stp/>
        <stp>BDP|5033376349836196559</stp>
        <tr r="X29" s="338"/>
      </tp>
      <tp t="s">
        <v>#N/A Requesting Data...2974774500</v>
        <stp/>
        <stp>BDP|5906347697766862884</stp>
        <tr r="C19" s="2"/>
      </tp>
      <tp t="s">
        <v>#N/A Requesting Data...3418747344</v>
        <stp/>
        <stp>BDP|3552512649496298558</stp>
        <tr r="M14" s="252"/>
      </tp>
      <tp t="s">
        <v>#N/A Requesting Data...4045778639</v>
        <stp/>
        <stp>BDP|6512582705651116331</stp>
        <tr r="D14" s="2"/>
        <tr r="C62" s="89"/>
      </tp>
      <tp t="s">
        <v>#N/A Requesting Data...4269064739</v>
        <stp/>
        <stp>BDP|9441671451828916306</stp>
        <tr r="AF34" s="1"/>
      </tp>
      <tp t="s">
        <v>#N/A Requesting Data...2751772732</v>
        <stp/>
        <stp>BDP|7969452338967871675</stp>
        <tr r="AA27" s="89"/>
        <tr r="Z27" s="89"/>
      </tp>
      <tp t="s">
        <v>#N/A Requesting Data...2483458055</v>
        <stp/>
        <stp>BDP|8548403483194970146</stp>
        <tr r="V55" s="89"/>
      </tp>
      <tp t="s">
        <v>#N/A Requesting Data...3786598240</v>
        <stp/>
        <stp>BDP|3243861311373893853</stp>
        <tr r="E8" s="2"/>
      </tp>
      <tp t="s">
        <v>#N/A Requesting Data...3202736908</v>
        <stp/>
        <stp>BDP|9570666606426496899</stp>
        <tr r="T7" s="2"/>
      </tp>
      <tp t="s">
        <v>#N/A Requesting Data...3321910313</v>
        <stp/>
        <stp>BDP|5889104764011396273</stp>
        <tr r="AI32" s="1"/>
      </tp>
      <tp t="s">
        <v>#N/A Requesting Data...4039562226</v>
        <stp/>
        <stp>BDP|5256432133392845134</stp>
        <tr r="C101" s="89"/>
      </tp>
      <tp t="s">
        <v>#N/A Requesting Data...2721051660</v>
        <stp/>
        <stp>BDP|7551465529835272566</stp>
        <tr r="N9" s="252"/>
        <tr r="N9" s="252"/>
      </tp>
      <tp t="s">
        <v>#N/A Requesting Data...4041434978</v>
        <stp/>
        <stp>BDP|1897815793981176051</stp>
        <tr r="AR13" s="2"/>
      </tp>
      <tp t="s">
        <v>#N/A Requesting Data...3278819623</v>
        <stp/>
        <stp>BDP|9828973103046090731</stp>
        <tr r="C82" s="89"/>
      </tp>
      <tp t="s">
        <v>#N/A Requesting Data...3150463449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Data...3329483676</v>
        <stp/>
        <stp>BDP|7601159166158268985</stp>
        <tr r="S16" s="252"/>
      </tp>
      <tp t="s">
        <v>#N/A Requesting Data...2567364366</v>
        <stp/>
        <stp>BDP|3235511292777879969</stp>
        <tr r="X11" s="338"/>
      </tp>
      <tp t="s">
        <v>#N/A Requesting Data...3275801052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Data...2788708967</v>
        <stp/>
        <stp>BDP|1748256233439783899</stp>
        <tr r="T15" s="338"/>
        <tr r="T39" s="338"/>
      </tp>
      <tp t="s">
        <v>#N/A Requesting Data...3002521581</v>
        <stp/>
        <stp>BDP|7660636101386198693</stp>
        <tr r="P15" s="338"/>
        <tr r="P39" s="338"/>
      </tp>
      <tp t="s">
        <v>#N/A Requesting Data...2745306184</v>
        <stp/>
        <stp>BDP|8463094131499939398</stp>
        <tr r="X18" s="338"/>
      </tp>
      <tp t="s">
        <v>#N/A Requesting Data...3035938341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Data...2467988158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Data...3829035895</v>
        <stp/>
        <stp>BDP|6241899226908646569</stp>
        <tr r="D42" s="446"/>
      </tp>
      <tp t="s">
        <v>#N/A Requesting Data...3324347900</v>
        <stp/>
        <stp>BDP|2974198673022627786</stp>
        <tr r="AK48" s="338"/>
        <tr r="AK49" s="338"/>
      </tp>
      <tp t="s">
        <v>#N/A Requesting Data...4031744691</v>
        <stp/>
        <stp>BDP|5183368778820171035</stp>
        <tr r="F45" s="446"/>
      </tp>
      <tp t="s">
        <v>#N/A Requesting Data...3296020752</v>
        <stp/>
        <stp>BDP|5678783394829319341</stp>
        <tr r="F24" s="2"/>
      </tp>
      <tp t="s">
        <v>#N/A Requesting Data...2613044089</v>
        <stp/>
        <stp>BDP|5223714776062803600</stp>
        <tr r="AC13" s="1"/>
      </tp>
      <tp t="s">
        <v>#N/A Requesting Data...3300033852</v>
        <stp/>
        <stp>BDP|3451935198061445399</stp>
        <tr r="E19" s="2"/>
      </tp>
      <tp t="s">
        <v>#N/A Requesting Data...3874690207</v>
        <stp/>
        <stp>BDP|7603021556517835487</stp>
        <tr r="AH52" s="338"/>
        <tr r="AH53" s="338"/>
        <tr r="AH54" s="338"/>
      </tp>
      <tp t="s">
        <v>#N/A Requesting Data...3047228028</v>
        <stp/>
        <stp>BDP|4388333855843269056</stp>
        <tr r="P10" s="252"/>
      </tp>
      <tp t="s">
        <v>#N/A Requesting Data...3613514238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Data...3632503093</v>
        <stp/>
        <stp>BDP|8089955034922775144</stp>
        <tr r="C26" s="89"/>
      </tp>
      <tp t="s">
        <v>#N/A Requesting Data...3677559905</v>
        <stp/>
        <stp>BDP|2790133807587110508</stp>
        <tr r="O10" s="252"/>
      </tp>
      <tp t="s">
        <v>#N/A Requesting Data...4020938431</v>
        <stp/>
        <stp>BDP|7513670475916134150</stp>
        <tr r="AG18" s="338"/>
      </tp>
      <tp t="s">
        <v>#N/A Requesting Data...4136982320</v>
        <stp/>
        <stp>BDP|6511369901750248435</stp>
        <tr r="Q52" s="338"/>
      </tp>
      <tp t="s">
        <v>#N/A N/A</v>
        <stp/>
        <stp>BDP|9633924773914414208</stp>
        <tr r="AC5" s="2"/>
      </tp>
      <tp t="s">
        <v>#N/A Requesting Data...2952945366</v>
        <stp/>
        <stp>BDP|6571135877398464961</stp>
        <tr r="E8" s="89"/>
      </tp>
      <tp t="s">
        <v>#N/A Requesting Data...2999443286</v>
        <stp/>
        <stp>BDP|9843491038236897916</stp>
        <tr r="C20" s="89"/>
      </tp>
      <tp t="s">
        <v>#N/A Requesting Data...2917778874</v>
        <stp/>
        <stp>BDP|9739406253298596110</stp>
        <tr r="AI18" s="1"/>
        <tr r="AI19" s="1"/>
      </tp>
      <tp t="s">
        <v>#N/A N/A</v>
        <stp/>
        <stp>BDP|1821230040030393694</stp>
        <tr r="AQ14" s="2"/>
        <tr r="AQ13" s="2"/>
        <tr r="AQ15" s="2"/>
        <tr r="AQ12" s="2"/>
        <tr r="AB62" s="89"/>
        <tr r="AB63" s="89"/>
      </tp>
      <tp t="s">
        <v>#N/A Requesting Data...2533564044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4" s="2"/>
        <tr r="AQ23" s="2"/>
        <tr r="AB13" s="89"/>
        <tr r="AB14" s="89"/>
        <tr r="AB19" s="89"/>
        <tr r="AB20" s="89"/>
      </tp>
      <tp t="s">
        <v>#N/A Requesting Data...3438815922</v>
        <stp/>
        <stp>BDP|8707806237397902583</stp>
        <tr r="S11" s="252"/>
      </tp>
      <tp t="s">
        <v>#N/A Requesting Data...3285535157</v>
        <stp/>
        <stp>BDP|9939228331380883944</stp>
        <tr r="G11" s="446"/>
      </tp>
      <tp t="s">
        <v>#N/A Requesting Data...3547167021</v>
        <stp/>
        <stp>BDP|7072033161838356860</stp>
        <tr r="O75" s="89"/>
      </tp>
      <tp t="s">
        <v>#N/A Requesting Data...2718657381</v>
        <stp/>
        <stp>BDP|2267087599569280367</stp>
        <tr r="P34" s="338"/>
      </tp>
      <tp t="s">
        <v>#N/A Requesting Data...3878029316</v>
        <stp/>
        <stp>BDP|2620429521461757456</stp>
        <tr r="AK42" s="338"/>
      </tp>
      <tp t="s">
        <v>#N/A Requesting Data...3199272320</v>
        <stp/>
        <stp>BDP|7066346967523510010</stp>
        <tr r="U9" s="338"/>
      </tp>
      <tp t="s">
        <v>#N/A Requesting Data...3079766855</v>
        <stp/>
        <stp>BDP|6497440232258298876</stp>
        <tr r="AF13" s="1"/>
      </tp>
      <tp t="s">
        <v>#N/A Requesting Data...3232556810</v>
        <stp/>
        <stp>BDP|4309165367065469727</stp>
        <tr r="E22" s="2"/>
      </tp>
      <tp t="s">
        <v>#N/A Requesting Data...2942961749</v>
        <stp/>
        <stp>BDP|6618350752972234360</stp>
        <tr r="Q32" s="338"/>
      </tp>
      <tp>
        <v>41.17</v>
        <stp/>
        <stp>BDP|11372581848729563069|22</stp>
        <stp>META US 04/17/26 C690 Equity</stp>
        <stp>mid</stp>
        <tr r="L10" s="2"/>
      </tp>
      <tp>
        <v>17.649999999999999</v>
        <stp/>
        <stp>BDP|16757164580454265033|22</stp>
        <stp>MSFT US 03/20/26 P465 Equity</stp>
        <stp>mid</stp>
        <tr r="L19" s="2"/>
      </tp>
      <tp t="s">
        <v>#N/A N/A</v>
        <stp/>
        <stp>BDP|10072792451967782103|22</stp>
        <stp>ASML US 01/23/26 P1200 Equity</stp>
        <stp>bid</stp>
        <tr r="K49" s="89"/>
      </tp>
      <tp>
        <v>0.01</v>
        <stp/>
        <stp>BDP|11369737407115501686|22</stp>
        <stp>QQQ US 01/26/26 C630 Equity</stp>
        <stp>ask</stp>
        <tr r="L211" s="89"/>
      </tp>
      <tp>
        <v>0.45725896954536438</v>
        <stp/>
        <stp>BDP|2745074962748644982|22</stp>
        <stp>COPX US 04/17/26 C95 Equity</stp>
        <stp>DELTA_MID_RT</stp>
        <tr r="W34" s="89"/>
      </tp>
      <tp>
        <v>2.46</v>
        <stp/>
        <stp>BDP|118569511771704697|22</stp>
        <stp>INTC US 07/17/26 C60 Equity</stp>
        <stp>ask</stp>
        <tr r="Q20" s="2"/>
        <tr r="L195" s="89"/>
      </tp>
      <tp t="s">
        <v>#N/A Requesting Data...2789452750</v>
        <stp/>
        <stp>BDP|3688604139137001352</stp>
        <tr r="O204" s="89"/>
      </tp>
      <tp t="b">
        <v>0</v>
        <stp/>
        <stp>BDH|5361343509731490501</stp>
        <tr r="AN10" s="338"/>
        <tr r="AN11" s="338"/>
        <tr r="AN33" s="338"/>
      </tp>
      <tp t="s">
        <v>#N/A Requesting Data...3820756500</v>
        <stp/>
        <stp>BDP|6219652639352291374</stp>
        <tr r="D55" s="89"/>
      </tp>
      <tp t="s">
        <v>#N/A Requesting Data...3039401019</v>
        <stp/>
        <stp>BDP|7964758820092579227</stp>
        <tr r="AJ52" s="338"/>
        <tr r="AJ53" s="338"/>
        <tr r="AJ54" s="338"/>
      </tp>
      <tp t="s">
        <v>#N/A Requesting Data...3339192169</v>
        <stp/>
        <stp>BDP|7860310106547363177</stp>
        <tr r="AA180" s="89"/>
        <tr r="Z180" s="89"/>
      </tp>
      <tp t="s">
        <v>#N/A Requesting Data...3379346122</v>
        <stp/>
        <stp>BDP|6976223375119574839</stp>
        <tr r="K37" s="1"/>
      </tp>
      <tp t="s">
        <v>#N/A Requesting Data...3502847077</v>
        <stp/>
        <stp>BDP|9060205111721083990</stp>
        <tr r="AI48" s="338"/>
        <tr r="AI49" s="338"/>
        <tr r="AK48" s="338"/>
        <tr r="AK49" s="338"/>
      </tp>
      <tp t="s">
        <v>#N/A Requesting Data...2957196144</v>
        <stp/>
        <stp>BDP|8644058243408809607</stp>
        <tr r="V49" s="338"/>
      </tp>
      <tp t="s">
        <v>#N/A Requesting Data...3572980111</v>
        <stp/>
        <stp>BDP|2721287269476965276</stp>
        <tr r="V35" s="338"/>
      </tp>
      <tp t="s">
        <v>#N/A Requesting Data...3477114553</v>
        <stp/>
        <stp>BDP|1927755561564288678</stp>
        <tr r="G45" s="446"/>
      </tp>
      <tp t="s">
        <v>#N/A Requesting Data...2801460296</v>
        <stp/>
        <stp>BDP|3284843281913962260</stp>
        <tr r="C6" s="2"/>
      </tp>
      <tp t="s">
        <v>#N/A Requesting Data...2787880420</v>
        <stp/>
        <stp>BDP|5871188314703840456</stp>
        <tr r="L11" s="338"/>
        <tr r="J11" s="338"/>
      </tp>
      <tp t="s">
        <v>#N/A Requesting Data...3881825342</v>
        <stp/>
        <stp>BDP|5728718823292467081</stp>
        <tr r="S24" s="2"/>
        <tr r="S23" s="2"/>
        <tr r="S18" s="2"/>
        <tr r="S17" s="2"/>
        <tr r="S5" s="2"/>
        <tr r="S6" s="2"/>
        <tr r="S10" s="2"/>
        <tr r="S12" s="2"/>
        <tr r="S13" s="2"/>
        <tr r="S19" s="2"/>
        <tr r="S8" s="2"/>
        <tr r="S7" s="2"/>
        <tr r="S15" s="2"/>
        <tr r="S14" s="2"/>
        <tr r="S11" s="2"/>
        <tr r="S9" s="2"/>
        <tr r="S4" s="2"/>
        <tr r="S16" s="2"/>
        <tr r="S22" s="2"/>
        <tr r="S20" s="2"/>
        <tr r="S21" s="2"/>
        <tr r="L17" s="1"/>
        <tr r="L12" s="1"/>
        <tr r="L13" s="1"/>
        <tr r="L14" s="1"/>
        <tr r="L15" s="1"/>
        <tr r="L16" s="1"/>
        <tr r="L18" s="1"/>
        <tr r="L23" s="1"/>
        <tr r="L24" s="1"/>
        <tr r="L25" s="1"/>
        <tr r="L27" s="1"/>
        <tr r="L28" s="1"/>
        <tr r="L30" s="1"/>
        <tr r="L32" s="1"/>
        <tr r="L33" s="1"/>
        <tr r="L34" s="1"/>
        <tr r="L35" s="1"/>
        <tr r="L36" s="1"/>
        <tr r="L37" s="1"/>
        <tr r="L39" s="1"/>
        <tr r="L40" s="1"/>
        <tr r="L41" s="1"/>
        <tr r="L22" s="1"/>
        <tr r="L31" s="1"/>
        <tr r="L29" s="1"/>
        <tr r="L19" s="1"/>
        <tr r="L21" s="1"/>
        <tr r="L20" s="1"/>
        <tr r="L38" s="1"/>
        <tr r="N101" s="89"/>
        <tr r="N102" s="89"/>
        <tr r="N160" s="89"/>
        <tr r="N76" s="89"/>
        <tr r="N82" s="89"/>
        <tr r="N95" s="89"/>
        <tr r="N7" s="89"/>
        <tr r="N8" s="89"/>
        <tr r="N13" s="89"/>
        <tr r="N14" s="89"/>
        <tr r="N19" s="89"/>
        <tr r="N20" s="89"/>
        <tr r="N26" s="89"/>
        <tr r="N27" s="89"/>
        <tr r="N33" s="89"/>
        <tr r="N39" s="89"/>
        <tr r="N40" s="89"/>
        <tr r="N49" s="89"/>
        <tr r="N50" s="89"/>
        <tr r="N55" s="89"/>
        <tr r="N56" s="89"/>
        <tr r="N62" s="89"/>
        <tr r="N63" s="89"/>
        <tr r="N75" s="89"/>
        <tr r="N81" s="89"/>
        <tr r="N153" s="89"/>
        <tr r="N154" s="89"/>
        <tr r="N169" s="89"/>
        <tr r="N170" s="89"/>
        <tr r="N171" s="89"/>
        <tr r="N180" s="89"/>
        <tr r="N186" s="89"/>
        <tr r="N187" s="89"/>
        <tr r="N188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N34" s="89"/>
      </tp>
      <tp t="s">
        <v>#N/A Requesting Data...3989604643</v>
        <stp/>
        <stp>BDP|5145625159843494775</stp>
        <tr r="P10" s="338"/>
      </tp>
      <tp t="s">
        <v>#N/A Requesting Data...2777892783</v>
        <stp/>
        <stp>BDP|5676239072204174683</stp>
        <tr r="AA233" s="89"/>
        <tr r="Z233" s="89"/>
      </tp>
      <tp t="s">
        <v>#N/A Requesting Data...2609620758</v>
        <stp/>
        <stp>BDP|9919677548080032985</stp>
        <tr r="G44" s="446"/>
      </tp>
      <tp t="s">
        <v>#N/A Requesting Data...3722714307</v>
        <stp/>
        <stp>BDP|3371693940045698635</stp>
        <tr r="V123" s="89"/>
      </tp>
      <tp t="s">
        <v>#N/A Requesting Data...3751612902</v>
        <stp/>
        <stp>BDP|8428913731466273690</stp>
        <tr r="L8" s="252"/>
        <tr r="L8" s="252"/>
      </tp>
      <tp t="s">
        <v>#N/A Requesting Data...3744534354</v>
        <stp/>
        <stp>BDP|6223131064210098392</stp>
        <tr r="V14" s="338"/>
      </tp>
      <tp t="s">
        <v>#N/A N/A</v>
        <stp/>
        <stp>BDP|3289149679383755445</stp>
        <tr r="AC29" s="1"/>
      </tp>
      <tp t="s">
        <v>#N/A Requesting Data...3178027003</v>
        <stp/>
        <stp>BDP|1858131163537242367</stp>
        <tr r="E7" s="89"/>
      </tp>
      <tp t="s">
        <v>#N/A Requesting Data...2610717236</v>
        <stp/>
        <stp>BDP|3910223521378009966</stp>
        <tr r="N11" s="252"/>
        <tr r="N11" s="252"/>
      </tp>
      <tp t="s">
        <v>#N/A Requesting Data...3381529570</v>
        <stp/>
        <stp>BDP|5024341343609931931</stp>
        <tr r="AJ41" s="338"/>
        <tr r="AJ42" s="338"/>
      </tp>
      <tp t="s">
        <v>#N/A Requesting Data...3561408138</v>
        <stp/>
        <stp>BDP|2109542547769740886</stp>
        <tr r="AI29" s="338"/>
        <tr r="AK29" s="338"/>
      </tp>
      <tp t="s">
        <v>#N/A Requesting Data...3411955570</v>
        <stp/>
        <stp>BDP|3213171497998766175</stp>
        <tr r="E69" s="89"/>
      </tp>
      <tp t="s">
        <v>#N/A Requesting Data...2689419582</v>
        <stp/>
        <stp>BDP|6172070853435387447</stp>
        <tr r="AB30" s="1"/>
        <tr r="AB31" s="1"/>
      </tp>
      <tp t="s">
        <v>#N/A Requesting Data...3902100850</v>
        <stp/>
        <stp>BDP|4570633414290062103</stp>
        <tr r="E7" s="2"/>
      </tp>
      <tp t="s">
        <v>#N/A Requesting Data...3002360010</v>
        <stp/>
        <stp>BDP|1804270548235247073</stp>
        <tr r="AD4" s="2"/>
      </tp>
      <tp t="s">
        <v>#N/A Requesting Data...3976639201</v>
        <stp/>
        <stp>BDP|4636653477250550732</stp>
        <tr r="G31" s="446"/>
      </tp>
      <tp t="s">
        <v>#N/A Requesting Data...4119515343</v>
        <stp/>
        <stp>BDP|8253339590249692953</stp>
        <tr r="T18" s="2"/>
      </tp>
      <tp t="s">
        <v>#N/A Requesting Data...3651554032</v>
        <stp/>
        <stp>BDP|5714451203842663158</stp>
        <tr r="K8" s="1"/>
      </tp>
      <tp t="s">
        <v>#N/A Requesting Data...4014246547</v>
        <stp/>
        <stp>BDP|5220275554081381113</stp>
        <tr r="AA26" s="89"/>
        <tr r="Z26" s="89"/>
      </tp>
      <tp t="s">
        <v>#N/A Requesting Data...2959002604</v>
        <stp/>
        <stp>BDP|9097634650951722972</stp>
        <tr r="Q51" s="338"/>
      </tp>
      <tp t="s">
        <v>#N/A Requesting Data...3423693250</v>
        <stp/>
        <stp>BDP|4880433377190901556</stp>
        <tr r="E115" s="89"/>
      </tp>
      <tp t="s">
        <v>#N/A Requesting Data...3040026284</v>
        <stp/>
        <stp>BDP|3519061147724655148</stp>
        <tr r="AJ31" s="338"/>
        <tr r="AJ32" s="338"/>
      </tp>
      <tp t="s">
        <v>#N/A Requesting Data...3369279559</v>
        <stp/>
        <stp>BDP|1402873559986597897</stp>
        <tr r="Q14" s="338"/>
      </tp>
      <tp t="s">
        <v>#N/A Requesting Data...2691982454</v>
        <stp/>
        <stp>BDP|9125333988758543887</stp>
        <tr r="AJ17" s="338"/>
        <tr r="AJ18" s="338"/>
      </tp>
      <tp t="s">
        <v>#N/A Requesting Data...3795193462</v>
        <stp/>
        <stp>BDP|6725335069146326790</stp>
        <tr r="AR19" s="2"/>
      </tp>
      <tp t="s">
        <v>#N/A Requesting Data...4196515576</v>
        <stp/>
        <stp>BDP|7134890756011396990</stp>
        <tr r="L45" s="338"/>
        <tr r="J45" s="338"/>
      </tp>
      <tp t="s">
        <v>#N/A Requesting Data...3353320964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Requesting Data...3376098000</v>
        <stp/>
        <stp>BDP|2288489672854050620</stp>
        <tr r="E10" s="2"/>
      </tp>
      <tp t="s">
        <v>#N/A Requesting Data...4073075514</v>
        <stp/>
        <stp>BDP|4669365388388290407</stp>
        <tr r="K15" s="1"/>
        <tr r="K5" s="1"/>
      </tp>
      <tp t="s">
        <v>#N/A Requesting Data...2772096599</v>
        <stp/>
        <stp>BDP|1294995983457020437</stp>
        <tr r="E222" s="89"/>
      </tp>
      <tp t="s">
        <v>#N/A Requesting Data...4014797633</v>
        <stp/>
        <stp>BDP|2591422732557732191</stp>
        <tr r="L13" s="338"/>
        <tr r="H13" s="338"/>
        <tr r="L34" s="338"/>
        <tr r="H34" s="338"/>
      </tp>
      <tp t="s">
        <v>#N/A Requesting Data...4201491042</v>
        <stp/>
        <stp>BDP|3208325823773954213</stp>
        <tr r="K13" s="1"/>
      </tp>
      <tp t="s">
        <v>#N/A Requesting Data...3128889522</v>
        <stp/>
        <stp>BDP|7919916036548158668</stp>
        <tr r="AI9" s="338"/>
        <tr r="AK9" s="338"/>
      </tp>
      <tp t="s">
        <v>#N/A Requesting Data...2963570245</v>
        <stp/>
        <stp>BDP|5970596063913968630</stp>
        <tr r="AG30" s="338"/>
      </tp>
      <tp t="s">
        <v>#N/A Requesting Data...2676032555</v>
        <stp/>
        <stp>BDP|7170630364126625297</stp>
        <tr r="S52" s="338"/>
      </tp>
      <tp t="s">
        <v>#N/A Requesting Data...3603566288</v>
        <stp/>
        <stp>BDP|7115677759757668004</stp>
        <tr r="AC36" s="1"/>
      </tp>
      <tp t="s">
        <v>#N/A Requesting Data...3716379462</v>
        <stp/>
        <stp>BDP|3754293213215371607</stp>
        <tr r="AB17" s="1"/>
        <tr r="AB16" s="1"/>
        <tr r="F5" s="446"/>
        <tr r="F6" s="446"/>
      </tp>
      <tp t="s">
        <v>#N/A Requesting Data...3822391266</v>
        <stp/>
        <stp>BDP|2213180314153111209</stp>
        <tr r="AF15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Data...3247000395</v>
        <stp/>
        <stp>BDP|6716369783157547983</stp>
        <tr r="V234" s="89"/>
      </tp>
      <tp t="s">
        <v>#N/A Requesting Data...3429564266</v>
        <stp/>
        <stp>BDP|9588206623063881918</stp>
        <tr r="AF33" s="1"/>
      </tp>
      <tp t="s">
        <v>#N/A Requesting Data...3820178420</v>
        <stp/>
        <stp>BDP|9390709548618762108</stp>
        <tr r="N6" s="252"/>
        <tr r="N6" s="252"/>
      </tp>
      <tp t="s">
        <v>#N/A Requesting Data...3766789805</v>
        <stp/>
        <stp>BDP|7796453577674837314</stp>
        <tr r="U44" s="338"/>
      </tp>
      <tp t="s">
        <v>#N/A Requesting Data...3606168376</v>
        <stp/>
        <stp>BDP|7961266924697349349</stp>
        <tr r="X36" s="338"/>
      </tp>
      <tp t="s">
        <v>#N/A Requesting Data...2656176820</v>
        <stp/>
        <stp>BDP|7659781264157478228</stp>
        <tr r="D95" s="89"/>
      </tp>
      <tp t="s">
        <v>#N/A Requesting Data...3409090453</v>
        <stp/>
        <stp>BDP|7777047645317887721</stp>
        <tr r="V145" s="89"/>
      </tp>
      <tp t="s">
        <v>#N/A Requesting Data...4209334684</v>
        <stp/>
        <stp>BDP|2793585885519216544</stp>
        <tr r="L19" s="252"/>
        <tr r="L19" s="252"/>
      </tp>
      <tp t="s">
        <v>#N/A Requesting Data...2962352722</v>
        <stp/>
        <stp>BDP|8230930209200509213</stp>
        <tr r="X30" s="338"/>
      </tp>
      <tp t="s">
        <v>#N/A Requesting Data...3438867635</v>
        <stp/>
        <stp>BDP|2987243114927275566</stp>
        <tr r="E63" s="89"/>
      </tp>
      <tp t="s">
        <v>#N/A Requesting Data...3231835577</v>
        <stp/>
        <stp>BDP|9739316558495716945</stp>
        <tr r="T9" s="2"/>
        <tr r="O8" s="89"/>
      </tp>
      <tp t="s">
        <v>#N/A Requesting Data...2702519805</v>
        <stp/>
        <stp>BDP|6169555274102368514</stp>
        <tr r="S10" s="338"/>
      </tp>
      <tp t="s">
        <v>#N/A Requesting Data...4172666315</v>
        <stp/>
        <stp>BDP|2465258476870377467</stp>
        <tr r="AA122" s="89"/>
        <tr r="Z122" s="89"/>
      </tp>
      <tp t="s">
        <v>#N/A Requesting Data...3196517389</v>
        <stp/>
        <stp>BDP|8020332285295353568</stp>
        <tr r="P32" s="338"/>
      </tp>
      <tp t="s">
        <v>#N/A Requesting Data...2808964032</v>
        <stp/>
        <stp>BDP|3712593953265415595</stp>
        <tr r="K18" s="1"/>
      </tp>
      <tp t="b">
        <v>0</v>
        <stp/>
        <stp>BDH|2576197149512675634</stp>
        <tr r="AU45" s="338"/>
      </tp>
      <tp t="s">
        <v>#N/A Requesting Data...3772667483</v>
        <stp/>
        <stp>BDP|1486674387064710827</stp>
        <tr r="AH55" s="338"/>
        <tr r="AK14" s="338"/>
        <tr r="AI14" s="338"/>
        <tr r="AJ55" s="338"/>
        <tr r="AI55" s="338"/>
        <tr r="AK55" s="338"/>
      </tp>
      <tp t="s">
        <v>#N/A Requesting Data...3573463252</v>
        <stp/>
        <stp>BDP|5888175656914033689</stp>
        <tr r="AA23" s="2"/>
        <tr r="T13" s="89"/>
      </tp>
      <tp t="s">
        <v>#N/A Requesting Data...3217213837</v>
        <stp/>
        <stp>BDP|1111234221652305017</stp>
        <tr r="AD9" s="2"/>
        <tr r="V8" s="89"/>
      </tp>
      <tp t="s">
        <v>#N/A Requesting Data...3673404517</v>
        <stp/>
        <stp>BDP|6109913190467097261</stp>
        <tr r="AG32" s="338"/>
        <tr r="AG46" s="338"/>
        <tr r="AG50" s="338"/>
        <tr r="AG8" s="338"/>
      </tp>
      <tp t="s">
        <v>#N/A Requesting Data...3504904767</v>
        <stp/>
        <stp>BDP|5764387578793708167</stp>
        <tr r="M20" s="252"/>
      </tp>
      <tp t="s">
        <v>#N/A Requesting Data...3743934358</v>
        <stp/>
        <stp>BDP|6515604110606525460</stp>
        <tr r="AC40" s="1"/>
      </tp>
      <tp t="s">
        <v>#N/A Requesting Data...2594388871</v>
        <stp/>
        <stp>BDP|2834421045940985100</stp>
        <tr r="E186" s="89"/>
      </tp>
      <tp t="s">
        <v>#N/A Requesting Data...3847777835</v>
        <stp/>
        <stp>BDP|6555173421444373279</stp>
        <tr r="AI13" s="338"/>
      </tp>
      <tp t="s">
        <v>#N/A Requesting Data...2680536828</v>
        <stp/>
        <stp>BDP|9226344490726854691</stp>
        <tr r="E101" s="89"/>
      </tp>
      <tp t="s">
        <v>#N/A Requesting Data...3915300081</v>
        <stp/>
        <stp>BDP|6281575064076017068</stp>
        <tr r="AC14" s="1"/>
      </tp>
      <tp t="s">
        <v>#N/A Requesting Data...3541729242</v>
        <stp/>
        <stp>BDP|6247087616267870331</stp>
        <tr r="AH29" s="338"/>
        <tr r="AH30" s="338"/>
      </tp>
      <tp t="s">
        <v>#N/A Requesting Data...2697337761</v>
        <stp/>
        <stp>BDP|4307029492407618910</stp>
        <tr r="AK45" s="338"/>
      </tp>
      <tp t="s">
        <v>#N/A Requesting Data...3652050609</v>
        <stp/>
        <stp>BDP|5625712468837321088</stp>
        <tr r="F17" s="2"/>
        <tr r="F16" s="2"/>
      </tp>
      <tp t="s">
        <v>#N/A Requesting Data...3495398303</v>
        <stp/>
        <stp>BDP|8245865345547421013</stp>
        <tr r="AC25" s="1"/>
        <tr r="AC21" s="1"/>
        <tr r="D30" s="446"/>
      </tp>
      <tp t="s">
        <v>#N/A Requesting Data...3939839607</v>
        <stp/>
        <stp>BDP|6667259448472810169</stp>
        <tr r="Q31" s="338"/>
      </tp>
      <tp>
        <v>21.45</v>
        <stp/>
        <stp>BDP|15445659143445538222|22</stp>
        <stp>AMZN US 07/17/26 C245 Equity</stp>
        <stp>mid</stp>
        <tr r="L4" s="2"/>
      </tp>
      <tp>
        <v>73.25</v>
        <stp/>
        <stp>BDP|8491242153513196784|22</stp>
        <stp>SHEL Equity</stp>
        <stp>LAST PRICE</stp>
        <tr r="I30" s="338"/>
      </tp>
      <tp>
        <v>75.599999999999994</v>
        <stp/>
        <stp>BDP|18176311034118889492|22</stp>
        <stp>META US 07/17/26 C670 Equity</stp>
        <stp>ask</stp>
        <tr r="Q11" s="2"/>
      </tp>
      <tp t="s">
        <v>#N/A Real Time</v>
        <stp/>
        <stp>BDP|176778424576207183|22</stp>
        <stp>4OK5C 21650 Index</stp>
        <stp>QUOTED_CURRENCY_REALTIME</stp>
        <tr r="F116" s="89"/>
      </tp>
      <tp>
        <v>0.62736326456069946</v>
        <stp/>
        <stp>BDP|7395650229456682116|22</stp>
        <stp>COPX US 07/17/26 C85 Equity</stp>
        <stp>DELTA_MID_RT</stp>
        <tr r="W26" s="89"/>
      </tp>
      <tp>
        <v>470.28</v>
        <stp/>
        <stp>BDP|9988051122657863096|22</stp>
        <stp>MSFT US Equity</stp>
        <stp>LAST_PRICE</stp>
        <tr r="Z17" s="2"/>
        <tr r="Z19" s="2"/>
        <tr r="Z18" s="2"/>
        <tr r="Z16" s="2"/>
        <tr r="S235" s="89"/>
      </tp>
      <tp>
        <v>20</v>
        <stp/>
        <stp>BDP|13077608409888620624|22</stp>
        <stp>NVDA US 07/17/26 C195 Equity</stp>
        <stp>bid</stp>
        <tr r="K237" s="89"/>
      </tp>
      <tp>
        <v>-0.10435216873884201</v>
        <stp/>
        <stp>BDP|12098786877158670568|22</stp>
        <stp>TSM US 06/18/26 C340 Equity</stp>
        <stp>theta_mid_rt</stp>
        <tr r="AN23" s="2"/>
      </tp>
      <tp>
        <v>4.25</v>
        <stp/>
        <stp>BDP|15563065055018194263|22</stp>
        <stp>INTC US 07/17/26 C50 Equity</stp>
        <stp>ask</stp>
        <tr r="Q21" s="2"/>
        <tr r="L196" s="89"/>
      </tp>
      <tp>
        <v>470.28</v>
        <stp/>
        <stp>BDP|1720488993946020104|22</stp>
        <stp>MSFT Equity</stp>
        <stp>LAST PRICE</stp>
        <tr r="G8" s="338"/>
        <tr r="G9" s="338"/>
      </tp>
      <tp t="s">
        <v>#N/A N/A</v>
        <stp/>
        <stp>BDP|12642213475526475226|22</stp>
        <stp>QQQ US 01/21/26 P616 Equity</stp>
        <stp>bid</stp>
        <tr r="K76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2" s="2"/>
      </tp>
      <tp>
        <v>9147.2099999999991</v>
        <stp/>
        <stp>BDP|8345363860153837789|22</stp>
        <stp>HSCEI Index</stp>
        <stp>LAST_PRICE</stp>
        <tr r="H19" s="252"/>
        <tr r="H19" s="252"/>
      </tp>
      <tp>
        <v>2.5</v>
        <stp/>
        <stp>BDP|16635244585526588457|22</stp>
        <stp>MRVL US 03/20/26 P70 Equity</stp>
        <stp>mid</stp>
        <tr r="L15" s="2"/>
      </tp>
      <tp>
        <v>15.55</v>
        <stp/>
        <stp>BDP|11549499930516457816|22</stp>
        <stp>AVGO US 06/18/26 C410 Equity</stp>
        <stp>bid</stp>
        <tr r="K222" s="89"/>
      </tp>
      <tp>
        <v>8.9499999999999993</v>
        <stp/>
        <stp>BDP|16199323523634865039|22</stp>
        <stp>MRVL US 03/20/26 P85 Equity</stp>
        <stp>mid</stp>
        <tr r="L12" s="2"/>
      </tp>
      <tp>
        <v>31.75</v>
        <stp/>
        <stp>BDP|17652529992752880187|22</stp>
        <stp>AVGO US 06/18/26 C350 Equity</stp>
        <stp>bid</stp>
        <tr r="P6" s="2"/>
        <tr r="K223" s="89"/>
      </tp>
      <tp t="s">
        <v>#N/A N/A</v>
        <stp/>
        <stp>BDP|12982360288409292275|22</stp>
        <stp>QQQ US 01/21/26 P614 Equity</stp>
        <stp>bid</stp>
        <tr r="K82" s="89"/>
      </tp>
      <tp t="s">
        <v>USD</v>
        <stp/>
        <stp>BDP|11891209975622672099|22</stp>
        <stp>COPX US 07/17/26 C85 Equity</stp>
        <stp>QUOTED_CURRENCY_REALTIME</stp>
        <tr r="F26" s="89"/>
      </tp>
      <tp t="s">
        <v>USD</v>
        <stp/>
        <stp>BDP|15044284398524356946|22</stp>
        <stp>GOOG US 07/17/26 C350 Equity</stp>
        <stp>QUOTED_CURRENCY_REALTIME</stp>
        <tr r="F236" s="89"/>
      </tp>
      <tp>
        <v>0.24</v>
        <stp/>
        <stp>BDP|15901604230708554053|22</stp>
        <stp>ASHR US 02/20/26 C35 Equity</stp>
        <stp>mid</stp>
        <tr r="L5" s="2"/>
      </tp>
      <tp t="s">
        <v>USD</v>
        <stp/>
        <stp>BDP|14649358559893085324|22</stp>
        <stp>AVGO US 06/18/26 C350 Equity</stp>
        <stp>QUOTED_CURRENCY_REALTIME</stp>
        <tr r="G6" s="2"/>
        <tr r="F223" s="89"/>
      </tp>
      <tp>
        <v>2.57</v>
        <stp/>
        <stp>BDP|15925931344332195569|22</stp>
        <stp>MRVL US 03/20/26 P70 Equity</stp>
        <stp>ask</stp>
        <tr r="Q15" s="2"/>
        <tr r="L63" s="89"/>
      </tp>
      <tp t="s">
        <v>#N/A N/A</v>
        <stp/>
        <stp>BDP|12264126630304816436|22</stp>
        <stp>INTC US 01/23/26 C60 Equity</stp>
        <stp>bid</stp>
        <tr r="K39" s="89"/>
      </tp>
      <tp>
        <v>10.4</v>
        <stp/>
        <stp>BDP|17404936714910098540|22</stp>
        <stp>COPX US 07/17/26 C95 Equity</stp>
        <stp>bid</stp>
        <tr r="K27" s="89"/>
      </tp>
      <tp>
        <v>8.85</v>
        <stp/>
        <stp>BDP|10246542437065037496|22</stp>
        <stp>MRVL US 03/20/26 P85 Equity</stp>
        <stp>bid</stp>
        <tr r="P12" s="2"/>
      </tp>
      <tp t="s">
        <v>#N/A N/A</v>
        <stp/>
        <stp>BDP|12180772487662365704|22</stp>
        <stp>QQQ US 01/21/26 P614 Equity</stp>
        <stp>ask</stp>
        <tr r="L82" s="89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>
        <v>15.8</v>
        <stp/>
        <stp>BDP|982929759879592273|22</stp>
        <stp>TSM US 06/18/26 C380 Equity</stp>
        <stp>bid</stp>
        <tr r="P24" s="2"/>
        <tr r="K14" s="89"/>
      </tp>
      <tp>
        <v>6.15</v>
        <stp/>
        <stp>BDP|12289700020985263311|22</stp>
        <stp>MRVL US 03/20/26 P80 Equity</stp>
        <stp>bid</stp>
        <tr r="P14" s="2"/>
        <tr r="K62" s="89"/>
      </tp>
      <tp>
        <v>691.70510000000002</v>
        <stp/>
        <stp>BDP|12318182968788510555|22</stp>
        <stp>NDEUCHF Index</stp>
        <stp>LAST_PRICE</stp>
        <tr r="H16" s="252"/>
        <tr r="H16" s="252"/>
      </tp>
      <tp>
        <v>333.59</v>
        <stp/>
        <stp>BDP|2010687940946133293|22</stp>
        <stp>GOOG US Equity</stp>
        <stp>LAST_PRICE</stp>
        <tr r="S236" s="89"/>
      </tp>
      <tp>
        <v>470.28</v>
        <stp/>
        <stp>BDP|1912830234697829517|22</stp>
        <stp>MSFT Equity</stp>
        <stp>LAST_PRICE</stp>
        <tr r="I25" s="1"/>
        <tr r="I21" s="1"/>
      </tp>
      <tp>
        <v>0.01</v>
        <stp/>
        <stp>BDP|13025211079997579337|22</stp>
        <stp>QQQ US 01/23/26 P615 Equity</stp>
        <stp>ask</stp>
        <tr r="L75" s="89"/>
      </tp>
      <tp>
        <v>18.25</v>
        <stp/>
        <stp>BDP|10919516749140731717|22</stp>
        <stp>GDX US 09/18/26 C105 Equity</stp>
        <stp>bid</stp>
        <tr r="P7" s="2"/>
      </tp>
      <tp>
        <v>-0.18904948234558105</v>
        <stp/>
        <stp>BDP|9297989812730662657|22</stp>
        <stp>META US 07/17/26 C670 Equity</stp>
        <stp>theta_mid_rt</stp>
        <tr r="AN11" s="2"/>
      </tp>
      <tp>
        <v>4.67</v>
        <stp/>
        <stp>BDP|13311646445697039992|22</stp>
        <stp>QQQ US 02/06/26 P616 Equity</stp>
        <stp>bid</stp>
        <tr r="K81" s="89"/>
      </tp>
      <tp>
        <v>105.5</v>
        <stp/>
        <stp>BDP|11511261369815685982|22</stp>
        <stp>QQQE EQUITY</stp>
        <stp>LAST_PRICE</stp>
        <tr r="I7" s="1"/>
      </tp>
      <tp t="s">
        <v>#N/A Invalid Security</v>
        <stp/>
        <stp>BDP|2762654667921421905|22</stp>
        <stp>0,0154593517220055 Index</stp>
        <stp>mid</stp>
        <tr r="L1" s="2"/>
      </tp>
      <tp>
        <v>0.01</v>
        <stp/>
        <stp>BDP|11359973885359690374|22</stp>
        <stp>INTC US 01/23/26 C60 Equity</stp>
        <stp>ask</stp>
        <tr r="L39" s="89"/>
      </tp>
      <tp>
        <v>85.7</v>
        <stp/>
        <stp>BDP|8263106965958046051|22</stp>
        <stp>NFLX US Equity</stp>
        <stp>LAST_PRICE</stp>
        <tr r="S187" s="89"/>
        <tr r="S188" s="89"/>
        <tr r="S186" s="89"/>
      </tp>
      <tp>
        <v>6.45</v>
        <stp/>
        <stp>BDP|12374218908081165086|22</stp>
        <stp>NFLX US 03/20/26 P90 Equity</stp>
        <stp>ask</stp>
        <tr r="L187" s="89"/>
      </tp>
      <tp>
        <v>-0.25176537036895752</v>
        <stp/>
        <stp>BDP|6852050318923921669|22</stp>
        <stp>NFLX US 03/20/26 P80 Equity</stp>
        <stp>DELTA_MID_RT</stp>
        <tr r="W188" s="89"/>
      </tp>
      <tp>
        <v>0.01</v>
        <stp/>
        <stp>BDP|12587604460477320021|22</stp>
        <stp>QQQ US 01/26/26 P615 Equity</stp>
        <stp>ask</stp>
        <tr r="L213" s="89"/>
      </tp>
      <tp>
        <v>-6.3207246363162994E-2</v>
        <stp/>
        <stp>BDP|7470906167311467275|22</stp>
        <stp>AMZN US 07/17/26 C245 Equity</stp>
        <stp>theta_mid_rt</stp>
        <tr r="AN4" s="2"/>
      </tp>
      <tp t="s">
        <v>#N/A N/A</v>
        <stp/>
        <stp>BDP|47883857911709246</stp>
        <tr r="AV7" s="2"/>
        <tr r="AV8" s="2"/>
      </tp>
      <tp t="s">
        <v>#N/A Requesting Data...4121218264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-9.2299998505041003E-4</v>
        <stp/>
        <stp>BDP|7284956293389292495|22</stp>
        <stp>ASML US 01/23/26 P1100 Equity</stp>
        <stp>DELTA_MID_RT</stp>
        <tr r="W50" s="89"/>
      </tp>
      <tp>
        <v>4.08</v>
        <stp/>
        <stp>BDP|14841963169371507253|22</stp>
        <stp>MRVL US 03/20/26 P75 Equity</stp>
        <stp>mid</stp>
        <tr r="L13" s="2"/>
      </tp>
      <tp>
        <v>255.41</v>
        <stp/>
        <stp>BDP|13852632459561529635|22</stp>
        <stp>AAPL EQUITY</stp>
        <stp>LAST_PRICE</stp>
        <tr r="C6" s="1"/>
      </tp>
      <tp>
        <v>36952.93</v>
        <stp/>
        <stp>BDP|4029547894834693880|22</stp>
        <stp>TXIN0UNU Index</stp>
        <stp>LAST_PRICE</stp>
        <tr r="H10" s="252"/>
        <tr r="H10" s="252"/>
      </tp>
      <tp>
        <v>527.36</v>
        <stp/>
        <stp>BDP|9828940858298145952|22</stp>
        <stp>MA Equity</stp>
        <stp>LAST PRICE</stp>
        <tr r="G16" s="338"/>
        <tr r="G38" s="338"/>
        <tr r="G40" s="338"/>
      </tp>
      <tp>
        <v>156.08000000000001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BDP|13270901624241508025|22</stp>
        <stp>AMAT US 01/23/26 P280 Equity</stp>
        <stp>QUOTED_CURRENCY_REALTIME</stp>
        <tr r="F56" s="89"/>
      </tp>
      <tp>
        <v>4.1500000000000004</v>
        <stp/>
        <stp>BDP|17311283871303777118|22</stp>
        <stp>MRVL US 03/20/26 P75 Equity</stp>
        <stp>ask</stp>
        <tr r="Q13" s="2"/>
      </tp>
      <tp>
        <v>0.03</v>
        <stp/>
        <stp>BDP|11546932509834899026|22</stp>
        <stp>AMAT US 01/23/26 P290 Equity</stp>
        <stp>ask</stp>
        <tr r="L55" s="89"/>
      </tp>
      <tp>
        <v>15.75</v>
        <stp/>
        <stp>BDP|13407383351402000483|22</stp>
        <stp>AVGO US 06/18/26 C410 Equity</stp>
        <stp>ask</stp>
        <tr r="L222" s="89"/>
      </tp>
      <tp>
        <v>186.47</v>
        <stp/>
        <stp>BDP|2630581548609766860|22</stp>
        <stp>NVDA US Equity</stp>
        <stp>LAST_PRICE</stp>
        <tr r="S237" s="89"/>
      </tp>
      <tp>
        <v>41.95</v>
        <stp/>
        <stp>BDP|10055912377823628920|22</stp>
        <stp>MSFT US 07/17/26 C465 Equity</stp>
        <stp>bid</stp>
        <tr r="P18" s="2"/>
      </tp>
      <tp t="s">
        <v>USD</v>
        <stp/>
        <stp>BDP|16004856901519448852|22</stp>
        <stp>INTC US 07/17/26 C60 Equity</stp>
        <stp>QUOTED_CURRENCY_REALTIME</stp>
        <tr r="G20" s="2"/>
        <tr r="F195" s="89"/>
      </tp>
      <tp>
        <v>333.25299999999999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483.47</v>
        <stp/>
        <stp>BDP|16804995271076659285|22</stp>
        <stp>BRK/B Equity</stp>
        <stp>LAST PRICE</stp>
        <tr r="I18" s="338"/>
      </tp>
      <tp>
        <v>9.0500000000000007</v>
        <stp/>
        <stp>BDP|13966874951199659074|22</stp>
        <stp>MRVL US 03/20/26 P85 Equity</stp>
        <stp>ask</stp>
        <tr r="Q12" s="2"/>
      </tp>
      <tp>
        <v>32</v>
        <stp/>
        <stp>BDP|16021407028720881249|22</stp>
        <stp>AVGO US 06/18/26 C350 Equity</stp>
        <stp>ask</stp>
        <tr r="Q6" s="2"/>
        <tr r="L223" s="89"/>
      </tp>
      <tp>
        <v>190.85</v>
        <stp/>
        <stp>BDP|6290765801174780597|22</stp>
        <stp>WDAY Equity</stp>
        <stp>LAST PRICE</stp>
        <tr r="L10" s="446"/>
      </tp>
      <tp>
        <v>37.15</v>
        <stp/>
        <stp>BDP|17317623436430978477|22</stp>
        <stp>MSFT US 07/17/26 C475 Equity</stp>
        <stp>ask</stp>
        <tr r="Q17" s="2"/>
        <tr r="Q16" s="2"/>
      </tp>
      <tp>
        <v>14.4</v>
        <stp/>
        <stp>BDP|13310992897897785440|22</stp>
        <stp>META US 04/17/26 P590 Equity</stp>
        <stp>ask</stp>
        <tr r="L171" s="89"/>
      </tp>
      <tp>
        <v>6954.9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 t="s">
        <v>USD</v>
        <stp/>
        <stp>BDP|12072774544118535624|22</stp>
        <stp>COPX US 07/17/26 C95 Equity</stp>
        <stp>QUOTED_CURRENCY_REALTIME</stp>
        <tr r="F27" s="89"/>
      </tp>
      <tp>
        <v>7964.31</v>
        <stp/>
        <stp>BDP|17372378885504057467|22</stp>
        <stp>CSIN0301 Index</stp>
        <stp>LAST_PRICE</stp>
        <tr r="H7" s="252"/>
        <tr r="H7" s="252"/>
      </tp>
      <tp>
        <v>15.2</v>
        <stp/>
        <stp>BDP|14669267509954598346|22</stp>
        <stp>COPX US 07/17/26 C85 Equity</stp>
        <stp>ask</stp>
        <tr r="L26" s="89"/>
      </tp>
      <tp>
        <v>4.1500000000000004</v>
        <stp/>
        <stp>BDP|13492411471909401383|22</stp>
        <stp>INTC US 07/17/26 C50 Equity</stp>
        <stp>mid</stp>
        <tr r="L21" s="2"/>
      </tp>
      <tp>
        <v>7.8</v>
        <stp/>
        <stp>BDP|13597004490224731529|22</stp>
        <stp>COPX US 04/17/26 C95 Equity</stp>
        <stp>ask</stp>
        <tr r="L34" s="89"/>
      </tp>
      <tp>
        <v>20.100000000000001</v>
        <stp/>
        <stp>BDP|11464015968203804117|22</stp>
        <stp>NVDA US 07/17/26 C195 Equity</stp>
        <stp>ask</stp>
        <tr r="L237" s="89"/>
      </tp>
      <tp>
        <v>238.42</v>
        <stp/>
        <stp>BDP|12911088506019095722|22</stp>
        <stp>AMZN EQUITY</stp>
        <stp>LAST_PRICE</stp>
        <tr r="C5" s="1"/>
      </tp>
      <tp>
        <v>5.2831000000000001</v>
        <stp/>
        <stp>BDP|10515480241315630363|22</stp>
        <stp>brl Curncy</stp>
        <stp>LAST_PRICE</stp>
        <tr r="AC3" s="1"/>
      </tp>
      <tp t="s">
        <v>USD</v>
        <stp/>
        <stp>BDP|13998573931045965631|22</stp>
        <stp>MSFT US 03/20/26 P465 Equity</stp>
        <stp>QUOTED_CURRENCY_REALTIME</stp>
        <tr r="G19" s="2"/>
      </tp>
      <tp>
        <v>1.7</v>
        <stp/>
        <stp>BDP|11810525163719928784|22</stp>
        <stp>NFLX US 03/20/26 P80 Equity</stp>
        <stp>ask</stp>
        <tr r="L188" s="89"/>
      </tp>
      <tp>
        <v>186.47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USD</v>
        <stp/>
        <stp>BDP|16444905054810691269|22</stp>
        <stp>COPX US 04/17/26 C95 Equity</stp>
        <stp>QUOTED_CURRENCY_REALTIME</stp>
        <tr r="F34" s="89"/>
      </tp>
      <tp t="s">
        <v>#N/A Real Time</v>
        <stp/>
        <stp>BDP|17873404787619933773|22</stp>
        <stp>IMBWK5C4 5840 Index</stp>
        <stp>DELTA_MID_RT</stp>
        <tr r="W89" s="89"/>
      </tp>
      <tp>
        <v>33.4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b">
        <v>0</v>
        <stp/>
        <stp>BDH|506420600829909838</stp>
        <tr r="AM37" s="338"/>
      </tp>
      <tp t="s">
        <v>#N/A Requesting Data...3212052929</v>
        <stp/>
        <stp>BDP|751520279507684047</stp>
        <tr r="X40" s="338"/>
      </tp>
      <tp t="s">
        <v>#N/A Requesting Data...2941806939</v>
        <stp/>
        <stp>BDP|196285167087372652</stp>
        <tr r="O19" s="89"/>
      </tp>
      <tp t="s">
        <v>#N/A Requesting Data...4139376747</v>
        <stp/>
        <stp>BDP|711948671629350257</stp>
        <tr r="E19" s="89"/>
      </tp>
      <tp t="b">
        <v>0</v>
        <stp/>
        <stp>BDH|987008225860157799</stp>
        <tr r="AM8" s="338"/>
        <tr r="AM9" s="338"/>
      </tp>
      <tp t="s">
        <v>#N/A Requesting Data...3135548507</v>
        <stp/>
        <stp>BDP|388535741046312222</stp>
        <tr r="O213" s="89"/>
      </tp>
      <tp t="s">
        <v>#N/A Requesting Data...3491097410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0.52313715219497681</v>
        <stp/>
        <stp>BDP|1582912119927825825|22</stp>
        <stp>NVDA US 07/17/26 C195 Equity</stp>
        <stp>DELTA_MID_RT</stp>
        <tr r="W237" s="89"/>
      </tp>
      <tp>
        <v>213.63</v>
        <stp/>
        <stp>BDP|15031025441735979532|22</stp>
        <stp>RDDT Equity</stp>
        <stp>LAST PRICE</stp>
        <tr r="L11" s="446"/>
      </tp>
      <tp>
        <v>19.100000000000001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Data...3715800554</v>
        <stp/>
        <stp>BDP|608595985359488024</stp>
        <tr r="AH13" s="338"/>
        <tr r="AH34" s="338"/>
        <tr r="AJ13" s="338"/>
        <tr r="AJ34" s="338"/>
      </tp>
      <tp t="s">
        <v>#N/A Requesting Data...3193942281</v>
        <stp/>
        <stp>BDP|910029044122337233</stp>
        <tr r="Q33" s="338"/>
      </tp>
      <tp t="s">
        <v>#N/A Requesting Data...3792301388</v>
        <stp/>
        <stp>BDP|654074041248648893</stp>
        <tr r="D13" s="89"/>
      </tp>
      <tp t="s">
        <v>#N/A Requesting Data...3408780254</v>
        <stp/>
        <stp>BDP|707708639631714132</stp>
        <tr r="E234" s="89"/>
      </tp>
      <tp t="s">
        <v>#N/A Requesting Data...3472758963</v>
        <stp/>
        <stp>BDP|179535275676098042</stp>
        <tr r="C75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Data...3095901245</v>
        <stp/>
        <stp>BDP|686234847331911027</stp>
        <tr r="G17" s="446"/>
      </tp>
      <tp t="s">
        <v>#N/A Requesting Data...3474399222</v>
        <stp/>
        <stp>BDP|845945561529258153</stp>
        <tr r="X37" s="338"/>
      </tp>
      <tp t="s">
        <v>#N/A Requesting Data...3089457148</v>
        <stp/>
        <stp>BDP|719080694298469649</stp>
        <tr r="F10" s="2"/>
      </tp>
      <tp t="s">
        <v>#N/A Requesting Data...4084263101</v>
        <stp/>
        <stp>BDP|408762416568436914</stp>
        <tr r="T116" s="89"/>
      </tp>
      <tp t="s">
        <v>#N/A Requesting Data...2930918065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5725.99</v>
        <stp/>
        <stp>BDP|7715274099356745424|22</stp>
        <stp>HSTECH Index</stp>
        <stp>LAST_PRICE</stp>
        <tr r="H14" s="252"/>
        <tr r="H14" s="252"/>
      </tp>
      <tp t="s">
        <v>USD</v>
        <stp/>
        <stp>BDP|4840786825641566887|22</stp>
        <stp>QQQ US 01/16/26 P622 Equity</stp>
        <stp>QUOTED_CURRENCY_REALTIME</stp>
        <tr r="F205" s="89"/>
      </tp>
      <tp>
        <v>692.73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Data...4200974850</v>
        <stp/>
        <stp>BDP|780556548910196765</stp>
        <tr r="L52" s="338"/>
        <tr r="L53" s="338"/>
        <tr r="H52" s="338"/>
        <tr r="H53" s="338"/>
        <tr r="L54" s="338"/>
        <tr r="H54" s="338"/>
      </tp>
      <tp t="s">
        <v>#N/A Requesting Data...3035058738</v>
        <stp/>
        <stp>BDP|729521579226123201</stp>
        <tr r="C236" s="89"/>
      </tp>
      <tp t="s">
        <v>#N/A Requesting Data...3720286036</v>
        <stp/>
        <stp>BDP|619052234926942338</stp>
        <tr r="O49" s="89"/>
      </tp>
      <tp t="s">
        <v>#N/A Requesting Data...3986223885</v>
        <stp/>
        <stp>BDP|703780504329627859</stp>
        <tr r="AI24" s="1"/>
        <tr r="AI20" s="1"/>
      </tp>
      <tp t="s">
        <v>#N/A Requesting Data...3619741986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Data...3113392719</v>
        <stp/>
        <stp>BDP|294565388632351941</stp>
        <tr r="V75" s="89"/>
      </tp>
      <tp t="s">
        <v>#N/A Requesting Data...3108322629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182.44</v>
        <stp/>
        <stp>BDP|7132801475716187902|22</stp>
        <stp>ORCL EQUITY</stp>
        <stp>LAST_PRICE</stp>
        <tr r="C10" s="1"/>
      </tp>
      <tp t="s">
        <v>#N/A Requesting Data...3017306528</v>
        <stp/>
        <stp>BDP|930699410161740793</stp>
        <tr r="D23" s="2"/>
        <tr r="C13" s="89"/>
      </tp>
      <tp t="s">
        <v>#N/A Requesting Data...4102784467</v>
        <stp/>
        <stp>BDP|517543108217561323</stp>
        <tr r="P53" s="338"/>
      </tp>
      <tp t="s">
        <v>#N/A Requesting Data...3605023892</v>
        <stp/>
        <stp>BDP|244764414260319781</stp>
        <tr r="O18" s="252"/>
      </tp>
      <tp t="s">
        <v>#N/A Requesting Data...3642639847</v>
        <stp/>
        <stp>BDP|896518566545118787</stp>
        <tr r="Z102" s="89"/>
        <tr r="AA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USD</v>
        <stp/>
        <stp>BDP|8637154452701464385|22</stp>
        <stp>QQQ US 01/16/26 C635 Equity</stp>
        <stp>QUOTED_CURRENCY_REALTIME</stp>
        <tr r="F203" s="89"/>
      </tp>
      <tp t="s">
        <v>#N/A N/A</v>
        <stp/>
        <stp>BDP|7187799250672940682|22</stp>
        <stp>QQQ US 01/16/26 C633 Equity</stp>
        <stp>bid</stp>
        <tr r="K204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Data...3348426856</v>
        <stp/>
        <stp>BDP|226464119563262625</stp>
        <tr r="AR17" s="2"/>
        <tr r="AR16" s="2"/>
      </tp>
      <tp t="s">
        <v>#N/A Requesting Data...3043372704</v>
        <stp/>
        <stp>BDP|999131207671054040</stp>
        <tr r="P55" s="338"/>
      </tp>
      <tp t="s">
        <v>#N/A Requesting Data...3870902886</v>
        <stp/>
        <stp>BDP|798980087638306908</stp>
        <tr r="K4" s="1"/>
      </tp>
      <tp t="s">
        <v>#N/A Requesting Data...3172630572</v>
        <stp/>
        <stp>BDP|400680436596691384</stp>
        <tr r="Q46" s="338"/>
      </tp>
      <tp t="s">
        <v>#N/A Requesting Data...3847871965</v>
        <stp/>
        <stp>BDP|454052187798556035</stp>
        <tr r="D122" s="89"/>
      </tp>
      <tp t="b">
        <v>0</v>
        <stp/>
        <stp>BDH|469402461845028758</stp>
        <tr r="AP12" s="338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199.24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Data...3085950532</v>
        <stp/>
        <stp>BDP|400489739133855744</stp>
        <tr r="AF26" s="1"/>
      </tp>
      <tp t="s">
        <v>#N/A Requesting Data...3308181906</v>
        <stp/>
        <stp>BDP|103387833183780070</stp>
        <tr r="AA108" s="89"/>
        <tr r="Z108" s="89"/>
      </tp>
      <tp t="b">
        <v>0</v>
        <stp/>
        <stp>BDH|256217990198849013</stp>
        <tr r="AP47" s="338"/>
        <tr r="AP48" s="338"/>
        <tr r="AU10" s="338"/>
        <tr r="AP44" s="338"/>
        <tr r="AU53" s="338"/>
      </tp>
      <tp>
        <v>85.13</v>
        <stp/>
        <stp>BDP|6244681688337820540|22</stp>
        <stp>KBWB EQUITY</stp>
        <stp>LAST_PRICE</stp>
        <tr r="I1" s="1"/>
      </tp>
      <tp>
        <v>16.23</v>
        <stp/>
        <stp>BDP|11593899381746563402|22</stp>
        <stp>RIOT Equity</stp>
        <stp>LAST_PRICE</stp>
        <tr r="I37" s="1"/>
        <tr r="I38" s="1"/>
      </tp>
      <tp t="s">
        <v>#N/A N/A</v>
        <stp/>
        <stp>BDP|6830662576007075756|22</stp>
        <stp>QQQ US 01/26/26 C630 Equity</stp>
        <stp>bid</stp>
        <tr r="K211" s="89"/>
      </tp>
      <tp>
        <v>0.01</v>
        <stp/>
        <stp>BDP|5446023781941606213|22</stp>
        <stp>QQQ US 01/16/26 C635 Equity</stp>
        <stp>ask</stp>
        <tr r="L203" s="89"/>
      </tp>
      <tp>
        <v>17.3</v>
        <stp/>
        <stp>BDP|7303697284640564666|22</stp>
        <stp>TSM US 06/18/26 C380 Equity</stp>
        <stp>ask</stp>
        <tr r="Q24" s="2"/>
        <tr r="L14" s="89"/>
      </tp>
      <tp>
        <v>20.5</v>
        <stp/>
        <stp>BDP|3151677417243031834|22</stp>
        <stp>TSM US 07/17/26 C380 Equity</stp>
        <stp>ask</stp>
        <tr r="L20" s="89"/>
      </tp>
      <tp t="b">
        <v>0</v>
        <stp/>
        <stp>BDH|442940639059173142</stp>
        <tr r="AU13" s="338"/>
      </tp>
      <tp t="s">
        <v>#N/A Requesting Data...3705576067</v>
        <stp/>
        <stp>BDP|450712038053400567</stp>
        <tr r="AG12" s="1"/>
      </tp>
      <tp t="s">
        <v>#N/A Requesting Data...3157684361</v>
        <stp/>
        <stp>BDP|464774656925779579</stp>
        <tr r="T39" s="89"/>
      </tp>
      <tp t="s">
        <v>#N/A Requesting Data...4217909366</v>
        <stp/>
        <stp>BDP|908193390539320353</stp>
        <tr r="AA62" s="89"/>
        <tr r="Z62" s="89"/>
      </tp>
      <tp t="s">
        <v>#N/A Requesting Data...4159085892</v>
        <stp/>
        <stp>BDP|310378113498032857</stp>
        <tr r="F9" s="446"/>
      </tp>
      <tp>
        <v>-0.42768454551696777</v>
        <stp/>
        <stp>BDP|3113404587360388424|22</stp>
        <stp>MSFT US 03/20/26 P465 Equity</stp>
        <stp>DELTA_MID_RT</stp>
        <tr r="AF19" s="2"/>
      </tp>
      <tp>
        <v>-0.22029128670692444</v>
        <stp/>
        <stp>BDP|5551973401497312809|22</stp>
        <stp>AVGO US 06/18/26 P270 Equity</stp>
        <stp>DELTA_MID_RT</stp>
        <tr r="W225" s="89"/>
      </tp>
      <tp>
        <v>6.9542000000000002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Data...3567639012</v>
        <stp/>
        <stp>BDP|630836919334916088</stp>
        <tr r="X10" s="338"/>
      </tp>
      <tp t="s">
        <v>#N/A N/A</v>
        <stp/>
        <stp>BDP|894652130481491978</stp>
        <tr r="AC11" s="2"/>
        <tr r="AC10" s="2"/>
      </tp>
      <tp t="s">
        <v>#N/A Requesting Data...3349228679</v>
        <stp/>
        <stp>BDP|270487313100359854</stp>
        <tr r="V17" s="338"/>
      </tp>
      <tp>
        <v>692.73</v>
        <stp/>
        <stp>BDP|13189918054944550299|22</stp>
        <stp>SPY Equity</stp>
        <stp>LAST_PRICE</stp>
        <tr r="X3" s="1"/>
      </tp>
      <tp>
        <v>-6.5404266119003296E-2</v>
        <stp/>
        <stp>BDP|3178362372691625299|22</stp>
        <stp>MRVL US 03/20/26 P80 Equity</stp>
        <stp>theta_mid_rt</stp>
        <tr r="AN14" s="2"/>
      </tp>
      <tp>
        <v>110.13</v>
        <stp/>
        <stp>BDP|11864909502198122066|22</stp>
        <stp>W US Equity</stp>
        <stp>LAST_PRICE</stp>
        <tr r="S40" s="89"/>
      </tp>
      <tp t="s">
        <v>#N/A Real Time</v>
        <stp/>
        <stp>BDP|5899528920965095514|22</stp>
        <stp>QQQ US 01/15/26 P622 Equity</stp>
        <stp>QUOTED_CURRENCY_REALTIME</stp>
        <tr r="F69" s="89"/>
      </tp>
      <tp>
        <v>343.07</v>
        <stp/>
        <stp>BDP|14332915070053504036|22</stp>
        <stp>SOXX Equity</stp>
        <stp>LAST PRICE</stp>
        <tr r="I13" s="338"/>
      </tp>
      <tp>
        <v>0.01</v>
        <stp/>
        <stp>BDP|3663508821472831217|22</stp>
        <stp>QQQ US 01/16/26 C633 Equity</stp>
        <stp>ask</stp>
        <tr r="L204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Data...4079123096</v>
        <stp/>
        <stp>BDP|127253274771311898</stp>
        <tr r="AF22" s="1"/>
        <tr r="AG11" s="338"/>
      </tp>
      <tp t="b">
        <v>0</v>
        <stp/>
        <stp>BDH|658561399815451565</stp>
        <tr r="AS9" s="338"/>
      </tp>
      <tp t="s">
        <v>#N/A Requesting Data...4018744375</v>
        <stp/>
        <stp>BDP|827675090525898604</stp>
        <tr r="AF41" s="338"/>
        <tr r="AF42" s="338"/>
      </tp>
      <tp t="s">
        <v>#N/A Requesting Data...3899355370</v>
        <stp/>
        <stp>BDP|782705090920373269</stp>
        <tr r="D129" s="89"/>
      </tp>
      <tp t="s">
        <v>#N/A Requesting Data...3425217235</v>
        <stp/>
        <stp>BDP|404252579678701218</stp>
        <tr r="T12" s="2"/>
      </tp>
      <tp t="s">
        <v>#N/A Requesting Data...2947594586</v>
        <stp/>
        <stp>BDP|747191926384069867</stp>
        <tr r="L15" s="252"/>
        <tr r="L15" s="252"/>
      </tp>
      <tp t="s">
        <v>#N/A Requesting Data...3896201230</v>
        <stp/>
        <stp>BDP|250232642990829947</stp>
        <tr r="D8" s="2"/>
      </tp>
      <tp t="s">
        <v>#N/A Requesting Data...3617123821</v>
        <stp/>
        <stp>BDP|176347289857022339</stp>
        <tr r="S17" s="252"/>
      </tp>
      <tp t="s">
        <v>#N/A Requesting Data...3858930608</v>
        <stp/>
        <stp>BDP|278537766618564487</stp>
        <tr r="U17" s="338"/>
      </tp>
      <tp t="s">
        <v>#N/A Requesting Data...3139299194</v>
        <stp/>
        <stp>BDP|985943877960620174</stp>
        <tr r="V7" s="89"/>
      </tp>
      <tp t="s">
        <v>#N/A Requesting Data...3729013930</v>
        <stp/>
        <stp>BDP|987924063845804559</stp>
        <tr r="E4" s="1"/>
      </tp>
      <tp t="s">
        <v>#N/A Requesting Data...4095116542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672.36</v>
        <stp/>
        <stp>BDP|3305523752982270676|22</stp>
        <stp>META EQUITY</stp>
        <stp>LAST_PRICE</stp>
        <tr r="C9" s="1"/>
      </tp>
      <tp>
        <v>-4.4060000218451023E-3</v>
        <stp/>
        <stp>BDP|4448489992068111945|22</stp>
        <stp>AMAT US 01/23/26 P290 Equity</stp>
        <stp>DELTA_MID_RT</stp>
        <tr r="W55" s="89"/>
      </tp>
      <tp t="s">
        <v>USD</v>
        <stp/>
        <stp>BDP|8829835796450133949|22</stp>
        <stp>QQQ US 01/26/26 C630 Equity</stp>
        <stp>QUOTED_CURRENCY_REALTIME</stp>
        <tr r="F211" s="89"/>
      </tp>
      <tp t="s">
        <v>USD</v>
        <stp/>
        <stp>BDP|6806013304740269654|22</stp>
        <stp>QQQ US 02/06/26 C630 Equity</stp>
        <stp>QUOTED_CURRENCY_REALTIME</stp>
        <tr r="F33" s="89"/>
      </tp>
      <tp>
        <v>-1.4140000566840172E-3</v>
        <stp/>
        <stp>BDP|11616585170366627845|22</stp>
        <stp>ASML US 01/23/26 P1200 Equity</stp>
        <stp>DELTA_MID_RT</stp>
        <tr r="W49" s="89"/>
      </tp>
      <tp>
        <v>199.24</v>
        <stp/>
        <stp>BDP|10381440186149181728|22</stp>
        <stp>RSP Equity</stp>
        <stp>LAST_PRICE</stp>
        <tr r="I15" s="1"/>
      </tp>
      <tp t="s">
        <v>#N/A Requesting Data...4155179646</v>
        <stp/>
        <stp>BDP|887987616640012698</stp>
        <tr r="AB12" s="1"/>
      </tp>
      <tp t="s">
        <v>#N/A Requesting Data...3565099463</v>
        <stp/>
        <stp>BDP|364330932177526925</stp>
        <tr r="S37" s="338"/>
      </tp>
      <tp t="s">
        <v>#N/A Requesting Data...4289506669</v>
        <stp/>
        <stp>BDP|308105164449948089</stp>
        <tr r="K27" s="1"/>
      </tp>
      <tp t="s">
        <v>#N/A Requesting Data...4120148644</v>
        <stp/>
        <stp>BDP|629699598025628435</stp>
        <tr r="D82" s="89"/>
      </tp>
      <tp>
        <v>33.700000000000003</v>
        <stp/>
        <stp>BDP|18329643987132492211|22</stp>
        <stp>ASHR Equity</stp>
        <stp>LAST_PRICE</stp>
        <tr r="I14" s="1"/>
        <tr r="H6" s="252"/>
        <tr r="H6" s="252"/>
      </tp>
      <tp t="s">
        <v>USD</v>
        <stp/>
        <stp>BDP|6365657359185998135|22</stp>
        <stp>QQQ US 01/26/26 P615 Equity</stp>
        <stp>QUOTED_CURRENCY_REALTIME</stp>
        <tr r="F213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Data...3053000129</v>
        <stp/>
        <stp>BDP|865618064141370815</stp>
        <tr r="N12" s="252"/>
        <tr r="N12" s="252"/>
      </tp>
      <tp t="s">
        <v>#N/A Requesting Data...3796908495</v>
        <stp/>
        <stp>BDP|692490859580483882</stp>
        <tr r="AA211" s="89"/>
        <tr r="Z211" s="89"/>
      </tp>
      <tp t="s">
        <v>#N/A Requesting Data...2997648533</v>
        <stp/>
        <stp>BDP|757266498405781787</stp>
        <tr r="X3" s="1"/>
      </tp>
      <tp t="s">
        <v>#N/A Requesting Data...3335746053</v>
        <stp/>
        <stp>BDP|321567796020124549</stp>
        <tr r="F43" s="446"/>
      </tp>
      <tp t="s">
        <v>#N/A Requesting Data...3546363039</v>
        <stp/>
        <stp>BDP|748281786590893378</stp>
        <tr r="Z160" s="89"/>
        <tr r="AA160" s="89"/>
      </tp>
      <tp t="s">
        <v>#N/A Requesting Data...3488484675</v>
        <stp/>
        <stp>BDP|124420997601084528</stp>
        <tr r="Q15" s="338"/>
        <tr r="Q39" s="338"/>
      </tp>
      <tp t="s">
        <v>#N/A Requesting Data...3424765934</v>
        <stp/>
        <stp>BDP|854587986095168176</stp>
        <tr r="T213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42.87</v>
        <stp/>
        <stp>BDP|16955313478604069014|22</stp>
        <stp>XLU Equity</stp>
        <stp>LAST PRICE</stp>
        <tr r="I42" s="338"/>
      </tp>
      <tp t="s">
        <v>#N/A Requesting Data...4258330948</v>
        <stp/>
        <stp>BDP|938081193165986446</stp>
        <tr r="U46" s="338"/>
      </tp>
      <tp>
        <v>107.48</v>
        <stp/>
        <stp>BDP|12455594618882884319|22</stp>
        <stp>GDX Equity</stp>
        <stp>LAST_PRICE</stp>
        <tr r="I17" s="1"/>
        <tr r="I16" s="1"/>
      </tp>
      <tp t="s">
        <v>#N/A Requesting Data...3555436120</v>
        <stp/>
        <stp>BDP|345620769730348823</stp>
        <tr r="G20" s="446"/>
      </tp>
      <tp t="s">
        <v>#N/A Requesting Data...3031918261</v>
        <stp/>
        <stp>BDP|493910466490440711</stp>
        <tr r="T15" s="2"/>
        <tr r="O63" s="89"/>
      </tp>
      <tp t="s">
        <v>#N/A Requesting Data...3977078854</v>
        <stp/>
        <stp>BDP|771655587750732627</stp>
        <tr r="AI23" s="1"/>
      </tp>
      <tp t="s">
        <v>USD</v>
        <stp/>
        <stp>BDP|5876029209403858680|22</stp>
        <stp>TSM US 06/18/26 C340 Equity</stp>
        <stp>QUOTED_CURRENCY_REALTIME</stp>
        <tr r="G23" s="2"/>
        <tr r="F13" s="89"/>
      </tp>
      <tp>
        <v>0.54981440305709839</v>
        <stp/>
        <stp>BDP|7419791684701278760|22</stp>
        <stp>MSFT US 07/17/26 C475 Equity</stp>
        <stp>DELTA_MID_RT</stp>
        <tr r="AF17" s="2"/>
        <tr r="AF16" s="2"/>
      </tp>
      <tp>
        <v>-2.7517000213265419E-2</v>
        <stp/>
        <stp>BDP|1593024835823764098|22</stp>
        <stp>AMAT US 01/23/26 P280 Equity</stp>
        <stp>DELTA_MID_RT</stp>
        <tr r="W56" s="89"/>
      </tp>
      <tp>
        <v>98.81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Data...4092636708</v>
        <stp/>
        <stp>BDP|410104351027872819</stp>
        <tr r="AB26" s="1"/>
      </tp>
      <tp t="s">
        <v>#N/A Requesting Data...3755930992</v>
        <stp/>
        <stp>BDP|764078797243992127</stp>
        <tr r="D56" s="89"/>
      </tp>
      <tp t="s">
        <v>#N/A Requesting Data...3433019181</v>
        <stp/>
        <stp>BDP|237201852408926413</stp>
        <tr r="U35" s="338"/>
      </tp>
      <tp t="s">
        <v>#N/A Requesting Data...3820922640</v>
        <stp/>
        <stp>BDP|410647168382881996</stp>
        <tr r="V54" s="338"/>
      </tp>
      <tp t="s">
        <v>#N/A Requesting Data...3073313502</v>
        <stp/>
        <stp>BDP|981114986491900309</stp>
        <tr r="F8" s="252"/>
      </tp>
      <tp t="s">
        <v>#N/A Requesting Data...3137829309</v>
        <stp/>
        <stp>BDP|158907810677526447</stp>
        <tr r="D22" s="2"/>
        <tr r="C197" s="89"/>
      </tp>
      <tp t="s">
        <v>#N/A Requesting Data...3059888474</v>
        <stp/>
        <stp>BDP|612746655750406928</stp>
        <tr r="S16" s="338"/>
        <tr r="S38" s="338"/>
      </tp>
      <tp>
        <v>6.16</v>
        <stp/>
        <stp>BDP|1011729967632150326|22</stp>
        <stp>QQQ US 02/06/26 C630 Equity</stp>
        <stp>bid</stp>
        <tr r="K33" s="89"/>
      </tp>
      <tp t="s">
        <v>#N/A Real Time</v>
        <stp/>
        <stp>BDP|9931751547643048436|22</stp>
        <stp>4OK5C 21300 Index</stp>
        <stp>bid</stp>
        <tr r="K115" s="89"/>
      </tp>
      <tp>
        <v>324.85000000000002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81.77</v>
        <stp/>
        <stp>BDP|15428137786848034213|22</stp>
        <stp>MRVL Equity</stp>
        <stp>LAST PRICE</stp>
        <tr r="G37" s="338"/>
      </tp>
      <tp>
        <v>39.450000000000003</v>
        <stp/>
        <stp>BDP|15189910301226923788|22</stp>
        <stp>FXI Equity</stp>
        <stp>LAST_PRICE</stp>
        <tr r="H9" s="252"/>
        <tr r="H9" s="252"/>
      </tp>
      <tp>
        <v>1.0750485584139824E-2</v>
        <stp/>
        <stp>BDP|15371550534426313083|22</stp>
        <stp>QQQ US 01/26/26 C630 Equity</stp>
        <stp>DELTA_MID_RT</stp>
        <tr r="W211" s="89"/>
      </tp>
      <tp>
        <v>81.77</v>
        <stp/>
        <stp>BDP|14735743812855208855|22</stp>
        <stp>MRVL Equity</stp>
        <stp>LAST_PRICE</stp>
        <tr r="I36" s="1"/>
      </tp>
      <tp>
        <v>4.5999999999999996</v>
        <stp/>
        <stp>BDP|2655392201055061554|22</stp>
        <stp>INTC US 07/17/26 P40 Equity</stp>
        <stp>ask</stp>
        <tr r="Q22" s="2"/>
        <tr r="L197" s="89"/>
      </tp>
      <tp>
        <v>19.45</v>
        <stp/>
        <stp>BDP|2947614605786602114|22</stp>
        <stp>GDX US 09/18/26 C105 Equity</stp>
        <stp>ask</stp>
        <tr r="Q7" s="2"/>
      </tp>
      <tp>
        <v>186.47</v>
        <stp/>
        <stp>BDP|18083567340910719726|22</stp>
        <stp>NVDA Equity</stp>
        <stp>LAST PRICE</stp>
        <tr r="G14" s="338"/>
        <tr r="G35" s="338"/>
      </tp>
      <tp>
        <v>6.22</v>
        <stp/>
        <stp>BDP|1603579272794795324|22</stp>
        <stp>MRVL US 03/20/26 P80 Equity</stp>
        <stp>mid</stp>
        <tr r="L14" s="2"/>
      </tp>
      <tp>
        <v>6.6</v>
        <stp/>
        <stp>BDP|3218463650849211028|22</stp>
        <stp>COPX US 04/17/26 C95 Equity</stp>
        <stp>bid</stp>
        <tr r="K34" s="89"/>
      </tp>
      <tp t="s">
        <v>#N/A N/A</v>
        <stp/>
        <stp>BDP|7310662461570855423|22</stp>
        <stp>QQQ US 01/26/26 P615 Equity</stp>
        <stp>bid</stp>
        <tr r="K213" s="89"/>
      </tp>
      <tp>
        <v>1.01</v>
        <stp/>
        <stp>BDP|7681200647090738046|22</stp>
        <stp>QQQ US 01/16/26 P622 Equity</stp>
        <stp>bid</stp>
        <tr r="K205" s="89"/>
      </tp>
      <tp t="s">
        <v>#N/A Real Time</v>
        <stp/>
        <stp>BDP|8340553546063687451|22</stp>
        <stp>4OK5C 21650 Index</stp>
        <stp>DELTA_MID_RT</stp>
        <tr r="W116" s="89"/>
      </tp>
      <tp>
        <v>2.35</v>
        <stp/>
        <stp>BDP|3366296364494691481|22</stp>
        <stp>INTC US 07/17/26 C60 Equity</stp>
        <stp>mid</stp>
        <tr r="L20" s="2"/>
      </tp>
      <tp>
        <v>186.47</v>
        <stp/>
        <stp>BDP|10556089213855348182|22</stp>
        <stp>NVDA Equity</stp>
        <stp>LAST_PRICE</stp>
        <tr r="I35" s="1"/>
      </tp>
      <tp t="s">
        <v>USD</v>
        <stp/>
        <stp>BDP|4232577079069091557|22</stp>
        <stp>GDX US 09/18/26 C105 Equity</stp>
        <stp>QUOTED_CURRENCY_REALTIME</stp>
        <tr r="G7" s="2"/>
      </tp>
      <tp>
        <v>0.44454625248908997</v>
        <stp/>
        <stp>BDP|3367401678798717289|22</stp>
        <stp>W US 05/15/26 C125 Equity</stp>
        <stp>DELTA_MID_RT</stp>
        <tr r="W40" s="89"/>
      </tp>
      <tp>
        <v>105.5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53.41</v>
        <stp/>
        <stp>BDP|11210988692762470107|22</stp>
        <stp>XLF Equity</stp>
        <stp>LAST_PRICE</stp>
        <tr r="I39" s="1"/>
      </tp>
      <tp t="s">
        <v>#N/A N/A</v>
        <stp/>
        <stp>BDP|12492272964442043253|22</stp>
        <stp>QQQ US 01/16/26 C635 Equity</stp>
        <stp>DELTA_MID_RT</stp>
        <tr r="W203" s="89"/>
      </tp>
      <tp>
        <v>255.41</v>
        <stp/>
        <stp>BDP|17831911536214693857|22</stp>
        <stp>AAPL Equity</stp>
        <stp>LAST_PRICE</stp>
        <tr r="I22" s="1"/>
      </tp>
      <tp t="s">
        <v>#N/A Real Time</v>
        <stp/>
        <stp>BDP|7909497283026172618|22</stp>
        <stp>4OK5C 21300 Index</stp>
        <stp>DELTA_MID_RT</stp>
        <tr r="W115" s="89"/>
      </tp>
      <tp>
        <v>42.49</v>
        <stp/>
        <stp>BDP|10275830506276374754|22</stp>
        <stp>INTC Equity</stp>
        <stp>LAST_PRICE</stp>
        <tr r="I33" s="1"/>
      </tp>
      <tp>
        <v>-1.0278889909386635E-2</v>
        <stp/>
        <stp>BDP|5598166511208398697|22</stp>
        <stp>ASHR US 02/20/26 C35 Equity</stp>
        <stp>theta_mid_rt</stp>
        <tr r="AN5" s="2"/>
      </tp>
      <tp>
        <v>171.37</v>
        <stp/>
        <stp>BDP|16076910053857732698|22</stp>
        <stp>BABA Equity</stp>
        <stp>LAST_PRICE</stp>
        <tr r="I12" s="1"/>
      </tp>
      <tp>
        <v>4.57</v>
        <stp/>
        <stp>BDP|2917703585590040909|22</stp>
        <stp>INTC US 07/17/26 P40 Equity</stp>
        <stp>mid</stp>
        <tr r="L22" s="2"/>
      </tp>
      <tp>
        <v>4.55</v>
        <stp/>
        <stp>BDP|6431933654204043778|22</stp>
        <stp>INTC US 07/17/26 P40 Equity</stp>
        <stp>bid</stp>
        <tr r="P22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70.400000000000006</v>
        <stp/>
        <stp>BDP|16675559367525942243|22</stp>
        <stp>TTE Equity</stp>
        <stp>LAST PRICE</stp>
        <tr r="I29" s="338"/>
      </tp>
      <tp>
        <v>0.53251582384109497</v>
        <stp/>
        <stp>BDP|16687792746206833445|22</stp>
        <stp>TSM US 06/18/26 C340 Equity</stp>
        <stp>DELTA_MID_RT</stp>
        <tr r="AF23" s="2"/>
        <tr r="W13" s="89"/>
      </tp>
      <tp>
        <v>4132.6049999999996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107</v>
        <stp/>
        <stp>BDP|11576966289528241643|22</stp>
        <stp>HOOD Equity</stp>
        <stp>LAST PRICE</stp>
        <tr r="L5" s="446"/>
        <tr r="L6" s="446"/>
      </tp>
      <tp>
        <v>0.54400384426116943</v>
        <stp/>
        <stp>BDP|15150595801257451367|22</stp>
        <stp>TSM US 07/17/26 C340 Equity</stp>
        <stp>DELTA_MID_RT</stp>
        <tr r="W19" s="89"/>
      </tp>
      <tp>
        <v>332.45</v>
        <stp/>
        <stp>BDP|13530810646219131800|22</stp>
        <stp>LITE Equity</stp>
        <stp>LAST_PRICE</stp>
        <tr r="I28" s="1"/>
      </tp>
      <tp t="s">
        <v>#N/A N/A</v>
        <stp/>
        <stp>BDP|4848892117196030665|22</stp>
        <stp>QQQ US 01/21/26 P616 Equity</stp>
        <stp>ask</stp>
        <tr r="L7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280.70999999999998</v>
        <stp/>
        <stp>BDP|13659659385475398852|22</stp>
        <stp>ACN Equity</stp>
        <stp>LAST PRICE</stp>
        <tr r="L8" s="446"/>
      </tp>
      <tp>
        <v>6.3</v>
        <stp/>
        <stp>BDP|8734482328934403813|22</stp>
        <stp>MRVL US 03/20/26 P80 Equity</stp>
        <stp>ask</stp>
        <tr r="Q14" s="2"/>
        <tr r="L62" s="89"/>
      </tp>
      <tp>
        <v>1.63</v>
        <stp/>
        <stp>BDP|8993060904794494053|22</stp>
        <stp>NFLX US 03/20/26 P80 Equity</stp>
        <stp>bid</stp>
        <tr r="K188" s="89"/>
      </tp>
      <tp>
        <v>1.53</v>
        <stp/>
        <stp>BDP|7163798778722749172|22</stp>
        <stp>QQQ US 01/16/26 P622 Equity</stp>
        <stp>ask</stp>
        <tr r="L205" s="89"/>
      </tp>
      <tp>
        <v>14.07</v>
        <stp/>
        <stp>BDP|5153940913904664797|22</stp>
        <stp>GDX US 09/18/26 C115 Equity</stp>
        <stp>mid</stp>
        <tr r="L8" s="2"/>
      </tp>
      <tp>
        <v>324.85000000000002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-9.7929000854492188E-2</v>
        <stp/>
        <stp>BDP|13660853806395269308|22</stp>
        <stp>QQQ US 01/21/26 P616 Equity</stp>
        <stp>DELTA_MID_RT</stp>
        <tr r="W76" s="89"/>
      </tp>
      <tp>
        <v>4.05</v>
        <stp/>
        <stp>BDP|9317551536395983431|22</stp>
        <stp>INTC US 07/17/26 C50 Equity</stp>
        <stp>bid</stp>
        <tr r="P21" s="2"/>
        <tr r="K196" s="89"/>
      </tp>
      <tp>
        <v>88.08</v>
        <stp/>
        <stp>BDP|3517880411788471110|22</stp>
        <stp>COPX EQUITY</stp>
        <stp>LAST_PRICE</stp>
        <tr r="I9" s="1"/>
      </tp>
      <tp>
        <v>2.2400000000000002</v>
        <stp/>
        <stp>BDP|8500678922565396001|22</stp>
        <stp>INTC US 07/17/26 C60 Equity</stp>
        <stp>bid</stp>
        <tr r="P20" s="2"/>
        <tr r="K195" s="89"/>
      </tp>
      <tp>
        <v>0.58268070220947266</v>
        <stp/>
        <stp>BDP|1115882164603689622|22</stp>
        <stp>META US 07/17/26 C670 Equity</stp>
        <stp>DELTA_MID_RT</stp>
        <tr r="AF11" s="2"/>
      </tp>
      <tp>
        <v>18.850000000000001</v>
        <stp/>
        <stp>BDP|9235179415749059917|22</stp>
        <stp>GDX US 09/18/26 C105 Equity</stp>
        <stp>mid</stp>
        <tr r="L7" s="2"/>
      </tp>
      <tp>
        <v>0.3084740936756134</v>
        <stp/>
        <stp>BDP|9935221880457496648|22</stp>
        <stp>META US 04/17/26 C750 Equity</stp>
        <stp>DELTA_MID_RT</stp>
        <tr r="W169" s="89"/>
      </tp>
      <tp>
        <v>5107.28</v>
        <stp/>
        <stp>BDP|13402169581729532440|22</stp>
        <stp>BKNG Equity</stp>
        <stp>LAST PRICE</stp>
        <tr r="G12" s="338"/>
      </tp>
      <tp t="s">
        <v>#N/A N/A</v>
        <stp/>
        <stp>BDP|15758321286058819892|22</stp>
        <stp>QQQ US 01/16/26 P622 Equity</stp>
        <stp>DELTA_MID_RT</stp>
        <tr r="W205" s="89"/>
      </tp>
      <tp>
        <v>0.35169333219528198</v>
        <stp/>
        <stp>BDP|17478839230977938286|22</stp>
        <stp>TSM US 06/18/26 C380 Equity</stp>
        <stp>DELTA_MID_RT</stp>
        <tr r="AF24" s="2"/>
        <tr r="W14" s="89"/>
      </tp>
      <tp>
        <v>0.35720193386077881</v>
        <stp/>
        <stp>BDP|4089992193290453877|22</stp>
        <stp>LITE US 03/20/26 C420 Equity</stp>
        <stp>DELTA_MID_RT</stp>
        <tr r="AF9" s="2"/>
        <tr r="W8" s="89"/>
      </tp>
      <tp>
        <v>6.25</v>
        <stp/>
        <stp>BDP|4874141046161399317|22</stp>
        <stp>NFLX US 03/20/26 P90 Equity</stp>
        <stp>bid</stp>
        <tr r="K187" s="89"/>
      </tp>
      <tp t="s">
        <v>USD</v>
        <stp/>
        <stp>BDP|6580497242376158383|22</stp>
        <stp>GDX US 09/18/26 C115 Equity</stp>
        <stp>QUOTED_CURRENCY_REALTIME</stp>
        <tr r="G8" s="2"/>
      </tp>
      <tp>
        <v>229.4</v>
        <stp/>
        <stp>BDP|18434337130911834676|22</stp>
        <stp>CRM Equity</stp>
        <stp>LAST PRICE</stp>
        <tr r="G31" s="338"/>
        <tr r="G32" s="338"/>
        <tr r="L9" s="446"/>
      </tp>
      <tp>
        <v>332.71</v>
        <stp/>
        <stp>BDP|13113113388917834281|22</stp>
        <stp>TSM Equity</stp>
        <stp>LAST_PRICE</stp>
        <tr r="I32" s="1"/>
      </tp>
      <tp>
        <v>-4.7578779049217701E-3</v>
        <stp/>
        <stp>BDP|14052482222999807241|22</stp>
        <stp>QQQ US 01/26/26 P615 Equity</stp>
        <stp>DELTA_MID_RT</stp>
        <tr r="W213" s="89"/>
      </tp>
      <tp>
        <v>0.42999175190925598</v>
        <stp/>
        <stp>BDP|14357491192370445062|22</stp>
        <stp>QQQ US 02/06/26 C630 Equity</stp>
        <stp>DELTA_MID_RT</stp>
        <tr r="W33" s="89"/>
      </tp>
      <tp t="s">
        <v>#N/A Real Time</v>
        <stp/>
        <stp>BDP|16744070427508501583|22</stp>
        <stp>QQQ US 01/15/26 P622 Equity</stp>
        <stp>DELTA_MID_RT</stp>
        <tr r="W69" s="89"/>
      </tp>
      <tp>
        <v>333.59</v>
        <stp/>
        <stp>BDP|16760158171648826820|22</stp>
        <stp>GOOG Equity</stp>
        <stp>LAST_PRICE</stp>
        <tr r="I18" s="1"/>
        <tr r="I19" s="1"/>
      </tp>
      <tp>
        <v>11.2</v>
        <stp/>
        <stp>BDP|4235437341860435959|22</stp>
        <stp>COPX US 07/17/26 C95 Equity</stp>
        <stp>ask</stp>
        <tr r="L27" s="89"/>
      </tp>
      <tp>
        <v>0.22</v>
        <stp/>
        <stp>BDP|9704315770915911503|22</stp>
        <stp>ASHR US 02/20/26 C35 Equity</stp>
        <stp>bid</stp>
        <tr r="P5" s="2"/>
      </tp>
      <tp>
        <v>-0.19556093215942383</v>
        <stp/>
        <stp>BDP|4306646786803793992|22</stp>
        <stp>META US 04/17/26 P590 Equity</stp>
        <stp>DELTA_MID_RT</stp>
        <tr r="W171" s="89"/>
      </tp>
      <tp>
        <v>4.71</v>
        <stp/>
        <stp>BDP|3339665186797408386|22</stp>
        <stp>QQQ US 02/06/26 P616 Equity</stp>
        <stp>ask</stp>
        <tr r="L81" s="89"/>
      </tp>
      <tp>
        <v>13.25</v>
        <stp/>
        <stp>BDP|7029302373160148016|22</stp>
        <stp>GDX US 09/18/26 C115 Equity</stp>
        <stp>bid</stp>
        <tr r="P8" s="2"/>
      </tp>
      <tp t="s">
        <v>#N/A Real Time</v>
        <stp/>
        <stp>BDP|3703572431849033805|22</stp>
        <stp>3OF5C    22500 Index</stp>
        <stp>DELTA_MID_RT</stp>
        <tr r="W109" s="89"/>
      </tp>
      <tp>
        <v>23.58</v>
        <stp/>
        <stp>BDP|12167170999494993919|22</stp>
        <stp>KHC Equity</stp>
        <stp>LAST_PRICE</stp>
        <tr r="I40" s="1"/>
      </tp>
      <tp>
        <v>5741</v>
        <stp/>
        <stp>BDP|18259571086573127790|22</stp>
        <stp>HCTA Index</stp>
        <stp>LAST PRICE</stp>
        <tr r="L12" s="446"/>
      </tp>
      <tp>
        <v>2.42</v>
        <stp/>
        <stp>BDP|5295851568697877083|22</stp>
        <stp>MRVL US 03/20/26 P70 Equity</stp>
        <stp>bid</stp>
        <tr r="P15" s="2"/>
        <tr r="K63" s="89"/>
      </tp>
      <tp t="s">
        <v>#N/A N/A</v>
        <stp/>
        <stp>BDP|6711845542581076228|22</stp>
        <stp>QQQ US 01/23/26 P615 Equity</stp>
        <stp>bid</stp>
        <tr r="K75" s="89"/>
      </tp>
      <tp>
        <v>0.26</v>
        <stp/>
        <stp>BDP|8465872380432047250|22</stp>
        <stp>ASHR US 02/20/26 C35 Equity</stp>
        <stp>ask</stp>
        <tr r="Q5" s="2"/>
      </tp>
      <tp>
        <v>332.71</v>
        <stp/>
        <stp>BDP|18226792745994375460|22</stp>
        <stp>TSM Equity</stp>
        <stp>LAST PRICE</stp>
        <tr r="G13" s="338"/>
        <tr r="G34" s="338"/>
      </tp>
      <tp>
        <v>-0.317310631275177</v>
        <stp/>
        <stp>BDP|17237006109919611425|22</stp>
        <stp>QQQ US 02/06/26 P616 Equity</stp>
        <stp>DELTA_MID_RT</stp>
        <tr r="W81" s="89"/>
      </tp>
      <tp t="s">
        <v>#N/A N/A</v>
        <stp/>
        <stp>BDP|11292885437955738515|22</stp>
        <stp>QQQ US 01/16/26 C633 Equity</stp>
        <stp>DELTA_MID_RT</stp>
        <tr r="W204" s="89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0.37642312049865723</v>
        <stp/>
        <stp>BDP|18231477560940764707|22</stp>
        <stp>TSM US 07/17/26 C380 Equity</stp>
        <stp>DELTA_MID_RT</stp>
        <tr r="W20" s="89"/>
      </tp>
      <tp>
        <v>12.8</v>
        <stp/>
        <stp>BDP|8402589100676091799|22</stp>
        <stp>COPX US 07/17/26 C85 Equity</stp>
        <stp>bid</stp>
        <tr r="K26" s="89"/>
      </tp>
      <tp>
        <v>4706.96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P&amp;L'!$B$12:$B$41</c:f>
              <c:strCache>
                <c:ptCount val="30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RSP</c:v>
                </c:pt>
                <c:pt idx="4">
                  <c:v>GDX</c:v>
                </c:pt>
                <c:pt idx="5">
                  <c:v>GDX</c:v>
                </c:pt>
                <c:pt idx="6">
                  <c:v>GOOG</c:v>
                </c:pt>
                <c:pt idx="7">
                  <c:v>GOOG</c:v>
                </c:pt>
                <c:pt idx="8">
                  <c:v>META</c:v>
                </c:pt>
                <c:pt idx="9">
                  <c:v>MSFT</c:v>
                </c:pt>
                <c:pt idx="10">
                  <c:v>AAPL</c:v>
                </c:pt>
                <c:pt idx="11">
                  <c:v>AMZN</c:v>
                </c:pt>
                <c:pt idx="12">
                  <c:v>META</c:v>
                </c:pt>
                <c:pt idx="13">
                  <c:v>MSFT</c:v>
                </c:pt>
                <c:pt idx="14">
                  <c:v>000660 KP</c:v>
                </c:pt>
                <c:pt idx="15">
                  <c:v>EWY</c:v>
                </c:pt>
                <c:pt idx="16">
                  <c:v>LITE</c:v>
                </c:pt>
                <c:pt idx="17">
                  <c:v>CSCO</c:v>
                </c:pt>
                <c:pt idx="18">
                  <c:v>AVGO</c:v>
                </c:pt>
                <c:pt idx="19">
                  <c:v>AVGO</c:v>
                </c:pt>
                <c:pt idx="20">
                  <c:v>TSM</c:v>
                </c:pt>
                <c:pt idx="21">
                  <c:v>INTC</c:v>
                </c:pt>
                <c:pt idx="22">
                  <c:v>AMD</c:v>
                </c:pt>
                <c:pt idx="23">
                  <c:v>NVDA</c:v>
                </c:pt>
                <c:pt idx="24">
                  <c:v>MRVL</c:v>
                </c:pt>
                <c:pt idx="25">
                  <c:v>RIOT</c:v>
                </c:pt>
                <c:pt idx="26">
                  <c:v>RIOT</c:v>
                </c:pt>
                <c:pt idx="27">
                  <c:v>XLF</c:v>
                </c:pt>
                <c:pt idx="28">
                  <c:v>KHC</c:v>
                </c:pt>
                <c:pt idx="29">
                  <c:v>XLP</c:v>
                </c:pt>
              </c:strCache>
            </c:strRef>
          </c:cat>
          <c:val>
            <c:numRef>
              <c:f>'Master P&amp;L'!$J$12:$J$41</c:f>
              <c:numCache>
                <c:formatCode>0.00%</c:formatCode>
                <c:ptCount val="30"/>
                <c:pt idx="0">
                  <c:v>-1.0737170236102211E-2</c:v>
                </c:pt>
                <c:pt idx="1">
                  <c:v>-3.3201189296332867E-2</c:v>
                </c:pt>
                <c:pt idx="2">
                  <c:v>2.6777744718835539E-3</c:v>
                </c:pt>
                <c:pt idx="3">
                  <c:v>2.3645419328872652E-3</c:v>
                </c:pt>
                <c:pt idx="4">
                  <c:v>4.2982620071014832E-3</c:v>
                </c:pt>
                <c:pt idx="5">
                  <c:v>-1.0950584337903746E-2</c:v>
                </c:pt>
                <c:pt idx="6">
                  <c:v>1.571111043449136E-2</c:v>
                </c:pt>
                <c:pt idx="7">
                  <c:v>1.087878787878771E-2</c:v>
                </c:pt>
                <c:pt idx="8">
                  <c:v>-1.4702606371129745E-3</c:v>
                </c:pt>
                <c:pt idx="9">
                  <c:v>-2.9892514151244054E-3</c:v>
                </c:pt>
                <c:pt idx="10">
                  <c:v>1.329048639212882E-2</c:v>
                </c:pt>
                <c:pt idx="11">
                  <c:v>-3.0941629034956231E-3</c:v>
                </c:pt>
                <c:pt idx="12">
                  <c:v>2.0644847896047258E-2</c:v>
                </c:pt>
                <c:pt idx="13">
                  <c:v>9.2928425796758862E-3</c:v>
                </c:pt>
                <c:pt idx="14">
                  <c:v>-4.0417209908735319E-2</c:v>
                </c:pt>
                <c:pt idx="15">
                  <c:v>-5.5098753920488353E-3</c:v>
                </c:pt>
                <c:pt idx="16">
                  <c:v>-1.9870868834576561E-2</c:v>
                </c:pt>
                <c:pt idx="17">
                  <c:v>-2.5963910164861215E-4</c:v>
                </c:pt>
                <c:pt idx="18">
                  <c:v>1.4997656616153821E-2</c:v>
                </c:pt>
                <c:pt idx="19">
                  <c:v>5.2296076247060341E-3</c:v>
                </c:pt>
                <c:pt idx="20">
                  <c:v>-6.4502642816616218E-3</c:v>
                </c:pt>
                <c:pt idx="21">
                  <c:v>-5.7244286665187438E-2</c:v>
                </c:pt>
                <c:pt idx="22">
                  <c:v>-3.252079482439918E-2</c:v>
                </c:pt>
                <c:pt idx="23">
                  <c:v>-6.3942025896519539E-3</c:v>
                </c:pt>
                <c:pt idx="24">
                  <c:v>1.9194814907141922E-2</c:v>
                </c:pt>
                <c:pt idx="25">
                  <c:v>-6.0763888888888951E-2</c:v>
                </c:pt>
                <c:pt idx="26">
                  <c:v>-1.9927536231883924E-2</c:v>
                </c:pt>
                <c:pt idx="27">
                  <c:v>6.4066327491991704E-3</c:v>
                </c:pt>
                <c:pt idx="28">
                  <c:v>1.6379310344827536E-2</c:v>
                </c:pt>
                <c:pt idx="29">
                  <c:v>-1.5679652635387509E-3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190500</xdr:colOff>
      <xdr:row>9</xdr:row>
      <xdr:rowOff>83344</xdr:rowOff>
    </xdr:from>
    <xdr:to>
      <xdr:col>37</xdr:col>
      <xdr:colOff>107156</xdr:colOff>
      <xdr:row>44</xdr:row>
      <xdr:rowOff>127567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585656" y="1928813"/>
          <a:ext cx="4786313" cy="7521348"/>
        </a:xfrm>
        <a:prstGeom prst="rect">
          <a:avLst/>
        </a:prstGeom>
      </xdr:spPr>
    </xdr:pic>
    <xdr:clientData/>
  </xdr:twoCellAnchor>
  <xdr:twoCellAnchor editAs="oneCell">
    <xdr:from>
      <xdr:col>20</xdr:col>
      <xdr:colOff>726281</xdr:colOff>
      <xdr:row>11</xdr:row>
      <xdr:rowOff>23812</xdr:rowOff>
    </xdr:from>
    <xdr:to>
      <xdr:col>29</xdr:col>
      <xdr:colOff>149829</xdr:colOff>
      <xdr:row>42</xdr:row>
      <xdr:rowOff>130968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1DE855-7604-BC13-5D9B-39BB699E0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8000" y="2274093"/>
          <a:ext cx="4066985" cy="677465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0</xdr:rowOff>
    </xdr:from>
    <xdr:to>
      <xdr:col>20</xdr:col>
      <xdr:colOff>202406</xdr:colOff>
      <xdr:row>45</xdr:row>
      <xdr:rowOff>197113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87D347-6160-290C-4293-D1AD178B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94094" y="2250281"/>
          <a:ext cx="4202906" cy="74718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48.754776041664" createdVersion="8" refreshedVersion="8" minRefreshableVersion="3" recordCount="30" xr:uid="{C35D4399-4CEF-409A-AF8E-A02DC4C552E4}">
  <cacheSource type="worksheet">
    <worksheetSource name="Tabelad"/>
  </cacheSource>
  <cacheFields count="34">
    <cacheField name="Ticker" numFmtId="172">
      <sharedItems containsBlank="1" count="184">
        <s v="BABA"/>
        <s v="BIDU"/>
        <s v="ASHR"/>
        <s v="RSP"/>
        <s v="GDX"/>
        <s v="GOOG"/>
        <s v="META"/>
        <s v="MSFT"/>
        <s v="AAPL"/>
        <s v="AMZN"/>
        <s v="000660 KP"/>
        <s v="EWY"/>
        <s v="LITE"/>
        <s v="CSCO"/>
        <s v="AVGO"/>
        <s v="TSM"/>
        <s v="INTC"/>
        <s v="AMD"/>
        <s v="NVDA"/>
        <s v="MRVL"/>
        <s v="RIOT"/>
        <s v="XLF"/>
        <s v="KHC"/>
        <s v="XLP"/>
        <s v="SNDK" u="1"/>
        <s v="QQQ" u="1"/>
        <s v="1OH6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5750"/>
    </cacheField>
    <cacheField name="Price Today" numFmtId="43">
      <sharedItems containsSemiMixedTypes="0" containsString="0" containsNumber="1" minValue="16.23" maxValue="736000"/>
    </cacheField>
    <cacheField name="% Chg" numFmtId="10">
      <sharedItems containsSemiMixedTypes="0" containsString="0" containsNumber="1" minValue="-6.0763888888888951E-2" maxValue="2.0644847896047258E-2"/>
    </cacheField>
    <cacheField name="Price Yest" numFmtId="43">
      <sharedItems containsSemiMixedTypes="0" containsString="0" containsNumber="1" minValue="16.559999999999999" maxValue="767000"/>
    </cacheField>
    <cacheField name="FX" numFmtId="168">
      <sharedItems containsSemiMixedTypes="0" containsString="0" containsNumber="1" minValue="1" maxValue="1441.9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2590120" maxValue="5277426.7"/>
    </cacheField>
    <cacheField name="D1 Exp %" numFmtId="198">
      <sharedItems containsSemiMixedTypes="0" containsString="0" containsNumber="1" minValue="-1.0809443282763205E-3" maxValue="2.2024479403498754E-3"/>
    </cacheField>
    <cacheField name="D1 P&amp;L bps" numFmtId="170">
      <sharedItems containsSemiMixedTypes="0" containsString="0" containsNumber="1" minValue="-0.21533081092488968" maxValue="0.24010876323509892"/>
    </cacheField>
    <cacheField name="Options Exp USD (delta adj)" numFmtId="166">
      <sharedItems containsString="0" containsBlank="1" containsNumber="1" minValue="-595836.75579801213" maxValue="11080203.263619542"/>
    </cacheField>
    <cacheField name="Option Exp %" numFmtId="10">
      <sharedItems containsString="0" containsBlank="1" containsNumber="1" minValue="-2.4866274989514937E-4" maxValue="4.6241420760267165E-3"/>
    </cacheField>
    <cacheField name="Options P&amp;L bps" numFmtId="170">
      <sharedItems containsString="0" containsBlank="1" containsNumber="1" minValue="-0.71113660192688144" maxValue="0.67941924174704105"/>
    </cacheField>
    <cacheField name="Exp" numFmtId="166">
      <sharedItems containsSemiMixedTypes="0" containsString="0" containsNumber="1" minValue="-2590120" maxValue="12444314.263619542"/>
    </cacheField>
    <cacheField name="Exp %" numFmtId="173">
      <sharedItems containsSemiMixedTypes="0" containsString="0" containsNumber="1" minValue="-1.0809443282763205E-3" maxValue="5.1934315485566923E-3"/>
    </cacheField>
    <cacheField name="P&amp;L bps" numFmtId="170">
      <sharedItems containsSemiMixedTypes="0" containsString="0" containsNumber="1" minValue="-0.74809567321012393" maxValue="0.70783131912919062"/>
    </cacheField>
    <cacheField name="xx" numFmtId="166">
      <sharedItems containsSemiMixedTypes="0" containsString="0" containsNumber="1" minValue="890.95280281396879" maxValue="36909.490234134319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4.9999999999982" maxValue="17140.221446752552"/>
    </cacheField>
    <cacheField name="Beta Adj" numFmtId="170">
      <sharedItems containsSemiMixedTypes="0" containsString="0" containsNumber="1" minValue="-9.2579408646559391E-2" maxValue="1.265933700361771"/>
    </cacheField>
    <cacheField name="Expo Beta Adj" numFmtId="10">
      <sharedItems containsSemiMixedTypes="0" containsString="0" containsNumber="1" minValue="-1.0770055717138185E-3" maxValue="7.6551650357060278E-3"/>
    </cacheField>
    <cacheField name="Vol 10d" numFmtId="43">
      <sharedItems containsSemiMixedTypes="0" containsString="0" containsNumber="1" minValue="9.5978748143218962" maxValue="137.82045179517326"/>
    </cacheField>
    <cacheField name="Beta Adj2" numFmtId="43">
      <sharedItems containsSemiMixedTypes="0" containsString="0" containsNumber="1" minValue="0.3674684464931488" maxValue="2.0639891624450684"/>
    </cacheField>
    <cacheField name="Daily P&amp;L" numFmtId="166">
      <sharedItems containsSemiMixedTypes="0" containsString="0" containsNumber="1" minValue="-48364.055255817977" maxValue="53929.270236014127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5.7870580000000003E-3" maxValue="3.5133640000000001E-2"/>
    </cacheField>
    <cacheField name="Column4" numFmtId="170">
      <sharedItems containsMixedTypes="1" containsNumber="1" minValue="-0.1115610965850934" maxValue="0.39886741601758174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m/>
    <s v="USD"/>
    <s v="Long"/>
    <m/>
    <n v="3378"/>
    <n v="171.37"/>
    <n v="-1.0737170236102211E-2"/>
    <n v="173.23"/>
    <n v="1"/>
    <n v="1"/>
    <n v="578887.86"/>
    <n v="2.4158940472835877E-4"/>
    <n v="-2.6221409394569864E-2"/>
    <n v="0"/>
    <n v="0"/>
    <n v="0"/>
    <n v="578887.86"/>
    <n v="2.4158940472835877E-4"/>
    <n v="-2.6221409394569864E-2"/>
    <n v="3495.6003180253256"/>
    <m/>
    <n v="1182.2999999999997"/>
    <n v="6.7587174566227357E-2"/>
    <n v="2.0513020686902368E-4"/>
    <n v="44.761681261458861"/>
    <n v="0.84908610582351685"/>
    <n v="-5889.4205032588561"/>
    <m/>
    <s v="20/02/2026"/>
    <e v="#VALUE!"/>
    <e v="#VALUE!"/>
    <s v="12/06/2025"/>
  </r>
  <r>
    <x v="1"/>
    <x v="0"/>
    <m/>
    <s v="USD"/>
    <s v="Long"/>
    <m/>
    <n v="3510"/>
    <n v="156.08000000000001"/>
    <n v="-3.3201189296332867E-2"/>
    <n v="161.44"/>
    <n v="1"/>
    <n v="1"/>
    <n v="547840.80000000005"/>
    <n v="2.2863242072118748E-4"/>
    <n v="-7.851549045781403E-2"/>
    <n v="0"/>
    <n v="0"/>
    <n v="0"/>
    <n v="547840.80000000005"/>
    <n v="2.2863242072118748E-4"/>
    <n v="-7.851549045781403E-2"/>
    <n v="3838.0383553305996"/>
    <m/>
    <n v="1228.5"/>
    <n v="7.2744466542454922E-2"/>
    <n v="2.3470229690197131E-4"/>
    <n v="50.907542377755988"/>
    <n v="1.0265486240386963"/>
    <n v="-17634.854494946969"/>
    <m/>
    <s v="26/02/2026"/>
    <e v="#VALUE!"/>
    <e v="#VALUE!"/>
    <s v="#N/A Field Not Applicable"/>
  </r>
  <r>
    <x v="2"/>
    <x v="0"/>
    <m/>
    <s v="USD"/>
    <s v="Long"/>
    <m/>
    <m/>
    <n v="33.700000000000003"/>
    <n v="2.6777744718835539E-3"/>
    <n v="33.61"/>
    <n v="1"/>
    <n v="1"/>
    <n v="0"/>
    <n v="0"/>
    <n v="0"/>
    <n v="1650358.4650158887"/>
    <n v="6.8875018237832188E-4"/>
    <n v="2.2578602771230532E-3"/>
    <n v="1650358.4650158887"/>
    <n v="6.8875018237832188E-4"/>
    <n v="2.2578602771230532E-3"/>
    <n v="17775.698115727002"/>
    <m/>
    <n v="17140.221446752552"/>
    <n v="5.2979776560475034E-2"/>
    <n v="7.8797720972422218E-4"/>
    <n v="12.307458446551561"/>
    <n v="1.1440682411193848"/>
    <n v="0"/>
    <m/>
    <s v="#N/A N/A"/>
    <n v="0"/>
    <n v="0"/>
    <s v="19/12/2025"/>
  </r>
  <r>
    <x v="3"/>
    <x v="1"/>
    <m/>
    <s v="USD"/>
    <s v="Short"/>
    <m/>
    <n v="-13000"/>
    <n v="199.24"/>
    <n v="2.3645419328872652E-3"/>
    <n v="198.77"/>
    <n v="1"/>
    <n v="1"/>
    <n v="-2590120"/>
    <n v="-1.0809443282763205E-3"/>
    <n v="-2.5499088249842872E-2"/>
    <n v="0"/>
    <n v="0"/>
    <n v="0"/>
    <n v="-2590120"/>
    <n v="-1.0809443282763205E-3"/>
    <n v="-2.5499088249842872E-2"/>
    <n v="3006.6303277454326"/>
    <m/>
    <n v="-4549.9999999999991"/>
    <n v="-9.2579408646559391E-2"/>
    <n v="-1.0770055717138185E-3"/>
    <n v="13.703485920565326"/>
    <n v="0.99635618925094604"/>
    <n v="-5727.1846411173838"/>
    <m/>
    <s v="#N/A N/A"/>
    <e v="#VALUE!"/>
    <e v="#VALUE!"/>
    <s v="22/12/2025"/>
  </r>
  <r>
    <x v="4"/>
    <x v="2"/>
    <m/>
    <s v="USD"/>
    <m/>
    <m/>
    <n v="14800"/>
    <n v="107.48"/>
    <n v="4.2982620071014832E-3"/>
    <n v="107.02"/>
    <n v="1"/>
    <n v="1"/>
    <n v="1590704"/>
    <n v="6.6385436457247395E-4"/>
    <n v="2.8412077382149546E-2"/>
    <n v="1129628.3803462973"/>
    <n v="4.7143197643170824E-4"/>
    <n v="0.67941924174704105"/>
    <n v="2720332.3803462973"/>
    <n v="1.1352863410041822E-3"/>
    <n v="0.70783131912919062"/>
    <n v="5573.5115975065128"/>
    <m/>
    <n v="8858.5442233085614"/>
    <n v="0.24132183068222235"/>
    <n v="1.1253313133013244E-3"/>
    <n v="34.010356255147911"/>
    <n v="0.99123126268386841"/>
    <n v="6381.4522155037512"/>
    <m/>
    <s v="#N/A N/A"/>
    <n v="3.5133640000000001E-2"/>
    <n v="0.39886741601758174"/>
    <s v="22/12/2025"/>
  </r>
  <r>
    <x v="4"/>
    <x v="2"/>
    <m/>
    <s v="USD"/>
    <m/>
    <m/>
    <n v="-3300"/>
    <n v="107.48"/>
    <n v="-1.0950584337903746E-2"/>
    <n v="108.67"/>
    <n v="1"/>
    <n v="1"/>
    <n v="-354684"/>
    <n v="-1.4802158128980836E-4"/>
    <n v="1.63886938718712E-2"/>
    <m/>
    <m/>
    <m/>
    <n v="-354684"/>
    <n v="-1.4802158128980836E-4"/>
    <n v="1.63886938718712E-2"/>
    <n v="5573.5115975065128"/>
    <m/>
    <n v="-1155"/>
    <n v="-3.146416695697949E-2"/>
    <n v="-1.4672361892635962E-4"/>
    <n v="34.010356255147911"/>
    <n v="0.99123126268386841"/>
    <n v="3680.9581154939415"/>
    <m/>
    <s v="#N/A N/A"/>
    <n v="3.5133640000000001E-2"/>
    <n v="-5.2005369492668624E-2"/>
    <s v="22/12/2025"/>
  </r>
  <r>
    <x v="5"/>
    <x v="3"/>
    <m/>
    <s v="USD"/>
    <s v="Long"/>
    <m/>
    <n v="11150"/>
    <n v="333.59"/>
    <n v="1.571111043449136E-2"/>
    <n v="328.43"/>
    <n v="1"/>
    <n v="1"/>
    <n v="3719528.4999999995"/>
    <n v="1.5522845412325025E-3"/>
    <n v="0.24010876323509892"/>
    <n v="0"/>
    <n v="0"/>
    <n v="0"/>
    <n v="3719528.4999999995"/>
    <n v="1.5522845412325025E-3"/>
    <n v="0.24010876323509892"/>
    <n v="1795.7403594232444"/>
    <m/>
    <n v="3902.4999999999991"/>
    <n v="0.22422067773801377"/>
    <n v="1.5828013388743541E-3"/>
    <n v="23.111296598752102"/>
    <n v="1.0196592807769775"/>
    <n v="53929.270236014127"/>
    <m/>
    <s v="04/02/2026"/>
    <n v="-6.0862329999999997E-5"/>
    <n v="-9.447565400239117E-4"/>
    <s v="08/12/2025"/>
  </r>
  <r>
    <x v="5"/>
    <x v="3"/>
    <m/>
    <s v="USD"/>
    <s v="Long"/>
    <m/>
    <n v="-900"/>
    <n v="333.59"/>
    <n v="1.087878787878771E-2"/>
    <n v="330"/>
    <n v="1"/>
    <n v="1"/>
    <n v="-300231"/>
    <n v="-1.2529651005464148E-4"/>
    <n v="-1.3484051413296552E-2"/>
    <m/>
    <m/>
    <m/>
    <n v="-300231"/>
    <n v="-1.2529651005464148E-4"/>
    <n v="-1.3484051413296552E-2"/>
    <n v="1795.7403594232444"/>
    <m/>
    <n v="-315"/>
    <n v="-1.80985300416334E-2"/>
    <n v="-1.2775974932618107E-4"/>
    <n v="23.111296598752102"/>
    <n v="1.0196592807769775"/>
    <n v="-3028.5652332979016"/>
    <m/>
    <s v="04/02/2026"/>
    <n v="-6.0862329999999997E-5"/>
    <n v="7.6258375427939076E-5"/>
    <s v="08/12/2025"/>
  </r>
  <r>
    <x v="6"/>
    <x v="3"/>
    <m/>
    <s v="USD"/>
    <s v="Long"/>
    <m/>
    <n v="-582"/>
    <n v="672.36"/>
    <n v="-1.4702606371129745E-3"/>
    <n v="673.35"/>
    <n v="1"/>
    <n v="1"/>
    <n v="-391313.52"/>
    <n v="-1.6330831390894729E-4"/>
    <n v="2.404593235318271E-3"/>
    <m/>
    <m/>
    <m/>
    <n v="-391313.52"/>
    <n v="-1.6330831390894729E-4"/>
    <n v="2.404593235318271E-3"/>
    <n v="890.95280281396879"/>
    <m/>
    <n v="-203.7"/>
    <n v="-4.2803380026124958E-2"/>
    <n v="-1.9719934141132541E-4"/>
    <n v="41.936265461649455"/>
    <n v="1.2075278759002686"/>
    <n v="540.0800730800413"/>
    <m/>
    <s v="28/01/2026"/>
    <e v="#VALUE!"/>
    <e v="#VALUE!"/>
    <s v="15/12/2025"/>
  </r>
  <r>
    <x v="7"/>
    <x v="3"/>
    <m/>
    <s v="USD"/>
    <s v="Long"/>
    <m/>
    <n v="-1250"/>
    <n v="470.28"/>
    <n v="-2.9892514151244054E-3"/>
    <n v="471.69"/>
    <n v="1"/>
    <n v="1"/>
    <n v="-587850"/>
    <n v="-2.4532960765417624E-4"/>
    <n v="7.3555062259163624E-3"/>
    <m/>
    <m/>
    <m/>
    <n v="-587850"/>
    <n v="-2.4532960765417624E-4"/>
    <n v="7.3555062259163624E-3"/>
    <n v="1273.796518031811"/>
    <m/>
    <n v="-437.5"/>
    <n v="-4.753833105476403E-2"/>
    <n v="-2.5037730499469896E-4"/>
    <n v="31.003730212148184"/>
    <n v="1.0205751657485962"/>
    <n v="1652.0724926300481"/>
    <m/>
    <s v="28/01/2026"/>
    <e v="#VALUE!"/>
    <e v="#VALUE!"/>
    <s v="19/02/2026"/>
  </r>
  <r>
    <x v="8"/>
    <x v="3"/>
    <m/>
    <s v="USD"/>
    <s v="Long"/>
    <m/>
    <n v="10000"/>
    <n v="255.41"/>
    <n v="1.329048639212882E-2"/>
    <n v="252.06"/>
    <n v="1"/>
    <n v="1"/>
    <n v="2554100"/>
    <n v="1.0659119688858239E-3"/>
    <n v="0.13980678500323027"/>
    <m/>
    <m/>
    <m/>
    <n v="2554100"/>
    <n v="1.0659119688858239E-3"/>
    <n v="0.13980678500323027"/>
    <n v="2345.409445597275"/>
    <m/>
    <n v="3500"/>
    <n v="0.17920470977528"/>
    <n v="1.1334584178504476E-3"/>
    <n v="26.899738816157441"/>
    <n v="1.0633696317672729"/>
    <n v="31401.094186159171"/>
    <m/>
    <s v="29/01/2026"/>
    <n v="1.3707499999999999E-2"/>
    <n v="0.14610988313502429"/>
    <s v="10/11/2025"/>
  </r>
  <r>
    <x v="9"/>
    <x v="3"/>
    <m/>
    <s v="USD"/>
    <s v="Long"/>
    <m/>
    <n v="22135"/>
    <n v="238.42"/>
    <n v="-3.0941629034956231E-3"/>
    <n v="239.16"/>
    <n v="1"/>
    <n v="1"/>
    <n v="5277426.7"/>
    <n v="2.2024479403498754E-3"/>
    <n v="-6.8358840527595319E-2"/>
    <n v="632112.31933236122"/>
    <n v="2.6380176455759045E-4"/>
    <n v="-1.2520010597304178E-2"/>
    <n v="5909539.0193323614"/>
    <n v="2.4662497049074655E-3"/>
    <n v="-8.0878851124899495E-2"/>
    <n v="2512.5451996476809"/>
    <m/>
    <n v="8675.1894000768661"/>
    <n v="0.44798679985834244"/>
    <n v="3.1533920931682861E-3"/>
    <n v="29.063516088702041"/>
    <n v="1.278618335723877"/>
    <n v="-15353.635303279871"/>
    <m/>
    <s v="05/02/2026"/>
    <n v="3.6795019999999999E-3"/>
    <n v="9.0745707217064306E-2"/>
    <s v="#N/A Field Not Applicable"/>
  </r>
  <r>
    <x v="6"/>
    <x v="3"/>
    <m/>
    <s v="USD"/>
    <s v="Long"/>
    <m/>
    <n v="1345"/>
    <n v="672.36"/>
    <n v="2.0644847896047258E-2"/>
    <n v="658.76"/>
    <n v="1"/>
    <n v="1"/>
    <n v="904324.20000000007"/>
    <n v="3.7740495224662218E-4"/>
    <n v="7.6338677948629752E-2"/>
    <n v="4931326.9255685806"/>
    <n v="2.0580088455630094E-3"/>
    <n v="0.43588416894514659"/>
    <n v="5835651.1255685808"/>
    <n v="2.4354137978096317E-3"/>
    <n v="0.5122228468937764"/>
    <n v="890.95280281396879"/>
    <m/>
    <n v="3037.7742488384247"/>
    <n v="0.63832599708692861"/>
    <n v="2.9408300502072708E-3"/>
    <n v="41.936265461649455"/>
    <n v="1.2075278759002686"/>
    <n v="17145.934771738073"/>
    <m/>
    <s v="28/01/2026"/>
    <e v="#VALUE!"/>
    <e v="#VALUE!"/>
    <s v="15/12/2025"/>
  </r>
  <r>
    <x v="7"/>
    <x v="3"/>
    <m/>
    <s v="USD"/>
    <s v="Long"/>
    <m/>
    <n v="3700"/>
    <n v="470.28"/>
    <n v="9.2928425796758862E-3"/>
    <n v="465.95"/>
    <n v="1"/>
    <n v="1"/>
    <n v="1740036"/>
    <n v="7.2617563865636176E-4"/>
    <n v="6.6861029926470084E-2"/>
    <n v="4237741.4086997509"/>
    <n v="1.7685522448518602E-3"/>
    <n v="0.15258762915464524"/>
    <n v="5977777.4086997509"/>
    <n v="2.4947278835082218E-3"/>
    <n v="0.21944865908111533"/>
    <n v="1273.796518031811"/>
    <m/>
    <n v="4448.8859680294991"/>
    <n v="0.48341168908132726"/>
    <n v="2.5460573232090481E-3"/>
    <n v="31.003730212148184"/>
    <n v="1.0205751657485962"/>
    <n v="15017.221789744926"/>
    <m/>
    <s v="28/01/2026"/>
    <e v="#VALUE!"/>
    <e v="#VALUE!"/>
    <s v="19/02/2026"/>
  </r>
  <r>
    <x v="10"/>
    <x v="4"/>
    <m/>
    <s v="KRW"/>
    <s v="Long"/>
    <m/>
    <n v="2400"/>
    <n v="736000"/>
    <n v="-4.0417209908735319E-2"/>
    <n v="767000"/>
    <n v="1441.95"/>
    <n v="1"/>
    <n v="1225007.8019348797"/>
    <n v="5.112370220668349E-4"/>
    <n v="-0.21533081092488968"/>
    <n v="0"/>
    <n v="0"/>
    <n v="0"/>
    <n v="1225007.8019348797"/>
    <n v="5.112370220668349E-4"/>
    <n v="-0.21533081092488968"/>
    <n v="1173.6239241327107"/>
    <m/>
    <n v="0.58254447102881501"/>
    <n v="0.10715671767933317"/>
    <n v="8.0673968937679643E-4"/>
    <n v="33.536450000000002"/>
    <n v="1.5780149999999999"/>
    <n v="-48364.055255817977"/>
    <m/>
    <s v="29/01/2026"/>
    <e v="#VALUE!"/>
    <e v="#VALUE!"/>
    <s v="27/11/2025"/>
  </r>
  <r>
    <x v="11"/>
    <x v="4"/>
    <m/>
    <s v="USD"/>
    <s v="Long"/>
    <m/>
    <n v="42000"/>
    <n v="117.32"/>
    <n v="-5.5098753920488353E-3"/>
    <n v="117.97"/>
    <n v="1"/>
    <n v="1"/>
    <n v="4927440"/>
    <n v="2.056386700586024E-3"/>
    <n v="-0.11393209643546943"/>
    <n v="0"/>
    <n v="0"/>
    <n v="0"/>
    <n v="4927440"/>
    <n v="2.056386700586024E-3"/>
    <n v="-0.11393209643546943"/>
    <n v="5106.0435262529836"/>
    <m/>
    <n v="14699.999999999998"/>
    <n v="0.3549828603913911"/>
    <n v="1.9186790822238119E-3"/>
    <n v="27.619930456872062"/>
    <n v="0.93303418159484863"/>
    <n v="-25589.548396482216"/>
    <m/>
    <s v="#N/A N/A"/>
    <n v="-5.4251029999999997E-3"/>
    <n v="-0.1115610965850934"/>
    <s v="16/12/2025"/>
  </r>
  <r>
    <x v="12"/>
    <x v="5"/>
    <m/>
    <s v="USD"/>
    <s v="Long"/>
    <m/>
    <n v="1900"/>
    <n v="332.45"/>
    <n v="-1.9870868834576561E-2"/>
    <n v="339.19"/>
    <n v="1"/>
    <n v="1"/>
    <n v="631655"/>
    <n v="2.6361090979467331E-4"/>
    <n v="-5.3443751903026034E-2"/>
    <n v="712510.69747209549"/>
    <n v="2.9735471610144198E-4"/>
    <n v="-0.12019210173412066"/>
    <n v="1344165.6974720955"/>
    <n v="5.6096562589611528E-4"/>
    <n v="-0.1736358536371467"/>
    <n v="1801.898109490149"/>
    <m/>
    <n v="1415.1240611076353"/>
    <n v="0.33512872090776613"/>
    <n v="1.1308116275657201E-3"/>
    <n v="95.586240706970756"/>
    <n v="2.0158305168151855"/>
    <n v="-12003.65409396882"/>
    <m/>
    <s v="03/02/2026"/>
    <e v="#VALUE!"/>
    <e v="#VALUE!"/>
    <s v="#N/A N/A"/>
  </r>
  <r>
    <x v="13"/>
    <x v="5"/>
    <m/>
    <s v="USD"/>
    <s v="Long"/>
    <m/>
    <n v="18073"/>
    <n v="77.010000000000005"/>
    <n v="-2.5963910164861215E-4"/>
    <n v="77.03"/>
    <n v="1"/>
    <n v="1"/>
    <n v="1391801.73"/>
    <n v="5.8084574696487838E-4"/>
    <n v="-1.508494343500228E-3"/>
    <m/>
    <m/>
    <m/>
    <n v="1391801.73"/>
    <n v="5.8084574696487838E-4"/>
    <n v="-1.508494343500228E-3"/>
    <n v="7778.7433644981174"/>
    <m/>
    <n v="6325.5499999999993"/>
    <n v="9.8858381121102054E-2"/>
    <n v="5.3657387120704546E-4"/>
    <n v="27.231568901085101"/>
    <n v="0.92378032207489014"/>
    <n v="-338.81311953811502"/>
    <m/>
    <s v="12/02/2026"/>
    <n v="2.5874790000000002E-2"/>
    <n v="0.15029261725109366"/>
    <s v="02/01/2026"/>
  </r>
  <r>
    <x v="14"/>
    <x v="6"/>
    <m/>
    <s v="USD"/>
    <s v="Long"/>
    <m/>
    <n v="1930"/>
    <n v="324.85000000000002"/>
    <n v="1.4997656616153821E-2"/>
    <n v="320.05"/>
    <n v="1"/>
    <n v="1"/>
    <n v="626960.5"/>
    <n v="2.6165173680303845E-4"/>
    <n v="3.8661792724475535E-2"/>
    <n v="1890141.5587127209"/>
    <n v="7.8881974484961293E-4"/>
    <n v="9.0394476512536473E-2"/>
    <n v="2517102.0587127209"/>
    <n v="1.0504714816526514E-3"/>
    <n v="0.12905626923701202"/>
    <n v="1844.0542604278899"/>
    <m/>
    <n v="2711.9769756793976"/>
    <n v="0.28563302954366054"/>
    <n v="2.1302831550520447E-3"/>
    <n v="43.505497793320636"/>
    <n v="2.0279304981231689"/>
    <n v="8683.574225091932"/>
    <m/>
    <s v="06/03/2026"/>
    <n v="1.5628280000000002E-4"/>
    <n v="1.6417062447282502E-3"/>
    <s v="22/12/2025"/>
  </r>
  <r>
    <x v="14"/>
    <x v="6"/>
    <m/>
    <s v="USD"/>
    <s v="Long"/>
    <m/>
    <n v="-1277"/>
    <n v="324.85000000000002"/>
    <n v="5.2296076247060341E-3"/>
    <n v="323.16000000000003"/>
    <n v="1"/>
    <n v="1"/>
    <n v="-414833.45"/>
    <n v="-1.7312397300387573E-4"/>
    <n v="-9.006603490120042E-3"/>
    <m/>
    <m/>
    <m/>
    <n v="-414833.45"/>
    <n v="-1.7312397300387573E-4"/>
    <n v="-9.006603490120042E-3"/>
    <n v="1844.0542604278899"/>
    <m/>
    <n v="-446.94999999999993"/>
    <n v="-4.7074028909318853E-2"/>
    <n v="-3.5108338481081177E-4"/>
    <n v="43.505497793320636"/>
    <n v="2.0279304981231689"/>
    <n v="-2022.9147282380804"/>
    <m/>
    <s v="06/03/2026"/>
    <n v="1.5628280000000002E-4"/>
    <n v="-2.7056299248170117E-4"/>
    <s v="22/12/2025"/>
  </r>
  <r>
    <x v="15"/>
    <x v="6"/>
    <m/>
    <s v="USD"/>
    <s v="Long"/>
    <m/>
    <n v="4100"/>
    <n v="332.71"/>
    <n v="-6.4502642816616218E-3"/>
    <n v="334.87"/>
    <n v="1"/>
    <n v="1"/>
    <n v="1364111"/>
    <n v="5.6928947252997538E-4"/>
    <n v="-3.6959071283242495E-2"/>
    <n v="11080203.263619542"/>
    <n v="4.6241420760267165E-3"/>
    <n v="-0.71113660192688144"/>
    <n v="12444314.263619542"/>
    <n v="5.1934315485566923E-3"/>
    <n v="-0.74809567321012393"/>
    <n v="1800.4899957921316"/>
    <m/>
    <n v="13091.010165810585"/>
    <n v="1.265933700361771"/>
    <n v="7.6551650357060278E-3"/>
    <n v="39.001070903528884"/>
    <n v="1.4740090370178223"/>
    <n v="-8301.1370182874416"/>
    <m/>
    <s v="17/04/2026"/>
    <e v="#VALUE!"/>
    <e v="#VALUE!"/>
    <s v="17/03/2026"/>
  </r>
  <r>
    <x v="16"/>
    <x v="6"/>
    <m/>
    <s v="USD"/>
    <s v="Long"/>
    <m/>
    <m/>
    <n v="42.49"/>
    <n v="-5.7244286665187438E-2"/>
    <n v="45.07"/>
    <n v="1"/>
    <n v="1"/>
    <n v="0"/>
    <n v="0"/>
    <n v="0"/>
    <n v="323215.65665155649"/>
    <n v="1.3488878154973769E-4"/>
    <n v="-7.6372064643555726E-2"/>
    <n v="323215.65665155649"/>
    <n v="1.3488878154973769E-4"/>
    <n v="-7.6372064643555726E-2"/>
    <n v="14098.40024711697"/>
    <m/>
    <n v="2662.4024435877795"/>
    <n v="0.11619020509553299"/>
    <n v="1.9758666307937383E-4"/>
    <n v="137.82045179517326"/>
    <n v="1.4648116827011108"/>
    <n v="0"/>
    <m/>
    <s v="24/04/2026"/>
    <e v="#VALUE!"/>
    <e v="#VALUE!"/>
    <s v="03/09/2024"/>
  </r>
  <r>
    <x v="17"/>
    <x v="6"/>
    <m/>
    <s v="USD"/>
    <s v="Long"/>
    <m/>
    <n v="4500"/>
    <n v="251.23500000000001"/>
    <n v="-3.252079482439918E-2"/>
    <n v="259.68"/>
    <n v="1"/>
    <n v="1"/>
    <n v="1130557.5"/>
    <n v="4.7181972936205898E-4"/>
    <n v="-0.15859723424135111"/>
    <n v="0"/>
    <n v="0"/>
    <n v="0"/>
    <n v="1130557.5"/>
    <n v="4.7181972936205898E-4"/>
    <n v="-0.15859723424135111"/>
    <n v="2384.3852429000735"/>
    <m/>
    <n v="1575"/>
    <n v="0.15084441834486537"/>
    <n v="7.3336490574074447E-4"/>
    <n v="51.153238055159768"/>
    <n v="1.5543328523635864"/>
    <n v="-35621.494979388503"/>
    <m/>
    <s v="03/02/2026"/>
    <e v="#VALUE!"/>
    <e v="#VALUE!"/>
    <s v="27/04/1995"/>
  </r>
  <r>
    <x v="18"/>
    <x v="6"/>
    <m/>
    <s v="USD"/>
    <s v="Long"/>
    <m/>
    <n v="23008"/>
    <n v="186.47"/>
    <n v="-6.3942025896519539E-3"/>
    <n v="187.67"/>
    <n v="1"/>
    <n v="1"/>
    <n v="4290301.76"/>
    <n v="1.7904874500277652E-3"/>
    <n v="-0.11522416152910912"/>
    <n v="0"/>
    <n v="0"/>
    <n v="0"/>
    <n v="4290301.76"/>
    <n v="1.7904874500277652E-3"/>
    <n v="-0.11522416152910912"/>
    <n v="3212.5329892207865"/>
    <m/>
    <n v="8052.7999999999984"/>
    <n v="0.39742372797483733"/>
    <n v="3.3256331404983232E-3"/>
    <n v="35.51423746365154"/>
    <n v="1.8573898077011108"/>
    <n v="-25879.75074752756"/>
    <m/>
    <s v="25/02/2026"/>
    <n v="-2.6642510000000003E-3"/>
    <n v="-4.7703079792239242E-2"/>
    <s v="04/12/2025"/>
  </r>
  <r>
    <x v="19"/>
    <x v="6"/>
    <m/>
    <s v="USD"/>
    <s v="Short"/>
    <m/>
    <n v="-49"/>
    <n v="81.77"/>
    <n v="1.9194814907141922E-2"/>
    <n v="80.23"/>
    <n v="1"/>
    <n v="1"/>
    <n v="-4006.73"/>
    <n v="-1.6721434020178916E-6"/>
    <n v="-3.1491999989085722E-4"/>
    <n v="-595836.75579801213"/>
    <n v="-2.4866274989514937E-4"/>
    <n v="-4.8306374221265561E-2"/>
    <n v="-599843.48579801212"/>
    <n v="-2.5033489329716725E-4"/>
    <n v="-4.8621294221156415E-2"/>
    <n v="7325.9267029472921"/>
    <m/>
    <n v="-2567.5091112792497"/>
    <n v="-5.1718820572286918E-2"/>
    <n v="-4.9498856924439416E-4"/>
    <n v="33.055764550341038"/>
    <n v="1.97730553150177"/>
    <n v="-70.732136336942148"/>
    <m/>
    <s v="05/03/2026"/>
    <n v="-4.8611119999999999E-3"/>
    <n v="1.2169059538255792E-2"/>
    <s v="09/01/2026"/>
  </r>
  <r>
    <x v="20"/>
    <x v="7"/>
    <m/>
    <s v="USD"/>
    <s v="Long"/>
    <m/>
    <n v="26813"/>
    <n v="16.23"/>
    <n v="-6.0763888888888951E-2"/>
    <n v="17.28"/>
    <n v="1"/>
    <n v="1"/>
    <n v="435174.99"/>
    <n v="1.816131828827253E-4"/>
    <n v="-0.11749466545093143"/>
    <n v="0"/>
    <n v="0"/>
    <n v="0"/>
    <n v="435174.99"/>
    <n v="1.816131828827253E-4"/>
    <n v="-0.11749466545093143"/>
    <n v="36909.490234134319"/>
    <m/>
    <n v="9384.5500000000011"/>
    <n v="0.1210683445054556"/>
    <n v="3.7484764122709923E-4"/>
    <n v="106.66040214372248"/>
    <n v="2.0639891624450684"/>
    <n v="-26389.713890572002"/>
    <m/>
    <s v="24/02/2026"/>
    <n v="-5.7870580000000003E-3"/>
    <n v="-1.0510060229069387E-2"/>
    <s v="12/10/2017"/>
  </r>
  <r>
    <x v="20"/>
    <x v="7"/>
    <m/>
    <s v="USD"/>
    <s v="Long"/>
    <m/>
    <n v="4787"/>
    <n v="16.23"/>
    <n v="-1.9927536231883924E-2"/>
    <n v="16.559999999999999"/>
    <n v="1"/>
    <n v="1"/>
    <n v="77693.010000000009"/>
    <n v="3.2423910284548772E-5"/>
    <n v="-6.5926619802224506E-3"/>
    <m/>
    <m/>
    <m/>
    <n v="77693.010000000009"/>
    <n v="3.2423910284548772E-5"/>
    <n v="-6.5926619802224506E-3"/>
    <n v="36909.490234134319"/>
    <m/>
    <n v="1675.45"/>
    <n v="2.1614670687637196E-2"/>
    <n v="6.6922599431399856E-5"/>
    <n v="106.66040214372248"/>
    <n v="2.0639891624450684"/>
    <n v="-1480.7349999049948"/>
    <m/>
    <s v="24/02/2026"/>
    <n v="-5.7870580000000003E-3"/>
    <n v="-1.8763904940348026E-3"/>
    <s v="12/10/2017"/>
  </r>
  <r>
    <x v="21"/>
    <x v="8"/>
    <m/>
    <s v="USD"/>
    <s v="Long"/>
    <m/>
    <n v="45750"/>
    <n v="53.41"/>
    <n v="6.4066327491991704E-3"/>
    <n v="53.07"/>
    <n v="1"/>
    <n v="1"/>
    <n v="2443507.5"/>
    <n v="1.0197579931530783E-3"/>
    <n v="6.491625494702169E-2"/>
    <n v="0"/>
    <n v="0"/>
    <n v="0"/>
    <n v="2443507.5"/>
    <n v="1.0197579931530783E-3"/>
    <n v="6.491625494702169E-2"/>
    <n v="11215.89639580603"/>
    <m/>
    <n v="16012.499999999998"/>
    <n v="0.12070279496634187"/>
    <n v="1.0195902947516802E-3"/>
    <n v="18.938265082777992"/>
    <n v="0.9998355507850647"/>
    <n v="14580.41850942392"/>
    <m/>
    <s v="#N/A N/A"/>
    <n v="5.6526809999999999E-4"/>
    <n v="5.7643666324945358E-3"/>
    <s v="22/12/2025"/>
  </r>
  <r>
    <x v="22"/>
    <x v="8"/>
    <m/>
    <s v="USD"/>
    <s v="Short"/>
    <m/>
    <n v="-10000"/>
    <n v="23.58"/>
    <n v="1.6379310344827536E-2"/>
    <n v="23.2"/>
    <n v="1"/>
    <n v="1"/>
    <n v="-235799.99999999997"/>
    <n v="-9.8407283294811188E-5"/>
    <n v="-1.5858680089918642E-2"/>
    <n v="0"/>
    <n v="0"/>
    <n v="0"/>
    <n v="-235799.99999999997"/>
    <n v="-9.8407283294811188E-5"/>
    <n v="-1.5858680089918642E-2"/>
    <n v="25404.623685326551"/>
    <m/>
    <n v="-3499.9999999999995"/>
    <n v="-2.8352390685987685E-2"/>
    <n v="-3.616157151595546E-5"/>
    <n v="46.098036221239973"/>
    <n v="0.3674684464931488"/>
    <n v="-3561.9151614150664"/>
    <m/>
    <s v="11/02/2026"/>
    <e v="#VALUE!"/>
    <e v="#VALUE!"/>
    <s v="28/11/2025"/>
  </r>
  <r>
    <x v="23"/>
    <x v="8"/>
    <m/>
    <s v="USD"/>
    <s v="Short"/>
    <m/>
    <n v="-27500"/>
    <n v="82.78"/>
    <n v="-1.5679652635387509E-3"/>
    <n v="82.91"/>
    <n v="1"/>
    <n v="1"/>
    <n v="-2276450"/>
    <n v="-9.500392708077733E-4"/>
    <n v="1.4919679295120345E-2"/>
    <n v="0"/>
    <n v="0"/>
    <n v="0"/>
    <n v="-2276450"/>
    <n v="-9.500392708077733E-4"/>
    <n v="1.4919679295120345E-2"/>
    <n v="7236.5429632761543"/>
    <m/>
    <n v="-9624.9999999999982"/>
    <n v="-5.6989737436891674E-2"/>
    <n v="-9.5304105499804178E-4"/>
    <n v="9.5978748143218962"/>
    <n v="1.0031596422195435"/>
    <n v="3351.0122900153815"/>
    <m/>
    <s v="#N/A N/A"/>
    <n v="1.688571E-3"/>
    <n v="-1.6042087615471528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6" firstHeaderRow="0" firstDataRow="1" firstDataCol="1"/>
  <pivotFields count="34">
    <pivotField axis="axisRow" showAll="0">
      <items count="185">
        <item m="1" x="181"/>
        <item m="1" x="177"/>
        <item m="1" x="157"/>
        <item x="8"/>
        <item m="1" x="138"/>
        <item x="2"/>
        <item m="1" x="101"/>
        <item m="1" x="64"/>
        <item m="1" x="103"/>
        <item m="1" x="83"/>
        <item m="1" x="114"/>
        <item x="4"/>
        <item m="1" x="182"/>
        <item m="1" x="175"/>
        <item m="1" x="180"/>
        <item m="1" x="87"/>
        <item m="1" x="153"/>
        <item m="1" x="51"/>
        <item m="1" x="38"/>
        <item x="6"/>
        <item m="1" x="52"/>
        <item x="7"/>
        <item m="1" x="95"/>
        <item m="1" x="122"/>
        <item x="18"/>
        <item m="1" x="183"/>
        <item x="3"/>
        <item m="1" x="39"/>
        <item m="1" x="76"/>
        <item x="15"/>
        <item m="1" x="49"/>
        <item m="1" x="48"/>
        <item m="1" x="37"/>
        <item x="21"/>
        <item x="23"/>
        <item m="1" x="179"/>
        <item m="1" x="178"/>
        <item m="1" x="47"/>
        <item m="1" x="65"/>
        <item m="1" x="169"/>
        <item m="1" x="41"/>
        <item m="1" x="25"/>
        <item m="1" x="57"/>
        <item m="1" x="58"/>
        <item m="1" x="59"/>
        <item m="1" x="68"/>
        <item m="1" x="63"/>
        <item m="1" x="77"/>
        <item m="1" x="176"/>
        <item m="1" x="91"/>
        <item m="1" x="135"/>
        <item m="1" x="119"/>
        <item m="1" x="60"/>
        <item m="1" x="167"/>
        <item m="1" x="117"/>
        <item m="1" x="173"/>
        <item m="1" x="112"/>
        <item m="1" x="174"/>
        <item m="1" x="163"/>
        <item m="1" x="172"/>
        <item m="1" x="168"/>
        <item x="9"/>
        <item m="1" x="170"/>
        <item m="1" x="171"/>
        <item m="1" x="155"/>
        <item m="1" x="166"/>
        <item m="1" x="98"/>
        <item m="1" x="143"/>
        <item x="14"/>
        <item m="1" x="141"/>
        <item m="1" x="150"/>
        <item m="1" x="73"/>
        <item m="1" x="89"/>
        <item m="1" x="156"/>
        <item m="1" x="55"/>
        <item m="1" x="149"/>
        <item m="1" x="165"/>
        <item m="1" x="164"/>
        <item m="1" x="109"/>
        <item m="1" x="110"/>
        <item x="11"/>
        <item x="17"/>
        <item m="1" x="162"/>
        <item m="1" x="28"/>
        <item m="1" x="160"/>
        <item m="1" x="159"/>
        <item m="1" x="125"/>
        <item m="1" x="97"/>
        <item m="1" x="158"/>
        <item m="1" x="161"/>
        <item x="19"/>
        <item m="1" x="151"/>
        <item m="1" x="108"/>
        <item m="1" x="53"/>
        <item m="1" x="92"/>
        <item m="1" x="154"/>
        <item m="1" x="66"/>
        <item m="1" x="118"/>
        <item m="1" x="152"/>
        <item m="1" x="61"/>
        <item m="1" x="136"/>
        <item m="1" x="137"/>
        <item m="1" x="123"/>
        <item m="1" x="67"/>
        <item m="1" x="148"/>
        <item m="1" x="104"/>
        <item m="1" x="147"/>
        <item m="1" x="145"/>
        <item m="1" x="146"/>
        <item m="1" x="144"/>
        <item m="1" x="140"/>
        <item m="1" x="80"/>
        <item m="1" x="30"/>
        <item m="1" x="142"/>
        <item m="1" x="139"/>
        <item m="1" x="121"/>
        <item m="1" x="33"/>
        <item m="1" x="128"/>
        <item m="1" x="129"/>
        <item m="1" x="70"/>
        <item m="1" x="132"/>
        <item m="1" x="124"/>
        <item m="1" x="113"/>
        <item m="1" x="126"/>
        <item m="1" x="134"/>
        <item m="1" x="131"/>
        <item m="1" x="133"/>
        <item m="1" x="99"/>
        <item m="1" x="75"/>
        <item m="1" x="130"/>
        <item m="1" x="88"/>
        <item m="1" x="127"/>
        <item m="1" x="105"/>
        <item m="1" x="106"/>
        <item m="1" x="93"/>
        <item m="1" x="71"/>
        <item m="1" x="115"/>
        <item m="1" x="56"/>
        <item m="1" x="100"/>
        <item m="1" x="90"/>
        <item m="1" x="94"/>
        <item m="1" x="96"/>
        <item m="1" x="72"/>
        <item m="1" x="116"/>
        <item m="1" x="120"/>
        <item m="1" x="111"/>
        <item m="1" x="102"/>
        <item m="1" x="32"/>
        <item m="1" x="107"/>
        <item m="1" x="81"/>
        <item m="1" x="86"/>
        <item m="1" x="69"/>
        <item m="1" x="27"/>
        <item m="1" x="79"/>
        <item m="1" x="85"/>
        <item m="1" x="84"/>
        <item m="1" x="82"/>
        <item m="1" x="78"/>
        <item m="1" x="74"/>
        <item m="1" x="62"/>
        <item m="1" x="54"/>
        <item m="1" x="50"/>
        <item m="1" x="42"/>
        <item x="12"/>
        <item m="1" x="40"/>
        <item m="1" x="43"/>
        <item m="1" x="34"/>
        <item m="1" x="46"/>
        <item m="1" x="44"/>
        <item x="20"/>
        <item m="1" x="45"/>
        <item m="1" x="31"/>
        <item x="1"/>
        <item x="0"/>
        <item x="5"/>
        <item m="1" x="36"/>
        <item m="1" x="26"/>
        <item m="1" x="29"/>
        <item m="1" x="35"/>
        <item x="10"/>
        <item x="22"/>
        <item m="1" x="24"/>
        <item x="16"/>
        <item x="13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4">
    <i>
      <x/>
    </i>
    <i r="1">
      <x v="5"/>
    </i>
    <i r="1">
      <x v="172"/>
    </i>
    <i r="1">
      <x v="173"/>
    </i>
    <i>
      <x v="2"/>
    </i>
    <i r="1">
      <x v="26"/>
    </i>
    <i>
      <x v="5"/>
    </i>
    <i r="1">
      <x v="11"/>
    </i>
    <i>
      <x v="13"/>
    </i>
    <i r="1">
      <x v="24"/>
    </i>
    <i r="1">
      <x v="29"/>
    </i>
    <i r="1">
      <x v="68"/>
    </i>
    <i r="1">
      <x v="81"/>
    </i>
    <i r="1">
      <x v="90"/>
    </i>
    <i r="1">
      <x v="182"/>
    </i>
    <i>
      <x v="14"/>
    </i>
    <i r="1">
      <x v="80"/>
    </i>
    <i r="1">
      <x v="179"/>
    </i>
    <i>
      <x v="21"/>
    </i>
    <i r="1">
      <x v="163"/>
    </i>
    <i r="1">
      <x v="183"/>
    </i>
    <i>
      <x v="23"/>
    </i>
    <i r="1">
      <x v="169"/>
    </i>
    <i>
      <x v="25"/>
    </i>
    <i r="1">
      <x v="3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70">
      <pivotArea outline="0" collapsedLevelsAreSubtotals="1" fieldPosition="0"/>
    </format>
    <format dxfId="176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7">
      <pivotArea outline="0" collapsedLevelsAreSubtotals="1" fieldPosition="0"/>
    </format>
    <format dxfId="1766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outline="0" collapsedLevelsAreSubtotals="1" fieldPosition="0"/>
    </format>
    <format dxfId="17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type="all" dataOnly="0" outline="0" fieldPosition="0"/>
    </format>
    <format dxfId="1761">
      <pivotArea dataOnly="0" labelOnly="1" grandRow="1" outline="0" fieldPosition="0"/>
    </format>
    <format dxfId="176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9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grandRow="1" outline="0" fieldPosition="0"/>
    </format>
    <format dxfId="1754">
      <pivotArea type="all" dataOnly="0" outline="0" fieldPosition="0"/>
    </format>
    <format dxfId="17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2">
      <pivotArea type="all" dataOnly="0" outline="0" fieldPosition="0"/>
    </format>
    <format dxfId="1751">
      <pivotArea outline="0" collapsedLevelsAreSubtotals="1" fieldPosition="0"/>
    </format>
    <format dxfId="1750">
      <pivotArea dataOnly="0" labelOnly="1" grandRow="1" outline="0" fieldPosition="0"/>
    </format>
    <format dxfId="174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3">
      <pivotArea type="all" dataOnly="0" outline="0" fieldPosition="0"/>
    </format>
    <format dxfId="1742">
      <pivotArea outline="0" collapsedLevelsAreSubtotals="1" fieldPosition="0"/>
    </format>
    <format dxfId="1741">
      <pivotArea dataOnly="0" labelOnly="1" grandRow="1" outline="0" fieldPosition="0"/>
    </format>
    <format dxfId="174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9">
      <pivotArea type="all" dataOnly="0" outline="0" fieldPosition="0"/>
    </format>
    <format dxfId="1738">
      <pivotArea outline="0" collapsedLevelsAreSubtotals="1" fieldPosition="0"/>
    </format>
    <format dxfId="1737">
      <pivotArea dataOnly="0" labelOnly="1" grandRow="1" outline="0" fieldPosition="0"/>
    </format>
    <format dxfId="173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4">
      <pivotArea field="1" type="button" dataOnly="0" labelOnly="1" outline="0" axis="axisRow" fieldPosition="0"/>
    </format>
    <format dxfId="17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2">
      <pivotArea field="1" type="button" dataOnly="0" labelOnly="1" outline="0" axis="axisRow" fieldPosition="0"/>
    </format>
    <format dxfId="17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56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1" totalsRowShown="0" headerRowDxfId="1728" dataDxfId="1726" headerRowBorderDxfId="1727" tableBorderDxfId="1725">
  <autoFilter ref="B11:AI41" xr:uid="{488A667B-27C2-4003-A53C-C52DE885F6F5}"/>
  <sortState xmlns:xlrd2="http://schemas.microsoft.com/office/spreadsheetml/2017/richdata2" ref="B12:AI41">
    <sortCondition ref="C11:C41"/>
  </sortState>
  <tableColumns count="34">
    <tableColumn id="1" xr3:uid="{C4869650-AB2A-4E52-A8FD-8FC4A1E9B450}" name="Ticker" dataDxfId="1724" totalsRowDxfId="1723"/>
    <tableColumn id="2" xr3:uid="{3392DCC0-4423-44FF-B70A-0E06289D8EEE}" name="Sector" dataDxfId="1722"/>
    <tableColumn id="29" xr3:uid="{7A835F51-8D98-481A-BCE1-CD91D7445A8F}" name="Diretoria" dataDxfId="1721"/>
    <tableColumn id="3" xr3:uid="{B1589ED3-B8E2-4F6B-B66F-D68F68C1ABA6}" name="Crncy" dataDxfId="1720"/>
    <tableColumn id="4" xr3:uid="{616D46BC-AC49-4393-8BDA-875BFB778D29}" name="Long / Short" dataDxfId="1719" totalsRowDxfId="1718">
      <calculatedColumnFormula>IF(T12&gt;0,"Long","Short")</calculatedColumnFormula>
    </tableColumn>
    <tableColumn id="33" xr3:uid="{F6985B5B-9203-43DA-8157-CAE6E92D0561}" name="Qtdd " dataDxfId="1717"/>
    <tableColumn id="5" xr3:uid="{9A4DCF38-5D0D-4646-8CF9-69904711743E}" name="Qtt Shs" dataDxfId="1716"/>
    <tableColumn id="6" xr3:uid="{BC11B5F3-DE4D-477B-AAED-C5AB103E9DA0}" name="Price Today" dataDxfId="1715" totalsRowDxfId="1714">
      <calculatedColumnFormula array="1">_xll.BDP(B12&amp;" Equity","LAST_PRICE")</calculatedColumnFormula>
    </tableColumn>
    <tableColumn id="7" xr3:uid="{704FFD7D-1208-4AA6-81A9-0E257F085F19}" name="% Chg" dataDxfId="1713" totalsRowDxfId="1712">
      <calculatedColumnFormula>I12/K12-1</calculatedColumnFormula>
    </tableColumn>
    <tableColumn id="8" xr3:uid="{E069BEAC-4A43-4F60-BD21-C3F1FDA777D4}" name="Price Yest" dataDxfId="1711" dataCellStyle="Comma">
      <calculatedColumnFormula array="1">_xll.BDP(B12&amp;" EQUITY","PX_YEST_CLOSE")</calculatedColumnFormula>
    </tableColumn>
    <tableColumn id="9" xr3:uid="{A2F51CF4-C965-4A1F-975F-FCDA401F7124}" name="FX" dataDxfId="1710">
      <calculatedColumnFormula array="1">_xll.BDP(E12&amp;" Curncy","PX_LAST")</calculatedColumnFormula>
    </tableColumn>
    <tableColumn id="10" xr3:uid="{0525E66F-8EF5-4CCF-835F-559F3DAE7E58}" name="Mult" dataDxfId="1709" totalsRowDxfId="1708" dataCellStyle="Comma"/>
    <tableColumn id="11" xr3:uid="{8FC681CE-75F1-4027-AD99-551C42A97619}" name="D1 Exp USD" dataDxfId="1707">
      <calculatedColumnFormula>IFERROR(IF(((I12/L12)*H12*M12)&lt;&gt;0,((I12/L12)*H12*M12),0),"-")</calculatedColumnFormula>
    </tableColumn>
    <tableColumn id="12" xr3:uid="{BE55CED1-1EEB-46EA-A2E5-D244B7925B83}" name="D1 Exp %" dataDxfId="1706">
      <calculatedColumnFormula>IFERROR(IF(Tabelad[[#This Row],[D1 Exp USD]]&lt;&gt;0,N12/$AE$7,0),"-")</calculatedColumnFormula>
    </tableColumn>
    <tableColumn id="13" xr3:uid="{622A85AF-E726-48C1-A6C0-2A26A6E13A5C}" name="D1 P&amp;L bps" dataDxfId="1705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4" totalsRowDxfId="1703">
      <calculatedColumnFormula>IF(SUM(SUMIFS(Options!$AL$4:$AL$24, Options!$D$4:$D$24, B12), SUMIFS(Options!$AL$4:$AL$24, Options!$D$4:$D$24, B12 &amp; " US"))=0,0,SUM(SUMIFS(Options!$AL$4:$AL$24, Options!$D$4:$D$24, B12), SUMIFS(Options!$AL$4:$AL$24, Options!$D$4:$D$24, B12 &amp; " US")))</calculatedColumnFormula>
    </tableColumn>
    <tableColumn id="15" xr3:uid="{F6743957-5F8D-4443-94E6-3E6136CB024F}" name="Option Exp %" dataDxfId="1702" totalsRowDxfId="1701" dataCellStyle="Percent">
      <calculatedColumnFormula>Q12/$AE$7</calculatedColumnFormula>
    </tableColumn>
    <tableColumn id="16" xr3:uid="{48C8F341-ED13-4859-B6ED-AB346A494BEF}" name="Options P&amp;L bps" dataDxfId="1700" totalsRowDxfId="1699">
      <calculatedColumnFormula>IF(SUM(SUMIFS(Options!$AK$4:$AK$24, Options!$D$4:$D$24, B12), SUMIFS(Options!$AK$4:$AK$24, Options!$D$4:$D$24, B12 &amp; " US"))=0,0,SUM(SUMIFS(Options!$AK$4:$AK$24, Options!$D$4:$D$24, B12), SUMIFS(Options!AK$4:$AK$24, Options!$D$4:$D$24, B12 &amp; " US")))</calculatedColumnFormula>
    </tableColumn>
    <tableColumn id="17" xr3:uid="{4E94A772-CD12-4BE4-A04C-0E1B9CF86096}" name="Exp" dataDxfId="1698" totalsRowDxfId="1697">
      <calculatedColumnFormula>N12+Q12</calculatedColumnFormula>
    </tableColumn>
    <tableColumn id="18" xr3:uid="{56683745-C1CE-4341-A873-C851B97E4432}" name="Exp %" dataDxfId="1696" totalsRowDxfId="1695">
      <calculatedColumnFormula>T12/$AE$7</calculatedColumnFormula>
    </tableColumn>
    <tableColumn id="19" xr3:uid="{AD790890-4299-4C9E-A460-9342E2B4BE92}" name="P&amp;L bps" dataDxfId="1694" totalsRowDxfId="1693">
      <calculatedColumnFormula>P12+S12</calculatedColumnFormula>
    </tableColumn>
    <tableColumn id="20" xr3:uid="{A3132FF2-B491-42D2-B6D5-98FB024D0411}" name="xx" dataDxfId="1692" totalsRowDxfId="1691">
      <calculatedColumnFormula>$W$10/(I12/L12*M12)</calculatedColumnFormula>
    </tableColumn>
    <tableColumn id="21" xr3:uid="{68119C5E-24ED-4841-8DFC-985A70CC957B}" name="Ticker2" dataDxfId="1690" totalsRowDxfId="1689"/>
    <tableColumn id="22" xr3:uid="{EAB0ADAA-AF64-4574-AD5E-BAD2211681D1}" name="xx2" dataDxfId="1688" totalsRowDxfId="1687">
      <calculatedColumnFormula>Tabelad[[#This Row],[Exp %]]*$Y$10*$AD$7/Tabelad[[#This Row],[Price Today]]</calculatedColumnFormula>
    </tableColumn>
    <tableColumn id="23" xr3:uid="{160D9866-3FEF-4C23-ADDC-0615A4FD8D8A}" name="Beta Adj" dataDxfId="1686">
      <calculatedColumnFormula>Tabelad[[#This Row],[Vol 10d]]/16*Tabelad[[#This Row],[Exp %]]*100</calculatedColumnFormula>
    </tableColumn>
    <tableColumn id="27" xr3:uid="{5FC9F15D-E683-4C75-83A6-A027ED24C573}" name="Expo Beta Adj" dataDxfId="1685" totalsRowDxfId="1684">
      <calculatedColumnFormula>Tabelad[[#This Row],[Exp %]]*Tabelad[[#This Row],[Beta Adj2]]</calculatedColumnFormula>
    </tableColumn>
    <tableColumn id="24" xr3:uid="{02F0D998-EE72-4509-80A1-181D260811AE}" name="Vol 10d" dataDxfId="1683">
      <calculatedColumnFormula>_xll.BDP($B12&amp;" Equity","volatility_10d")</calculatedColumnFormula>
    </tableColumn>
    <tableColumn id="25" xr3:uid="{06753197-209B-42CE-8324-F5BF4E6BBC8C}" name="Beta Adj2" dataDxfId="1682" totalsRowDxfId="1681">
      <calculatedColumnFormula>_xll.BDP(B12&amp;" EQUITY","eqy_beta")</calculatedColumnFormula>
    </tableColumn>
    <tableColumn id="26" xr3:uid="{E0099784-2515-472D-A708-E950C7C1F961}" name="Daily P&amp;L" dataDxfId="1680" totalsRowDxfId="1679">
      <calculatedColumnFormula>Tabelad[[#This Row],[D1 P&amp;L bps]]*$AD$5/10000</calculatedColumnFormula>
    </tableColumn>
    <tableColumn id="28" xr3:uid="{E8C15306-AE60-46ED-BE32-1873B2B613BE}" name="VALUE" dataDxfId="1678" totalsRowDxfId="1677"/>
    <tableColumn id="30" xr3:uid="{3553EED7-0690-4464-BFF1-737C1D716FE2}" name="Report Date2" dataDxfId="1676" totalsRowDxfId="1675">
      <calculatedColumnFormula>_xll.BDP(B12&amp;" Equity","EXPECTED_REPORT_DT")</calculatedColumnFormula>
    </tableColumn>
    <tableColumn id="31" xr3:uid="{5102101F-2C4E-4C70-B272-6AB453BA1BFE}" name="Column3" dataDxfId="1674" totalsRowDxfId="1673">
      <calculatedColumnFormula>_xll.BDP(B12&amp;" Index","CHG_PCT_1D_PRE_FROM_REGULAR")/100</calculatedColumnFormula>
    </tableColumn>
    <tableColumn id="32" xr3:uid="{78144925-541C-4BB9-B1CE-5128912D0AEA}" name="Column4" dataDxfId="1672">
      <calculatedColumnFormula>(T12*AG12)/$AD$7*10000</calculatedColumnFormula>
    </tableColumn>
    <tableColumn id="34" xr3:uid="{F48AA587-E15F-424C-9278-DC54512DF635}" name="Column5" dataDxfId="1671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70" dataDxfId="1669" totalsRowBorderDxfId="1668">
  <autoFilter ref="F3:G136" xr:uid="{50594F44-C7EB-4454-89DA-F08A9C91DB54}"/>
  <tableColumns count="2">
    <tableColumn id="1" xr3:uid="{C2C1762E-B58F-491C-8249-F5F204F351C6}" name="De (Lote)" totalsRowFunction="count" dataDxfId="1667"/>
    <tableColumn id="2" xr3:uid="{2A11C67E-26BC-4BE0-826C-B31A77595F54}" name="Para (Ticker Daniel)" totalsRowFunction="count" dataDxfId="166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6.1262959472195892E-2</v>
      </c>
      <c r="B6" s="145">
        <f>H6-J6</f>
        <v>10.610000000000003</v>
      </c>
      <c r="C6" s="145">
        <f>L6-H6</f>
        <v>0.64999999999999858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33.700000000000003</v>
      </c>
      <c r="I6" s="153">
        <f>H6/J6-1</f>
        <v>0.45950627977479441</v>
      </c>
      <c r="J6" s="149" cm="1">
        <f t="array" ref="J6">IF(ISTEXT($E6),_xll.BDH($E6,"PX_LAST",J$2,J$2,"Fill=P","CDR=US"),"")</f>
        <v>23.09</v>
      </c>
      <c r="K6" s="153">
        <f t="shared" ref="K6:K20" si="0">H6/L6-1</f>
        <v>-1.8922852983988325E-2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-1.5101111494004726E-2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7964.31</v>
      </c>
      <c r="I7" s="153">
        <f t="shared" ref="I7:I20" si="1">H7/J7-1</f>
        <v>0.5297124121995771</v>
      </c>
      <c r="J7" s="143" cm="1">
        <f t="array" ref="J7">IF(ISTEXT($E7),_xll.BDH($E7,"PX_LAST",J$2,J$2,"Fill=P","CDR=US"),"")</f>
        <v>5206.41</v>
      </c>
      <c r="K7" s="153">
        <f t="shared" si="0"/>
        <v>-1.3995909554606834E-2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17.022945518512209</v>
      </c>
      <c r="Q7" s="153">
        <f>$P7/T7-1</f>
        <v>0.26072545961949323</v>
      </c>
      <c r="R7" s="153">
        <f>$P7/U7-1</f>
        <v>0.12658595237371761</v>
      </c>
      <c r="S7" s="144" cm="1">
        <f t="array" ref="S7">_xll.BDP($E7,S$2)</f>
        <v>10.844776560231441</v>
      </c>
      <c r="T7" s="150">
        <f>MEDIAN(_xll.BDH($E7," best pe ratio","-7ay",""," be997=1gy","array=true"," dts=h"  ))</f>
        <v>13.502500000000001</v>
      </c>
      <c r="U7" s="151">
        <f>T7+W7</f>
        <v>15.110205734986174</v>
      </c>
      <c r="V7" s="151">
        <f>T7-W7</f>
        <v>11.894794265013829</v>
      </c>
      <c r="W7" s="150">
        <f>STDEV(_xll.BDH($E7," best pe ratio","-7ay",""," be997=1gy","array=true"," dts=h"  ))</f>
        <v>1.6077057349861732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4706.96</v>
      </c>
      <c r="I8" s="154">
        <f t="shared" si="1"/>
        <v>0.46508298161082684</v>
      </c>
      <c r="J8" s="140" cm="1">
        <f t="array" ref="J8">IF(ISTEXT($E8),_xll.BDH($E8,"PX_LAST",J$2,J$2,"Fill=P","CDR=US"),"")</f>
        <v>3212.76</v>
      </c>
      <c r="K8" s="154">
        <f t="shared" si="0"/>
        <v>-2.6876385167543204E-2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16.890560102565548</v>
      </c>
      <c r="Q8" s="154">
        <f>P8/T8-1</f>
        <v>0.23871952642481364</v>
      </c>
      <c r="R8" s="154">
        <f>$P8/U8-1</f>
        <v>0.10271534023943918</v>
      </c>
      <c r="S8" s="141" cm="1">
        <f t="array" ref="S8">_xll.BDP($E8,S$2)</f>
        <v>10.809817071967945</v>
      </c>
      <c r="T8" s="146">
        <f>MEDIAN(_xll.BDH($E8," best pe ratio","-7ay",""," be997=1gy","array=true"," dts=h"  ))</f>
        <v>13.6355</v>
      </c>
      <c r="U8" s="147">
        <f>T8+W8</f>
        <v>15.317244157406932</v>
      </c>
      <c r="V8" s="147">
        <f>T8-W8</f>
        <v>11.953755842593068</v>
      </c>
      <c r="W8" s="146">
        <f>STDEV(_xll.BDH($E8," best pe ratio","-7ay",""," be997=1gy","array=true"," dts=h"  ))</f>
        <v>1.6817441574069329</v>
      </c>
    </row>
    <row r="9" spans="1:26">
      <c r="A9" s="2">
        <f>C9/B9</f>
        <v>0.21665250637213224</v>
      </c>
      <c r="B9" s="145">
        <f>H9-J9</f>
        <v>11.770000000000003</v>
      </c>
      <c r="C9" s="145">
        <f>L9-H9</f>
        <v>2.5499999999999972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39.450000000000003</v>
      </c>
      <c r="I9" s="153">
        <f t="shared" si="1"/>
        <v>0.42521676300578037</v>
      </c>
      <c r="J9" s="149" cm="1">
        <f t="array" ref="J9">IF(ISTEXT($E9),_xll.BDH($E9,"PX_LAST",J$2,J$2,"Fill=P","CDR=US"),"")</f>
        <v>27.68</v>
      </c>
      <c r="K9" s="153">
        <f t="shared" si="0"/>
        <v>-6.071428571428561E-2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36952.93</v>
      </c>
      <c r="I10" s="153">
        <f t="shared" si="1"/>
        <v>0.50984693531503256</v>
      </c>
      <c r="J10" s="143" cm="1">
        <f t="array" ref="J10">IF(ISTEXT($E10),_xll.BDH($E10,"PX_LAST",J$2,J$2,"Fill=P","CDR=US"),"")</f>
        <v>24474.62</v>
      </c>
      <c r="K10" s="153">
        <f t="shared" si="0"/>
        <v>-4.8499993562756694E-2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11.273042547518067</v>
      </c>
      <c r="Q10" s="153">
        <f>P10/T10-1</f>
        <v>0.23673013730012138</v>
      </c>
      <c r="R10" s="153">
        <f>$P10/U10-1</f>
        <v>6.7126110447393028E-2</v>
      </c>
      <c r="S10" s="144" cm="1">
        <f t="array" ref="S10">_xll.BDP($E10,S$2)</f>
        <v>11.204362008647758</v>
      </c>
      <c r="T10" s="150">
        <f>MEDIAN(_xll.BDH($E10," best pe ratio","-7ay",""," be997=1gy","array=true"," dts=h"  ))</f>
        <v>9.1151999999999997</v>
      </c>
      <c r="U10" s="151">
        <f>T10+W10</f>
        <v>10.563927203310431</v>
      </c>
      <c r="V10" s="151">
        <f>T10-W10</f>
        <v>7.6664727966895674</v>
      </c>
      <c r="W10" s="150">
        <f>STDEV(_xll.BDH($E10," best pe ratio","-7ay",""," be997=1gy","array=true"," dts=h"  ))</f>
        <v>1.4487272033104321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14877.96</v>
      </c>
      <c r="I11" s="154">
        <f t="shared" si="1"/>
        <v>0.31358796418922474</v>
      </c>
      <c r="J11" s="140" cm="1">
        <f t="array" ref="J11">IF(ISTEXT($E11),_xll.BDH($E11,"PX_LAST",J$2,J$2,"Fill=P","CDR=US"),"")</f>
        <v>11326.2</v>
      </c>
      <c r="K11" s="154">
        <f t="shared" si="0"/>
        <v>-5.5943643275436439E-2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13.38393400527713</v>
      </c>
      <c r="Q11" s="154">
        <f>P11/T11-1</f>
        <v>0.1587921977919402</v>
      </c>
      <c r="R11" s="154">
        <f>$P11/U11-1</f>
        <v>2.6648878351111183E-2</v>
      </c>
      <c r="S11" s="141" cm="1">
        <f t="array" ref="S11">_xll.BDP($E11,S$2)</f>
        <v>12.203413868450703</v>
      </c>
      <c r="T11" s="146">
        <f>MEDIAN(_xll.BDH($E11," best pe ratio","-7ay",""," be997=1gy","array=true"," dts=h"  ))</f>
        <v>11.549899999999999</v>
      </c>
      <c r="U11" s="147">
        <f>T11+W11</f>
        <v>13.036525230293837</v>
      </c>
      <c r="V11" s="147">
        <f>T11-W11</f>
        <v>10.063274769706162</v>
      </c>
      <c r="W11" s="146">
        <f>STDEV(_xll.BDH($E11," best pe ratio","-7ay",""," be997=1gy","array=true"," dts=h"  ))</f>
        <v>1.4866252302938383</v>
      </c>
    </row>
    <row r="12" spans="1:26">
      <c r="A12" s="2">
        <f>C12/B12</f>
        <v>0.87834691501746243</v>
      </c>
      <c r="B12" s="145">
        <f>H12-J12</f>
        <v>8.59</v>
      </c>
      <c r="C12" s="145">
        <f>L12-H12</f>
        <v>7.5450000000000017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35.82</v>
      </c>
      <c r="I12" s="153">
        <f t="shared" si="1"/>
        <v>0.31546088872567024</v>
      </c>
      <c r="J12" s="149" cm="1">
        <f t="array" ref="J12">IF(ISTEXT($E12),_xll.BDH($E12,"PX_LAST",J$2,J$2,"Fill=P","CDR=US"),"")</f>
        <v>27.23</v>
      </c>
      <c r="K12" s="153">
        <f t="shared" si="0"/>
        <v>-0.17398823936354202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6061.2187999999996</v>
      </c>
      <c r="I13" s="153">
        <f t="shared" si="1"/>
        <v>0.45005199759521575</v>
      </c>
      <c r="J13" s="143" cm="1">
        <f t="array" ref="J13">IF(ISTEXT($E13),_xll.BDH($E13,"PX_LAST",J$2,J$2,"Fill=P","CDR=US"),"")</f>
        <v>4180.0010000000002</v>
      </c>
      <c r="K13" s="153">
        <f t="shared" si="0"/>
        <v>-0.11838112632818054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5725.99</v>
      </c>
      <c r="I14" s="154">
        <f t="shared" si="1"/>
        <v>0.54828879449039691</v>
      </c>
      <c r="J14" s="140" cm="1">
        <f t="array" ref="J14">IF(ISTEXT($E14),_xll.BDH($E14,"PX_LAST",J$2,J$2,"Fill=P","CDR=US"),"")</f>
        <v>3698.27</v>
      </c>
      <c r="K14" s="154">
        <f t="shared" si="0"/>
        <v>-0.14734210314706664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27.679088373849385</v>
      </c>
      <c r="Q14" s="154">
        <f>P14/T14-1</f>
        <v>2.2090827054888962E-2</v>
      </c>
      <c r="R14" s="154">
        <f>$P14/U14-1</f>
        <v>-0.28218006121026651</v>
      </c>
      <c r="S14" s="141" cm="1">
        <f t="array" ref="S14">_xll.BDP($E14,S$2)</f>
        <v>9.4943562339518444</v>
      </c>
      <c r="T14" s="146">
        <f>MEDIAN(_xll.BDH($E14," best pe ratio","-7ay",""," be997=1gy","array=true"," dts=h"  ))</f>
        <v>27.080849999999998</v>
      </c>
      <c r="U14" s="147">
        <f>T14+W14</f>
        <v>38.559932481838246</v>
      </c>
      <c r="V14" s="147">
        <f>T14-W14</f>
        <v>15.601767518161752</v>
      </c>
      <c r="W14" s="146">
        <f>STDEV(_xll.BDH($E14," best pe ratio","-7ay",""," be997=1gy","array=true"," dts=h"  ))</f>
        <v>11.479082481838246</v>
      </c>
    </row>
    <row r="15" spans="1:26">
      <c r="A15" s="2">
        <f>C15/B15</f>
        <v>0.24303419745005345</v>
      </c>
      <c r="B15" s="145">
        <f>H15-J15</f>
        <v>19.379999999999995</v>
      </c>
      <c r="C15" s="145">
        <f>L15-H15</f>
        <v>4.7100027465820347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62.66</v>
      </c>
      <c r="I15" s="153">
        <f t="shared" si="1"/>
        <v>0.44778188539741204</v>
      </c>
      <c r="J15" s="149" cm="1">
        <f t="array" ref="J15">IF(ISTEXT($E15),_xll.BDH($E15,"PX_LAST",J$2,J$2,"Fill=P","CDR=US"),"")</f>
        <v>43.28</v>
      </c>
      <c r="K15" s="153">
        <f t="shared" si="0"/>
        <v>-6.9912461845951013E-2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691.70510000000002</v>
      </c>
      <c r="I16" s="153">
        <f t="shared" si="1"/>
        <v>0.53008744240370387</v>
      </c>
      <c r="J16" s="143" cm="1">
        <f t="array" ref="J16">IF(ISTEXT($E16),_xll.BDH($E16,"PX_LAST",J$2,J$2,"Fill=P","CDR=US"),"")</f>
        <v>452.06900000000002</v>
      </c>
      <c r="K16" s="153">
        <f t="shared" si="0"/>
        <v>-5.1357301985154202E-2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14.261623746431244</v>
      </c>
      <c r="Q16" s="153">
        <f>P16/T16-1</f>
        <v>0.16133218351448186</v>
      </c>
      <c r="R16" s="153">
        <f>$P16/U16-1</f>
        <v>-3.8576636216721583E-2</v>
      </c>
      <c r="S16" s="144" cm="1">
        <f t="array" ref="S16">_xll.BDP($E16,S$2)</f>
        <v>11.428824062221478</v>
      </c>
      <c r="T16" s="150">
        <f>MEDIAN(_xll.BDH($E16," best pe ratio","-7ay",""," be997=1gy","array=true"," dts=h"  ))</f>
        <v>12.2804</v>
      </c>
      <c r="U16" s="151">
        <f>T16+W16</f>
        <v>14.833864334553516</v>
      </c>
      <c r="V16" s="151">
        <f>T16-W16</f>
        <v>9.7269356654464847</v>
      </c>
      <c r="W16" s="150">
        <f>STDEV(_xll.BDH($E16," best pe ratio","-7ay",""," be997=1gy","array=true"," dts=h"  ))</f>
        <v>2.553464334553516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86.41</v>
      </c>
      <c r="I17" s="154">
        <f t="shared" si="1"/>
        <v>0.49291637871458183</v>
      </c>
      <c r="J17" s="140" cm="1">
        <f t="array" ref="J17">IF(ISTEXT($E17),_xll.BDH($E17,"PX_LAST",J$2,J$2,"Fill=P","CDR=US"),"")</f>
        <v>57.88</v>
      </c>
      <c r="K17" s="154">
        <f t="shared" si="0"/>
        <v>-5.6556392619281692E-2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14.261623746431246</v>
      </c>
      <c r="Q17" s="154">
        <f>P17/T17-1</f>
        <v>0.16149297127800533</v>
      </c>
      <c r="R17" s="154">
        <f>$P17/U17-1</f>
        <v>-3.8471762320248182E-2</v>
      </c>
      <c r="S17" s="141" cm="1">
        <f t="array" ref="S17">_xll.BDP($E17,S$2)</f>
        <v>11.428824062221478</v>
      </c>
      <c r="T17" s="146">
        <f>MEDIAN(_xll.BDH($E17," best pe ratio","-7ay",""," be997=1gy","array=true"," dts=h"  ))</f>
        <v>12.278700000000001</v>
      </c>
      <c r="U17" s="147">
        <f>T17+W17</f>
        <v>14.83224640479175</v>
      </c>
      <c r="V17" s="147">
        <f>T17-W17</f>
        <v>9.7251535952082513</v>
      </c>
      <c r="W17" s="146">
        <f>STDEV(_xll.BDH($E17," best pe ratio","-7ay",""," be997=1gy","array=true"," dts=h"  ))</f>
        <v>2.5535464047917484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26765.52</v>
      </c>
      <c r="I18" s="153">
        <f t="shared" si="1"/>
        <v>0.46683611815788906</v>
      </c>
      <c r="J18" s="143" cm="1">
        <f t="array" ref="J18">IF(ISTEXT($E18),_xll.BDH($E18,"PX_LAST",J$2,J$2,"Fill=P","CDR=US"),"")</f>
        <v>18247.11</v>
      </c>
      <c r="K18" s="153">
        <f t="shared" si="0"/>
        <v>-2.2508348598925365E-2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13.045596037890236</v>
      </c>
      <c r="Q18" s="153">
        <f>P18/T18-1</f>
        <v>0.19990397876145005</v>
      </c>
      <c r="R18" s="153">
        <f>$P18/U18-1</f>
        <v>4.1876361003807316E-2</v>
      </c>
      <c r="S18" s="144" cm="1">
        <f t="array" ref="S18">_xll.BDP($E18,S$2)</f>
        <v>10.489075383556736</v>
      </c>
      <c r="T18" s="150">
        <f>MEDIAN(_xll.BDH($E18," best pe ratio","-7ay",""," be997=1gy","array=true"," dts=h"  ))</f>
        <v>10.872199999999999</v>
      </c>
      <c r="U18" s="151">
        <f>T18+W18</f>
        <v>12.521251586245139</v>
      </c>
      <c r="V18" s="151">
        <f>T18-W18</f>
        <v>9.2231484137548598</v>
      </c>
      <c r="W18" s="150">
        <f>STDEV(_xll.BDH($E18," best pe ratio","-7ay",""," be997=1gy","array=true"," dts=h"  ))</f>
        <v>1.6490515862451403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9147.2099999999991</v>
      </c>
      <c r="I19" s="153">
        <f t="shared" si="1"/>
        <v>0.43169439105473706</v>
      </c>
      <c r="J19" s="143" cm="1">
        <f t="array" ref="J19">IF(ISTEXT($E19),_xll.BDH($E19,"PX_LAST",J$2,J$2,"Fill=P","CDR=US"),"")</f>
        <v>6389.08</v>
      </c>
      <c r="K19" s="153">
        <f t="shared" si="0"/>
        <v>-6.3765261954451313E-2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11.816960398848797</v>
      </c>
      <c r="Q19" s="153">
        <f>P19/T19-1</f>
        <v>0.3286141978872521</v>
      </c>
      <c r="R19" s="153">
        <f>$P19/U19-1</f>
        <v>0.1673155671702744</v>
      </c>
      <c r="S19" s="144" cm="1">
        <f t="array" ref="S19">_xll.BDP($E19,S$2)</f>
        <v>10.998833359189032</v>
      </c>
      <c r="T19" s="150">
        <f>MEDIAN(_xll.BDH($E19," best pe ratio","-7ay",""," be997=1gy","array=true"," dts=h"  ))</f>
        <v>8.8941999999999997</v>
      </c>
      <c r="U19" s="151">
        <f>T19+W19</f>
        <v>10.123192674877673</v>
      </c>
      <c r="V19" s="151">
        <f>T19-W19</f>
        <v>7.6652073251223261</v>
      </c>
      <c r="W19" s="150">
        <f>STDEV(_xll.BDH($E19," best pe ratio","-7ay",""," be997=1gy","array=true"," dts=h"  ))</f>
        <v>1.2289926748776732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4132.6049999999996</v>
      </c>
      <c r="I20" s="153">
        <f t="shared" si="1"/>
        <v>0.50335695717369511</v>
      </c>
      <c r="J20" s="143" cm="1">
        <f t="array" ref="J20">IF(ISTEXT($E20),_xll.BDH($E20,"PX_LAST",J$2,J$2,"Fill=P","CDR=US"),"")</f>
        <v>2748.9180000000001</v>
      </c>
      <c r="K20" s="153">
        <f t="shared" si="0"/>
        <v>-1.3901899989167021E-2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15.803578097525065</v>
      </c>
      <c r="Q20" s="153">
        <f>P20/T20-1</f>
        <v>0.2941129633820343</v>
      </c>
      <c r="R20" s="153">
        <f>$P20/U20-1</f>
        <v>0.16224794633276596</v>
      </c>
      <c r="S20" s="144" cm="1">
        <f t="array" ref="S20">_xll.BDP($E20,S$2)</f>
        <v>9.653484324014304</v>
      </c>
      <c r="T20" s="150">
        <f>MEDIAN(_xll.BDH($E20," best pe ratio","-7ay",""," be997=1gy","array=true"," dts=h"  ))</f>
        <v>12.2119</v>
      </c>
      <c r="U20" s="151">
        <f>T20+W20</f>
        <v>13.597423981165122</v>
      </c>
      <c r="V20" s="151">
        <f>T20-W20</f>
        <v>10.826376018834878</v>
      </c>
      <c r="W20" s="150">
        <f>STDEV(_xll.BDH($E20," best pe ratio","-7ay",""," be997=1gy","array=true"," dts=h"  ))</f>
        <v>1.385523981165121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8.8528759238577538E-3</v>
      </c>
      <c r="AP1" s="23"/>
    </row>
    <row r="2" spans="1:47" outlineLevel="1">
      <c r="D2" s="7" t="s">
        <v>66</v>
      </c>
      <c r="E2" s="265">
        <f>D4+E4</f>
        <v>6.9227326634612139E-3</v>
      </c>
      <c r="Q2" s="179">
        <f ca="1">WORKDAY(Q3,-126)</f>
        <v>45870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46048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46016</v>
      </c>
      <c r="AN3" s="180">
        <f ca="1">WORKDAY($Q$3,-66)</f>
        <v>45954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7.8878042936594839E-3</v>
      </c>
      <c r="E4" s="265">
        <f>SUM(E8:E24)</f>
        <v>-9.6507163019826994E-4</v>
      </c>
      <c r="Q4" s="181" t="str">
        <f ca="1">YEAR($Q$2)&amp;TEXT(MONTH($Q$2),"00")&amp;TEXT(DAY($Q$2),"00")</f>
        <v>20250801</v>
      </c>
      <c r="X4" s="182"/>
    </row>
    <row r="5" spans="1:47" outlineLevel="1">
      <c r="C5" s="7" t="s">
        <v>91</v>
      </c>
      <c r="D5" s="265">
        <f>SUM(D22:D23)</f>
        <v>9.8726475971437394E-4</v>
      </c>
      <c r="Q5" s="181" t="str">
        <f ca="1">YEAR(TODAY())&amp;TEXT(MONTH(TODAY()),"00")&amp;TEXT(DAY(TODAY()),"00")</f>
        <v>20260126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470.28</v>
      </c>
      <c r="H8" s="188" cm="1">
        <f t="array" ref="H8">G8/_xll.BDP(B8&amp;" Equity", "PREV_CLOSE_VAL")-1</f>
        <v>9.2928425796758862E-3</v>
      </c>
      <c r="I8" s="187" cm="1">
        <f t="array" ref="I8">_xll.BDP(C8&amp;" Equity","LAST PRICE")</f>
        <v>98.81</v>
      </c>
      <c r="J8" s="188" cm="1">
        <f t="array" ref="J8">I8/_xll.BDP(C8&amp;" Equity", "PREV_CLOSE_VAL")-1</f>
        <v>1.1257803704840974E-2</v>
      </c>
      <c r="K8" s="189">
        <f t="shared" ref="K8:K18" si="1">G8/I8</f>
        <v>4.7594373039166076</v>
      </c>
      <c r="L8" s="188" cm="1">
        <f t="array" ref="L8">K8/(_xll.BDP(B8&amp;" Equity", "PREV_CLOSE_VAL")/_xll.BDP(C8&amp;" Equity", "PREV_CLOSE_VAL"))-1</f>
        <v>-1.9430862416746075E-3</v>
      </c>
      <c r="M8" s="188"/>
      <c r="N8" s="190">
        <f t="shared" ref="N8:N18" si="2">ABS(L8/O8)</f>
        <v>0.19363267896175931</v>
      </c>
      <c r="O8" s="191">
        <f t="shared" ref="O8:O18" si="3">P8/15.87/100</f>
        <v>1.0034908632640203E-2</v>
      </c>
      <c r="P8" s="192" cm="1">
        <f t="array" ref="P8">_xll.BDP($A8&amp;" Index","VOLATILITY_30D")</f>
        <v>15.9254</v>
      </c>
      <c r="Q8" s="192" cm="1">
        <f t="array" aca="1" ref="Q8" ca="1">(_xll.BDP(($B8&amp; " Equity"),"CORR_COEF", "BETA_OVERRIDE_REL_INDEX",($C8&amp; " Equity"),"BETA_OVERRIDE_END_DT",$Q$5,"BETA_OVERRIDE_START_DT",$Q$4))*100</f>
        <v>71.687275300124597</v>
      </c>
      <c r="R8" s="188"/>
      <c r="S8" s="188" cm="1">
        <f t="array" ref="S8">_xll.BDP($A8&amp;" Index","CHG_PCT_2D")/100</f>
        <v>2.4234789999999999E-2</v>
      </c>
      <c r="T8" s="188" cm="1">
        <f t="array" ref="T8">_xll.BDP($A8&amp;" Index","CHG_PCT_5D")/100</f>
        <v>1.9013389999999998E-2</v>
      </c>
      <c r="U8" s="188" cm="1">
        <f t="array" ref="U8">K8/_xll.BDP($A8&amp;" Index","HIGH_52WEEK")-1</f>
        <v>-1.4731647431663109E-2</v>
      </c>
      <c r="V8" s="188" cm="1">
        <f t="array" ref="V8">K8/_xll.BDP($A8&amp;" Index","LOW_52WEEK")-1</f>
        <v>0.25283297549227091</v>
      </c>
      <c r="W8" s="188"/>
      <c r="X8" s="192" cm="1">
        <f t="array" ref="X8">_xll.BDP($A8&amp;" Index","RSI_14D")</f>
        <v>65.189049999999995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8.9116087852770587E-2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2.2959946749818685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1.5235457063711877E-2</v>
      </c>
      <c r="AN8" s="194">
        <f ca="1">IF(ISTEXT(B8),AP8/_xll.BDH(B8 &amp;  " Equity","BEST_EPS",$AN$3,$AN$3,"BEST_FPERIOD_OVERRIDE=1BF","CDR=US","Fill=p")-1,"")</f>
        <v>6.7281441485166349E-2</v>
      </c>
      <c r="AO8" s="196">
        <f t="shared" ref="AO8:AO18" ca="1" si="7">G8/AP8</f>
        <v>26.732605729877218</v>
      </c>
      <c r="AP8" s="196" cm="1">
        <f t="array" aca="1" ref="AP8" ca="1">IF(ISTEXT(B8),_xll.BDH(B8 &amp;  " Equity","BEST_EPS",$Q$3,$Q$3,"BEST_FPERIOD_OVERRIDE=1BF","CDR=US","Fill=p"),"")</f>
        <v>17.591999999999999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9.500392708077733E-4</v>
      </c>
      <c r="E9" s="255">
        <f>SUMIF(Tabelad[Ticker],PAIR_Monitor!C9,Tabelad[Exp %])</f>
        <v>-9.500392708077733E-4</v>
      </c>
      <c r="F9" s="254"/>
      <c r="G9" s="187" cm="1">
        <f t="array" ref="G9">_xll.BDP(B9&amp;" Equity","LAST PRICE")</f>
        <v>470.28</v>
      </c>
      <c r="H9" s="188" cm="1">
        <f t="array" ref="H9">G9/_xll.BDP(B9&amp;" Equity", "PREV_CLOSE_VAL")-1</f>
        <v>9.2928425796758862E-3</v>
      </c>
      <c r="I9" s="187" cm="1">
        <f t="array" ref="I9">_xll.BDP(C9&amp;" Equity","LAST PRICE")</f>
        <v>82.78</v>
      </c>
      <c r="J9" s="188" cm="1">
        <f t="array" ref="J9">I9/_xll.BDP(C9&amp;" Equity", "PREV_CLOSE_VAL")-1</f>
        <v>-1.5679652635387509E-3</v>
      </c>
      <c r="K9" s="189">
        <f t="shared" si="1"/>
        <v>5.6810823870500116</v>
      </c>
      <c r="L9" s="188" cm="1">
        <f t="array" ref="L9">K9/(_xll.BDP(B9&amp;" Equity", "PREV_CLOSE_VAL")/_xll.BDP(C9&amp;" Equity", "PREV_CLOSE_VAL"))-1</f>
        <v>1.087786395603918E-2</v>
      </c>
      <c r="M9" s="188"/>
      <c r="N9" s="190">
        <f t="shared" si="2"/>
        <v>0.64030368775513069</v>
      </c>
      <c r="O9" s="191">
        <f t="shared" si="3"/>
        <v>1.6988601134215499E-2</v>
      </c>
      <c r="P9" s="192" cm="1">
        <f t="array" ref="P9">_xll.BDP($A9&amp;" Index","VOLATILITY_30D")</f>
        <v>26.960909999999998</v>
      </c>
      <c r="Q9" s="192" cm="1">
        <f t="array" aca="1" ref="Q9" ca="1">(_xll.BDP(($B9&amp; " Equity"),"CORR_COEF", "BETA_OVERRIDE_REL_INDEX",($C9&amp; " Equity"),"BETA_OVERRIDE_END_DT",$Q$5,"BETA_OVERRIDE_START_DT",$Q$4))*100</f>
        <v>-6.6675951951248136</v>
      </c>
      <c r="R9" s="188"/>
      <c r="S9" s="188" cm="1">
        <f t="array" ref="S9">_xll.BDP($A9&amp;" Index","CHG_PCT_2D")/100</f>
        <v>3.730526E-2</v>
      </c>
      <c r="T9" s="188" cm="1">
        <f t="array" ref="T9">_xll.BDP($A9&amp;" Index","CHG_PCT_5D")/100</f>
        <v>1.5656360000000001E-2</v>
      </c>
      <c r="U9" s="188" cm="1">
        <f t="array" ref="U9">K9/_xll.BDP($A9&amp;" Index","HIGH_52WEEK")-1</f>
        <v>-0.19664431174867514</v>
      </c>
      <c r="V9" s="188" cm="1">
        <f t="array" ref="V9">K9/_xll.BDP($A9&amp;" Index","LOW_52WEEK")-1</f>
        <v>0.28279939915234209</v>
      </c>
      <c r="W9" s="188"/>
      <c r="X9" s="192" cm="1">
        <f t="array" ref="X9">_xll.BDP($A9&amp;" Index","RSI_14D")</f>
        <v>38.37867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2.5466134846572563E-2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2.2959946749818685</v>
      </c>
      <c r="AI9" s="196" cm="1">
        <f t="array" ref="AI9">(_xll.BDP(C9&amp;" Equity","SHORT_INT")/_xll.BDP(C9&amp;" Equity","VOLUME_AVG_90D"))</f>
        <v>3.821834557049733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1.5235457063711877E-2</v>
      </c>
      <c r="AN9" s="194">
        <f ca="1">IF(ISTEXT(B9),AP9/_xll.BDH(B9 &amp;  " Equity","BEST_EPS",$AN$3,$AN$3,"BEST_FPERIOD_OVERRIDE=1BF","CDR=US","Fill=p")-1,"")</f>
        <v>6.7281441485166349E-2</v>
      </c>
      <c r="AO9" s="196">
        <f t="shared" ca="1" si="7"/>
        <v>26.732605729877218</v>
      </c>
      <c r="AP9" s="196" cm="1">
        <f t="array" aca="1" ref="AP9" ca="1">IF(ISTEXT(B9),_xll.BDH(B9 &amp;  " Equity","BEST_EPS",$Q$3,$Q$3,"BEST_FPERIOD_OVERRIDE=1BF","CDR=US","Fill=p"),"")</f>
        <v>17.591999999999999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672.36</v>
      </c>
      <c r="H10" s="257" cm="1">
        <f t="array" ref="H10">G10/_xll.BDP(B10&amp;" Equity", "PREV_CLOSE_VAL")-1</f>
        <v>2.0644847896047258E-2</v>
      </c>
      <c r="I10" s="256" cm="1">
        <f t="array" ref="I10">_xll.BDP(C10&amp;" Equity","LAST PRICE")</f>
        <v>692.73</v>
      </c>
      <c r="J10" s="257" cm="1">
        <f t="array" ref="J10">I10/_xll.BDP(C10&amp;" Equity", "PREV_CLOSE_VAL")-1</f>
        <v>5.0781306675564686E-3</v>
      </c>
      <c r="K10" s="258">
        <f t="shared" si="1"/>
        <v>0.97059460395825214</v>
      </c>
      <c r="L10" s="257" cm="1">
        <f t="array" ref="L10">K10/(_xll.BDP(B10&amp;" Equity", "PREV_CLOSE_VAL")/_xll.BDP(C10&amp;" Equity", "PREV_CLOSE_VAL"))-1</f>
        <v>1.5488066801484957E-2</v>
      </c>
      <c r="M10" s="257"/>
      <c r="N10" s="190">
        <f t="shared" si="2"/>
        <v>1.0765904855367971</v>
      </c>
      <c r="O10" s="191">
        <f t="shared" si="3"/>
        <v>1.4386219281663514E-2</v>
      </c>
      <c r="P10" s="259" cm="1">
        <f t="array" ref="P10">_xll.BDP($A10&amp;" Index","VOLATILITY_30D")</f>
        <v>22.830929999999999</v>
      </c>
      <c r="Q10" s="259" cm="1">
        <f t="array" aca="1" ref="Q10" ca="1">(_xll.BDP(($B10&amp; " Equity"),"CORR_COEF", "BETA_OVERRIDE_REL_INDEX",($C10&amp; " Equity"),"BETA_OVERRIDE_END_DT",$Q$5,"BETA_OVERRIDE_START_DT",$Q$4))*100</f>
        <v>44.601819700451841</v>
      </c>
      <c r="R10" s="257"/>
      <c r="S10" s="257" cm="1">
        <f t="array" ref="S10">_xll.BDP($A10&amp;" Index","CHG_PCT_2D")/100</f>
        <v>3.2209389999999997E-2</v>
      </c>
      <c r="T10" s="257" cm="1">
        <f t="array" ref="T10">_xll.BDP($A10&amp;" Index","CHG_PCT_5D")/100</f>
        <v>8.1967040000000005E-2</v>
      </c>
      <c r="U10" s="257" cm="1">
        <f t="array" ref="U10">K10/_xll.BDP($A10&amp;" Index","HIGH_52WEEK")-1</f>
        <v>-0.21093077195378063</v>
      </c>
      <c r="V10" s="257" cm="1">
        <f t="array" ref="V10">K10/_xll.BDP($A10&amp;" Index","LOW_52WEEK")-1</f>
        <v>8.9490726995242964E-2</v>
      </c>
      <c r="W10" s="257"/>
      <c r="X10" s="259" cm="1">
        <f t="array" ref="X10">_xll.BDP($A10&amp;" Index","RSI_14D")</f>
        <v>57.058129999999998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-0.11764126912886175</v>
      </c>
      <c r="AE10" s="257"/>
      <c r="AF10" s="261">
        <f>IF(ISTEXT(B10),_xll.BDP(B10 &amp; " Equity","EXPECTED_REPORT_DT")*1,"")</f>
        <v>46050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1.957516893290224</v>
      </c>
      <c r="AI10" s="262" cm="1">
        <f t="array" ref="AI10">(_xll.BDP(C10&amp;" Equity","SHORT_INT")/_xll.BDP(C10&amp;" Equity","VOLUME_AVG_90D"))</f>
        <v>1.2576317536429813</v>
      </c>
      <c r="AJ10" s="262" cm="1">
        <f t="array" ref="AJ10">(_xll.BDP(B10&amp;" Equity","SHORT_INT"))/((_xll.BDP(B10&amp;" Equity","EQY_FREE_FLOAT_PCT"))*(_xll.BDP(B10&amp;" Equity","EQY_SH_OUT_TOT_MULT_SH")))/100</f>
        <v>1.315029992310595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1.6336826931739878E-2</v>
      </c>
      <c r="AN10" s="260">
        <f ca="1">IF(ISTEXT(B10),AP10/_xll.BDH(B10 &amp;  " Equity","BEST_EPS",$AN$3,$AN$3,"BEST_FPERIOD_OVERRIDE=1BF","CDR=US","Fill=p")-1,"")</f>
        <v>-2.4584966566751021E-2</v>
      </c>
      <c r="AO10" s="262">
        <f t="shared" ca="1" si="7"/>
        <v>19.867033064444641</v>
      </c>
      <c r="AP10" s="262" cm="1">
        <f t="array" aca="1" ref="AP10" ca="1">IF(ISTEXT(B10),_xll.BDH(B10 &amp;  " Equity","BEST_EPS",$Q$3,$Q$3,"BEST_FPERIOD_OVERRIDE=1BF","CDR=US","Fill=p"),"")</f>
        <v>33.843000000000004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-1.0659119688858239E-3</v>
      </c>
      <c r="E11" s="255">
        <f>SUMIF(Tabelad[Ticker],PAIR_Monitor!C11,Tabelad[Exp %])</f>
        <v>1.0659119688858239E-3</v>
      </c>
      <c r="F11" s="254"/>
      <c r="G11" s="256" cm="1">
        <f t="array" ref="G11">_xll.BDP(B11&amp;" Equity","LAST PRICE")</f>
        <v>672.36</v>
      </c>
      <c r="H11" s="257" cm="1">
        <f t="array" ref="H11">G11/_xll.BDP(B11&amp;" Equity", "PREV_CLOSE_VAL")-1</f>
        <v>2.0644847896047258E-2</v>
      </c>
      <c r="I11" s="256" cm="1">
        <f t="array" ref="I11">_xll.BDP(C11&amp;" Equity","LAST PRICE")</f>
        <v>255.41</v>
      </c>
      <c r="J11" s="257" cm="1">
        <f t="array" ref="J11">I11/_xll.BDP(C11&amp;" Equity", "PREV_CLOSE_VAL")-1</f>
        <v>2.9712949524270282E-2</v>
      </c>
      <c r="K11" s="258">
        <f t="shared" si="1"/>
        <v>2.6324732782584865</v>
      </c>
      <c r="L11" s="257" cm="1">
        <f t="array" ref="L11">K11/(_xll.BDP(B11&amp;" Equity", "PREV_CLOSE_VAL")/_xll.BDP(C11&amp;" Equity", "PREV_CLOSE_VAL"))-1</f>
        <v>-8.8064364271738249E-3</v>
      </c>
      <c r="M11" s="257"/>
      <c r="N11" s="190">
        <f t="shared" si="2"/>
        <v>0.51728576123647074</v>
      </c>
      <c r="O11" s="191">
        <f t="shared" si="3"/>
        <v>1.7024316320100819E-2</v>
      </c>
      <c r="P11" s="259" cm="1">
        <f t="array" ref="P11">_xll.BDP($A11&amp;" Index","VOLATILITY_30D")</f>
        <v>27.017589999999998</v>
      </c>
      <c r="Q11" s="259" cm="1">
        <f t="array" aca="1" ref="Q11" ca="1">(_xll.BDP(($B11&amp; " Equity"),"CORR_COEF", "BETA_OVERRIDE_REL_INDEX",($C11&amp; " Equity"),"BETA_OVERRIDE_END_DT",$Q$5,"BETA_OVERRIDE_START_DT",$Q$4))*100</f>
        <v>11.051992615610793</v>
      </c>
      <c r="R11" s="257"/>
      <c r="S11" s="257" cm="1">
        <f t="array" ref="S11">_xll.BDP($A11&amp;" Index","CHG_PCT_2D")/100</f>
        <v>1.056436E-2</v>
      </c>
      <c r="T11" s="257" cm="1">
        <f t="array" ref="T11">_xll.BDP($A11&amp;" Index","CHG_PCT_5D")/100</f>
        <v>8.5680099999999995E-2</v>
      </c>
      <c r="U11" s="257" cm="1">
        <f t="array" ref="U11">K11/_xll.BDP($A11&amp;" Index","HIGH_52WEEK")-1</f>
        <v>-0.31049182056667624</v>
      </c>
      <c r="V11" s="257" cm="1">
        <f t="array" ref="V11">K11/_xll.BDP($A11&amp;" Index","LOW_52WEEK")-1</f>
        <v>0.20267413402402479</v>
      </c>
      <c r="W11" s="257"/>
      <c r="X11" s="259" cm="1">
        <f t="array" ref="X11">_xll.BDP($A11&amp;" Index","RSI_14D")</f>
        <v>69.284840000000003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-0.13405484267812939</v>
      </c>
      <c r="AE11" s="257"/>
      <c r="AF11" s="261">
        <f>IF(ISTEXT(B11),_xll.BDP(B11 &amp; " Equity","EXPECTED_REPORT_DT")*1,"")</f>
        <v>46050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1.957516893290224</v>
      </c>
      <c r="AI11" s="262" cm="1">
        <f t="array" ref="AI11">(_xll.BDP(C11&amp;" Equity","SHORT_INT")/_xll.BDP(C11&amp;" Equity","VOLUME_AVG_90D"))</f>
        <v>2.338966909696325</v>
      </c>
      <c r="AJ11" s="262" cm="1">
        <f t="array" ref="AJ11">(_xll.BDP(B11&amp;" Equity","SHORT_INT"))/((_xll.BDP(B11&amp;" Equity","EQY_FREE_FLOAT_PCT"))*(_xll.BDP(B11&amp;" Equity","EQY_SH_OUT_TOT_MULT_SH")))/100</f>
        <v>1.315029992310595</v>
      </c>
      <c r="AK11" s="262" cm="1">
        <f t="array" ref="AK11">(_xll.BDP(C11&amp;" Equity","SHORT_INT"))/((_xll.BDP(C11&amp;" Equity","EQY_FREE_FLOAT_PCT"))*(_xll.BDP(C11&amp;" Equity","EQY_SH_OUT_TOT_MULT_SH")))/100</f>
        <v>0.78048981334343837</v>
      </c>
      <c r="AM11" s="260">
        <f ca="1">IF(ISTEXT(B11),AP11/_xll.BDH(B11 &amp;  " Equity","BEST_EPS",$AM$3,$AM$3,"BEST_FPERIOD_OVERRIDE=1BF","CDR=US","Fill=p")-1,"")</f>
        <v>1.6336826931739878E-2</v>
      </c>
      <c r="AN11" s="260">
        <f ca="1">IF(ISTEXT(B11),AP11/_xll.BDH(B11 &amp;  " Equity","BEST_EPS",$AN$3,$AN$3,"BEST_FPERIOD_OVERRIDE=1BF","CDR=US","Fill=p")-1,"")</f>
        <v>-2.4584966566751021E-2</v>
      </c>
      <c r="AO11" s="262">
        <f t="shared" ca="1" si="7"/>
        <v>19.867033064444641</v>
      </c>
      <c r="AP11" s="262" cm="1">
        <f t="array" aca="1" ref="AP11" ca="1">IF(ISTEXT(B11),_xll.BDH(B11 &amp;  " Equity","BEST_EPS",$Q$3,$Q$3,"BEST_FPERIOD_OVERRIDE=1BF","CDR=US","Fill=p"),"")</f>
        <v>33.843000000000004</v>
      </c>
      <c r="AR11" s="260">
        <f ca="1">IF(ISTEXT(C11),AU11/_xll.BDH(C11 &amp;  " Equity","BEST_EPS",$AM$3,$AM$3,"BEST_FPERIOD_OVERRIDE=1BF","CDR=US","Fill=p")-1,"")</f>
        <v>8.0397257034758862E-3</v>
      </c>
      <c r="AS11" s="260">
        <f ca="1">IF(ISTEXT(C11),AU11/_xll.BDH(C11 &amp;  " Equity","BEST_EPS",$AN$3,$AN$3,"BEST_FPERIOD_OVERRIDE=1BF","CDR=US","Fill=p")-1,"")</f>
        <v>5.1165084453211662E-2</v>
      </c>
      <c r="AT11" s="262">
        <f t="shared" ca="1" si="8"/>
        <v>29.956603330987569</v>
      </c>
      <c r="AU11" s="262" cm="1">
        <f t="array" aca="1" ref="AU11" ca="1">IF(ISTEXT(C11),_xll.BDH(C11 &amp;  " Equity","BEST_EPS",$Q$3,$Q$3,"BEST_FPERIOD_OVERRIDE=1BF","CDR=US","Fill=p"),"")</f>
        <v>8.5259999999999998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5107.28</v>
      </c>
      <c r="H12" s="188" cm="1">
        <f t="array" ref="H12">G12/_xll.BDP(B12&amp;" Equity", "PREV_CLOSE_VAL")-1</f>
        <v>1.7220751201332263E-3</v>
      </c>
      <c r="I12" s="187" cm="1">
        <f t="array" ref="I12">_xll.BDP(C12&amp;" Equity","LAST PRICE")</f>
        <v>133.38999999999999</v>
      </c>
      <c r="J12" s="188" cm="1">
        <f t="array" ref="J12">I12/_xll.BDP(C12&amp;" Equity", "PREV_CLOSE_VAL")-1</f>
        <v>9.3832765796442175E-3</v>
      </c>
      <c r="K12" s="189">
        <f t="shared" si="1"/>
        <v>38.288327460829152</v>
      </c>
      <c r="L12" s="188" cm="1">
        <f t="array" ref="L12">K12/(_xll.BDP(B12&amp;" Equity", "PREV_CLOSE_VAL")/_xll.BDP(C12&amp;" Equity", "PREV_CLOSE_VAL"))-1</f>
        <v>-7.5899825539722521E-3</v>
      </c>
      <c r="M12" s="188"/>
      <c r="N12" s="190">
        <f t="shared" si="2"/>
        <v>0.57905012747214857</v>
      </c>
      <c r="O12" s="191">
        <f t="shared" si="3"/>
        <v>1.3107643352236924E-2</v>
      </c>
      <c r="P12" s="192" cm="1">
        <f t="array" ref="P12">_xll.BDP($A12&amp;" Index","VOLATILITY_30D")</f>
        <v>20.801829999999999</v>
      </c>
      <c r="Q12" s="192" cm="1">
        <f t="array" aca="1" ref="Q12" ca="1">(_xll.BDP(($B12&amp; " Equity"),"CORR_COEF", "BETA_OVERRIDE_REL_INDEX",($C12&amp; " Equity"),"BETA_OVERRIDE_END_DT",$Q$5,"BETA_OVERRIDE_START_DT",$Q$4))*100</f>
        <v>69.382368914308302</v>
      </c>
      <c r="R12" s="188"/>
      <c r="S12" s="188" cm="1">
        <f t="array" ref="S12">_xll.BDP($A12&amp;" Index","CHG_PCT_2D")/100</f>
        <v>1.0252740000000001E-3</v>
      </c>
      <c r="T12" s="188" cm="1">
        <f t="array" ref="T12">_xll.BDP($A12&amp;" Index","CHG_PCT_5D")/100</f>
        <v>-1.5780869999999999E-2</v>
      </c>
      <c r="U12" s="188" cm="1">
        <f t="array" ref="U12">K12/_xll.BDP($A12&amp;" Index","HIGH_52WEEK")-1</f>
        <v>-0.17105992788774183</v>
      </c>
      <c r="V12" s="188" cm="1">
        <f t="array" ref="V12">K12/_xll.BDP($A12&amp;" Index","LOW_52WEEK")-1</f>
        <v>0.22522059768766378</v>
      </c>
      <c r="W12" s="188"/>
      <c r="X12" s="192" cm="1">
        <f t="array" ref="X12">_xll.BDP($A12&amp;" Index","RSI_14D")</f>
        <v>41.722349999999999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-1.0893116485942933E-2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2.6425878644705554</v>
      </c>
      <c r="AI12" s="196" cm="1">
        <f t="array" ref="AI12">(_xll.BDP(C12&amp;" Equity","SHORT_INT")/_xll.BDP(C12&amp;" Equity","VOLUME_AVG_90D"))</f>
        <v>3.7956115163928565</v>
      </c>
      <c r="AJ12" s="196" cm="1">
        <f t="array" ref="AJ12">(_xll.BDP(B12&amp;" Equity","SHORT_INT"))/((_xll.BDP(B12&amp;" Equity","EQY_FREE_FLOAT_PCT"))*(_xll.BDP(B12&amp;" Equity","EQY_SH_OUT_TOT_MULT_SH")))/100</f>
        <v>2.0740878313054392</v>
      </c>
      <c r="AK12" s="196" cm="1">
        <f t="array" ref="AK12">(_xll.BDP(C12&amp;" Equity","SHORT_INT"))/((_xll.BDP(C12&amp;" Equity","EQY_FREE_FLOAT_PCT"))*(_xll.BDP(C12&amp;" Equity","EQY_SH_OUT_TOT_MULT_SH")))/100</f>
        <v>3.3215084244268835</v>
      </c>
      <c r="AM12" s="194">
        <f ca="1">IF(ISTEXT(B12),AP12/_xll.BDH(B12 &amp;  " Equity","BEST_EPS",$AM$3,$AM$3,"BEST_FPERIOD_OVERRIDE=1BF","CDR=US","Fill=p")-1,"")</f>
        <v>1.5987071390542784E-2</v>
      </c>
      <c r="AN12" s="194">
        <f ca="1">IF(ISTEXT(B12),AP12/_xll.BDH(B12 &amp;  " Equity","BEST_EPS",$AN$3,$AN$3,"BEST_FPERIOD_OVERRIDE=1BF","CDR=US","Fill=p")-1,"")</f>
        <v>6.6827109881134605E-2</v>
      </c>
      <c r="AO12" s="196">
        <f t="shared" ca="1" si="7"/>
        <v>18.981020020589209</v>
      </c>
      <c r="AP12" s="196" cm="1">
        <f t="array" aca="1" ref="AP12" ca="1">IF(ISTEXT(B12),_xll.BDH(B12 &amp;  " Equity","BEST_EPS",$Q$3,$Q$3,"BEST_FPERIOD_OVERRIDE=1BF","CDR=US","Fill=p"),"")</f>
        <v>269.07299999999998</v>
      </c>
      <c r="AR12" s="194">
        <f ca="1">IF(ISTEXT(C12),AU12/_xll.BDH(C12 &amp;  " Equity","BEST_EPS",$AM$3,$AM$3,"BEST_FPERIOD_OVERRIDE=1BF","CDR=US","Fill=p")-1,"")</f>
        <v>1.5991692627206566E-2</v>
      </c>
      <c r="AS12" s="194">
        <f ca="1">IF(ISTEXT(C12),AU12/_xll.BDH(C12 &amp;  " Equity","BEST_EPS",$AN$3,$AN$3,"BEST_FPERIOD_OVERRIDE=1BF","CDR=US","Fill=p")-1,"")</f>
        <v>4.3292812966517547E-2</v>
      </c>
      <c r="AT12" s="196">
        <f t="shared" ca="1" si="8"/>
        <v>27.266966475878981</v>
      </c>
      <c r="AU12" s="196" cm="1">
        <f t="array" aca="1" ref="AU12" ca="1">IF(ISTEXT(C12),_xll.BDH(C12 &amp;  " Equity","BEST_EPS",$Q$3,$Q$3,"BEST_FPERIOD_OVERRIDE=1BF","CDR=US","Fill=p"),"")</f>
        <v>4.8920000000000003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5.1934315485566923E-3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332.71</v>
      </c>
      <c r="H13" s="257" cm="1">
        <f t="array" ref="H13">G13/_xll.BDP(B13&amp;" Equity", "PREV_CLOSE_VAL")-1</f>
        <v>-6.4502642816616218E-3</v>
      </c>
      <c r="I13" s="256" cm="1">
        <f t="array" ref="I13">_xll.BDP(C13&amp;" Equity","LAST PRICE")</f>
        <v>343.07</v>
      </c>
      <c r="J13" s="257" cm="1">
        <f t="array" ref="J13">I13/_xll.BDP(C13&amp;" Equity", "PREV_CLOSE_VAL")-1</f>
        <v>-4.7576223492210579E-3</v>
      </c>
      <c r="K13" s="258">
        <f t="shared" si="1"/>
        <v>0.96980208120791667</v>
      </c>
      <c r="L13" s="257" cm="1">
        <f t="array" ref="L13">K13/(_xll.BDP(B13&amp;" Equity", "PREV_CLOSE_VAL")/_xll.BDP(C13&amp;" Equity", "PREV_CLOSE_VAL"))-1</f>
        <v>-1.7007333795773238E-3</v>
      </c>
      <c r="M13" s="257"/>
      <c r="N13" s="190">
        <f t="shared" si="2"/>
        <v>0.1051393120720841</v>
      </c>
      <c r="O13" s="191">
        <f t="shared" si="3"/>
        <v>1.6175998739760552E-2</v>
      </c>
      <c r="P13" s="259" cm="1">
        <f t="array" ref="P13">_xll.BDP($A13&amp;" Index","VOLATILITY_30D")</f>
        <v>25.671309999999998</v>
      </c>
      <c r="Q13" s="259" cm="1">
        <f t="array" aca="1" ref="Q13" ca="1">(_xll.BDP(($B13&amp; " Equity"),"CORR_COEF", "BETA_OVERRIDE_REL_INDEX",($C13&amp; " Equity"),"BETA_OVERRIDE_END_DT",$Q$5,"BETA_OVERRIDE_START_DT",$Q$4))*100</f>
        <v>73.502906956248452</v>
      </c>
      <c r="R13" s="257"/>
      <c r="S13" s="257" cm="1">
        <f t="array" ref="S13">_xll.BDP($A13&amp;" Index","CHG_PCT_2D")/100</f>
        <v>3.441147E-2</v>
      </c>
      <c r="T13" s="257" cm="1">
        <f t="array" ref="T13">_xll.BDP($A13&amp;" Index","CHG_PCT_5D")/100</f>
        <v>-2.858144E-2</v>
      </c>
      <c r="U13" s="257" cm="1">
        <f t="array" ref="U13">K13/_xll.BDP($A13&amp;" Index","HIGH_52WEEK")-1</f>
        <v>-8.7897521577115167E-2</v>
      </c>
      <c r="V13" s="257" cm="1">
        <f t="array" ref="V13">K13/_xll.BDP($A13&amp;" Index","LOW_52WEEK")-1</f>
        <v>0.1336085110554257</v>
      </c>
      <c r="W13" s="257"/>
      <c r="X13" s="259" cm="1">
        <f t="array" ref="X13">_xll.BDP($A13&amp;" Index","RSI_14D")</f>
        <v>47.496740000000003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7.7557868008796271E-2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1.8112239000077721</v>
      </c>
      <c r="AI13" s="262" cm="1">
        <f t="array" ref="AI13">(_xll.BDP(C13&amp;" Equity","SHORT_INT")/_xll.BDP(C13&amp;" Equity","VOLUME_AVG_90D"))</f>
        <v>1.1484103161158552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0.18792487431624871</v>
      </c>
      <c r="AN13" s="260">
        <f ca="1">IF(ISTEXT(B13),AP13/_xll.BDH(B13 &amp;  " Equity","BEST_EPS",$AN$3,$AN$3,"BEST_FPERIOD_OVERRIDE=1BF","CDR=US","Fill=p")-1,"")</f>
        <v>0.22293501582763486</v>
      </c>
      <c r="AO13" s="262">
        <f t="shared" ca="1" si="7"/>
        <v>0.73796817538583015</v>
      </c>
      <c r="AP13" s="262" cm="1">
        <f t="array" aca="1" ref="AP13" ca="1">IF(ISTEXT(B13),_xll.BDH(B13 &amp;  " Equity","BEST_EPS",$Q$3,$Q$3,"BEST_FPERIOD_OVERRIDE=1BF","CDR=US","Fill=p"),"")</f>
        <v>450.846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1.7904874500277652E-3</v>
      </c>
      <c r="E14" s="263"/>
      <c r="F14" s="254"/>
      <c r="G14" s="256" cm="1">
        <f t="array" ref="G14">_xll.BDP(B14&amp;" Equity","LAST PRICE")</f>
        <v>186.47</v>
      </c>
      <c r="H14" s="257" cm="1">
        <f t="array" ref="H14">G14/_xll.BDP(B14&amp;" Equity", "PREV_CLOSE_VAL")-1</f>
        <v>-6.3942025896519539E-3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1.4003301347175217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1.0985492394965368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4.2446433414700335E-2</v>
      </c>
      <c r="AN14" s="260">
        <f ca="1">IF(ISTEXT(B14),AP14/_xll.BDH(B14 &amp;  " Equity","BEST_EPS",$AN$3,$AN$3,"BEST_FPERIOD_OVERRIDE=1BF","CDR=US","Fill=p")-1,"")</f>
        <v>0.29410774410774398</v>
      </c>
      <c r="AO14" s="262">
        <f t="shared" ca="1" si="7"/>
        <v>24.257837908156628</v>
      </c>
      <c r="AP14" s="262" cm="1">
        <f t="array" aca="1" ref="AP14" ca="1">IF(ISTEXT(B14),_xll.BDH(B14 &amp;  " Equity","BEST_EPS",$Q$3,$Q$3,"BEST_FPERIOD_OVERRIDE=1BF","CDR=US","Fill=p"),"")</f>
        <v>7.6870000000000003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328.49</v>
      </c>
      <c r="H15" s="188" cm="1">
        <f t="array" ref="H15">G15/_xll.BDP(B15&amp;" Equity", "PREV_CLOSE_VAL")-1</f>
        <v>7.0819792752467858E-3</v>
      </c>
      <c r="I15" s="187" cm="1">
        <f t="array" ref="I15">_xll.BDP(C15&amp;" Equity","LAST PRICE")</f>
        <v>199.24</v>
      </c>
      <c r="J15" s="188" cm="1">
        <f t="array" ref="J15">I15/_xll.BDP(C15&amp;" Equity", "PREV_CLOSE_VAL")-1</f>
        <v>2.3645419328872652E-3</v>
      </c>
      <c r="K15" s="189">
        <f t="shared" si="1"/>
        <v>1.648715117446296</v>
      </c>
      <c r="L15" s="188" cm="1">
        <f t="array" ref="L15">K15/(_xll.BDP(B15&amp;" Equity", "PREV_CLOSE_VAL")/_xll.BDP(C15&amp;" Equity", "PREV_CLOSE_VAL"))-1</f>
        <v>4.7063090771974903E-3</v>
      </c>
      <c r="M15" s="188"/>
      <c r="N15" s="190">
        <f t="shared" si="2"/>
        <v>0.3790908567691994</v>
      </c>
      <c r="O15" s="191">
        <f t="shared" si="3"/>
        <v>1.2414725897920604E-2</v>
      </c>
      <c r="P15" s="192" cm="1">
        <f t="array" ref="P15">_xll.BDP($A15&amp;" Index","VOLATILITY_30D")</f>
        <v>19.702169999999999</v>
      </c>
      <c r="Q15" s="192" cm="1">
        <f t="array" aca="1" ref="Q15" ca="1">(_xll.BDP(($B15&amp; " Equity"),"CORR_COEF", "BETA_OVERRIDE_REL_INDEX",($C15&amp; " Equity"),"BETA_OVERRIDE_END_DT",$Q$5,"BETA_OVERRIDE_START_DT",$Q$4))*100</f>
        <v>46.876722786663969</v>
      </c>
      <c r="R15" s="188"/>
      <c r="S15" s="188" cm="1">
        <f t="array" ref="S15">_xll.BDP($A15&amp;" Index","CHG_PCT_2D")/100</f>
        <v>9.0121059999999989E-3</v>
      </c>
      <c r="T15" s="188" cm="1">
        <f t="array" ref="T15">_xll.BDP($A15&amp;" Index","CHG_PCT_5D")/100</f>
        <v>-1.4551329999999999E-5</v>
      </c>
      <c r="U15" s="188" cm="1">
        <f t="array" ref="U15">K15/_xll.BDP($A15&amp;" Index","HIGH_52WEEK")-1</f>
        <v>-0.20901034008055375</v>
      </c>
      <c r="V15" s="188" cm="1">
        <f t="array" ref="V15">K15/_xll.BDP($A15&amp;" Index","LOW_52WEEK")-1</f>
        <v>1.0681802405639651E-2</v>
      </c>
      <c r="W15" s="188"/>
      <c r="X15" s="192" cm="1">
        <f t="array" ref="X15">_xll.BDP($A15&amp;" Index","RSI_14D")</f>
        <v>29.634409999999999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-0.17564244127685202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3.497628297442759</v>
      </c>
      <c r="AI15" s="196" cm="1">
        <f t="array" ref="AI15">(_xll.BDP(C15&amp;" Equity","SHORT_INT")/_xll.BDP(C15&amp;" Equity","VOLUME_AVG_90D"))</f>
        <v>3.0874096623330769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1.1155801775821539E-2</v>
      </c>
      <c r="AN15" s="194">
        <f ca="1">IF(ISTEXT(B15),AP15/_xll.BDH(B15 &amp;  " Equity","BEST_EPS",$AN$3,$AN$3,"BEST_FPERIOD_OVERRIDE=1BF","CDR=US","Fill=p")-1,"")</f>
        <v>2.895976523283661E-2</v>
      </c>
      <c r="AO15" s="196">
        <f t="shared" ca="1" si="7"/>
        <v>24.654007805463827</v>
      </c>
      <c r="AP15" s="196" cm="1">
        <f t="array" aca="1" ref="AP15" ca="1">IF(ISTEXT(B15),_xll.BDH(B15 &amp;  " Equity","BEST_EPS",$Q$3,$Q$3,"BEST_FPERIOD_OVERRIDE=1BF","CDR=US","Fill=p"),"")</f>
        <v>13.324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527.36</v>
      </c>
      <c r="H16" s="188" cm="1">
        <f t="array" ref="H16">G16/_xll.BDP(B16&amp;" Equity", "PREV_CLOSE_VAL")-1</f>
        <v>4.992948888973503E-3</v>
      </c>
      <c r="I16" s="187" cm="1">
        <f t="array" ref="I16">_xll.BDP(C16&amp;" Equity","LAST PRICE")</f>
        <v>199.24</v>
      </c>
      <c r="J16" s="188" cm="1">
        <f t="array" ref="J16">I16/_xll.BDP(C16&amp;" Equity", "PREV_CLOSE_VAL")-1</f>
        <v>2.3645419328872652E-3</v>
      </c>
      <c r="K16" s="189">
        <f t="shared" si="1"/>
        <v>2.6468580606303953</v>
      </c>
      <c r="L16" s="188" cm="1">
        <f t="array" ref="L16">K16/(_xll.BDP(B16&amp;" Equity", "PREV_CLOSE_VAL")/_xll.BDP(C16&amp;" Equity", "PREV_CLOSE_VAL"))-1</f>
        <v>2.6222066385328535E-3</v>
      </c>
      <c r="M16" s="188"/>
      <c r="N16" s="190">
        <f t="shared" si="2"/>
        <v>0.21855141874498524</v>
      </c>
      <c r="O16" s="191">
        <f t="shared" si="3"/>
        <v>1.1998122243226212E-2</v>
      </c>
      <c r="P16" s="192" cm="1">
        <f t="array" ref="P16">_xll.BDP($A16&amp;" Index","VOLATILITY_30D")</f>
        <v>19.04102</v>
      </c>
      <c r="Q16" s="192" cm="1">
        <f t="array" aca="1" ref="Q16" ca="1">(_xll.BDP(($B16&amp; " Equity"),"CORR_COEF", "BETA_OVERRIDE_REL_INDEX",($C16&amp; " Equity"),"BETA_OVERRIDE_END_DT",$Q$5,"BETA_OVERRIDE_START_DT",$Q$4))*100</f>
        <v>65.273911301727765</v>
      </c>
      <c r="R16" s="188"/>
      <c r="S16" s="188" cm="1">
        <f t="array" ref="S16">_xll.BDP($A16&amp;" Index","CHG_PCT_2D")/100</f>
        <v>-9.205132999999999E-3</v>
      </c>
      <c r="T16" s="188" cm="1">
        <f t="array" ref="T16">_xll.BDP($A16&amp;" Index","CHG_PCT_5D")/100</f>
        <v>-2.4371260000000002E-2</v>
      </c>
      <c r="U16" s="188" cm="1">
        <f t="array" ref="U16">K16/_xll.BDP($A16&amp;" Index","HIGH_52WEEK")-1</f>
        <v>-0.20255183220140183</v>
      </c>
      <c r="V16" s="188" cm="1">
        <f t="array" ref="V16">K16/_xll.BDP($A16&amp;" Index","LOW_52WEEK")-1</f>
        <v>2.6205370691738672E-3</v>
      </c>
      <c r="W16" s="188"/>
      <c r="X16" s="192" cm="1">
        <f t="array" ref="X16">_xll.BDP($A16&amp;" Index","RSI_14D")</f>
        <v>23.785689999999999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-0.18808034949987873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2.1958344840148918</v>
      </c>
      <c r="AI16" s="196" cm="1">
        <f t="array" ref="AI16">(_xll.BDP(C16&amp;" Equity","SHORT_INT")/_xll.BDP(C16&amp;" Equity","VOLUME_AVG_90D"))</f>
        <v>3.0874096623330769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1.400031461381146E-2</v>
      </c>
      <c r="AN16" s="194">
        <f ca="1">IF(ISTEXT(B16),AP16/_xll.BDH(B16 &amp;  " Equity","BEST_EPS",$AN$3,$AN$3,"BEST_FPERIOD_OVERRIDE=1BF","CDR=US","Fill=p")-1,"")</f>
        <v>4.5579886455798801E-2</v>
      </c>
      <c r="AO16" s="196">
        <f t="shared" ca="1" si="7"/>
        <v>27.270658806494982</v>
      </c>
      <c r="AP16" s="196" cm="1">
        <f t="array" aca="1" ref="AP16" ca="1">IF(ISTEXT(B16),_xll.BDH(B16 &amp;  " Equity","BEST_EPS",$Q$3,$Q$3,"BEST_FPERIOD_OVERRIDE=1BF","CDR=US","Fill=p"),"")</f>
        <v>19.338000000000001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1.0809443282763205E-3</v>
      </c>
      <c r="E17" s="255">
        <f>SUMIF(Tabelad[Ticker],PAIR_Monitor!C17,Tabelad[Exp %])-E16-E15</f>
        <v>-1.0809443282763205E-3</v>
      </c>
      <c r="F17" s="254"/>
      <c r="G17" s="187" cm="1">
        <f t="array" ref="G17">_xll.BDP(B17&amp;" Equity","LAST PRICE")</f>
        <v>53.41</v>
      </c>
      <c r="H17" s="188" cm="1">
        <f t="array" ref="H17">G17/_xll.BDP(B17&amp;" Equity", "PREV_CLOSE_VAL")-1</f>
        <v>6.4066327491991704E-3</v>
      </c>
      <c r="I17" s="187" cm="1">
        <f t="array" ref="I17">_xll.BDP(C17&amp;" Equity","LAST PRICE")</f>
        <v>199.24</v>
      </c>
      <c r="J17" s="188" cm="1">
        <f t="array" ref="J17">I17/_xll.BDP(C17&amp;" Equity", "PREV_CLOSE_VAL")-1</f>
        <v>2.3645419328872652E-3</v>
      </c>
      <c r="K17" s="189">
        <f t="shared" si="1"/>
        <v>0.26806866091146353</v>
      </c>
      <c r="L17" s="188" cm="1">
        <f t="array" ref="L17">K17/(_xll.BDP(B17&amp;" Equity", "PREV_CLOSE_VAL")/_xll.BDP(C17&amp;" Equity", "PREV_CLOSE_VAL"))-1</f>
        <v>4.0325556693350251E-3</v>
      </c>
      <c r="M17" s="188"/>
      <c r="N17" s="190">
        <f t="shared" si="2"/>
        <v>0.59743684783652939</v>
      </c>
      <c r="O17" s="191">
        <f t="shared" si="3"/>
        <v>6.7497605545053562E-3</v>
      </c>
      <c r="P17" s="192" cm="1">
        <f t="array" ref="P17">_xll.BDP($A17&amp;" Index","VOLATILITY_30D")</f>
        <v>10.711869999999999</v>
      </c>
      <c r="Q17" s="192" cm="1">
        <f t="array" aca="1" ref="Q17" ca="1">(_xll.BDP(($B17&amp; " Equity"),"CORR_COEF", "BETA_OVERRIDE_REL_INDEX",($C17&amp; " Equity"),"BETA_OVERRIDE_END_DT",$Q$5,"BETA_OVERRIDE_START_DT",$Q$4))*100</f>
        <v>71.223704903020945</v>
      </c>
      <c r="R17" s="188"/>
      <c r="S17" s="188" cm="1">
        <f t="array" ref="S17">_xll.BDP($A17&amp;" Index","CHG_PCT_2D")/100</f>
        <v>-5.4105960000000002E-3</v>
      </c>
      <c r="T17" s="188" cm="1">
        <f t="array" ref="T17">_xll.BDP($A17&amp;" Index","CHG_PCT_5D")/100</f>
        <v>-1.9923650000000001E-2</v>
      </c>
      <c r="U17" s="188" cm="1">
        <f t="array" ref="U17">K17/_xll.BDP($A17&amp;" Index","HIGH_52WEEK")-1</f>
        <v>-7.6421495567739806E-2</v>
      </c>
      <c r="V17" s="188" cm="1">
        <f t="array" ref="V17">K17/_xll.BDP($A17&amp;" Index","LOW_52WEEK")-1</f>
        <v>4.0400798212050226E-3</v>
      </c>
      <c r="W17" s="188"/>
      <c r="X17" s="192" cm="1">
        <f t="array" ref="X17">_xll.BDP($A17&amp;" Index","RSI_14D")</f>
        <v>24.982759999999999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-7.562530720184979E-2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1.4458962368075743</v>
      </c>
      <c r="AI17" s="196" cm="1">
        <f t="array" ref="AI17">(_xll.BDP(C17&amp;" Equity","SHORT_INT")/_xll.BDP(C17&amp;" Equity","VOLUME_AVG_90D"))</f>
        <v>3.0874096623330769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53.41</v>
      </c>
      <c r="H18" s="188" cm="1">
        <f t="array" ref="H18">G18/_xll.BDP(B18&amp;" Equity", "PREV_CLOSE_VAL")-1</f>
        <v>6.4066327491991704E-3</v>
      </c>
      <c r="I18" s="187" cm="1">
        <f t="array" ref="I18">_xll.BDP(C18&amp;" Equity","LAST PRICE")</f>
        <v>483.47</v>
      </c>
      <c r="J18" s="188" cm="1">
        <f t="array" ref="J18">I18/_xll.BDP(C18&amp;" Equity", "PREV_CLOSE_VAL")-1</f>
        <v>9.3951604484623363E-3</v>
      </c>
      <c r="K18" s="189">
        <f t="shared" si="1"/>
        <v>0.1104722113057687</v>
      </c>
      <c r="L18" s="188" cm="1">
        <f t="array" ref="L18">K18/(_xll.BDP(B18&amp;" Equity", "PREV_CLOSE_VAL")/_xll.BDP(C18&amp;" Equity", "PREV_CLOSE_VAL"))-1</f>
        <v>-2.9607113411713737E-3</v>
      </c>
      <c r="M18" s="188"/>
      <c r="N18" s="190">
        <f t="shared" si="2"/>
        <v>0.33274829972947356</v>
      </c>
      <c r="O18" s="191">
        <f t="shared" si="3"/>
        <v>8.8977504725897931E-3</v>
      </c>
      <c r="P18" s="192" cm="1">
        <f t="array" ref="P18">_xll.BDP($A18&amp;" Index","VOLATILITY_30D")</f>
        <v>14.12073</v>
      </c>
      <c r="Q18" s="192" cm="1">
        <f t="array" aca="1" ref="Q18" ca="1">(_xll.BDP(($B18&amp; " Equity"),"CORR_COEF", "BETA_OVERRIDE_REL_INDEX",($C18&amp; " Equity"),"BETA_OVERRIDE_END_DT",$Q$5,"BETA_OVERRIDE_START_DT",$Q$4))*100</f>
        <v>48.455443230628092</v>
      </c>
      <c r="R18" s="188"/>
      <c r="S18" s="188" cm="1">
        <f t="array" ref="S18">_xll.BDP($A18&amp;" Index","CHG_PCT_2D")/100</f>
        <v>-6.6195349999999993E-3</v>
      </c>
      <c r="T18" s="188" cm="1">
        <f t="array" ref="T18">_xll.BDP($A18&amp;" Index","CHG_PCT_5D")/100</f>
        <v>-2.8089629999999998E-4</v>
      </c>
      <c r="U18" s="188" cm="1">
        <f t="array" ref="U18">K18/_xll.BDP($A18&amp;" Index","HIGH_52WEEK")-1</f>
        <v>-2.2975048149211141E-2</v>
      </c>
      <c r="V18" s="188" cm="1">
        <f t="array" ref="V18">K18/_xll.BDP($A18&amp;" Index","LOW_52WEEK")-1</f>
        <v>0.24112134935140661</v>
      </c>
      <c r="W18" s="188"/>
      <c r="X18" s="192" cm="1">
        <f t="array" ref="X18">_xll.BDP($A18&amp;" Index","RSI_14D")</f>
        <v>54.124670000000002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0.10472211305768697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1.4458962368075743</v>
      </c>
      <c r="AI18" s="196" cm="1">
        <f t="array" ref="AI18">(_xll.BDP(C18&amp;" Equity","SHORT_INT")/_xll.BDP(C18&amp;" Equity","VOLUME_AVG_90D"))</f>
        <v>2.3916380212024038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2.9270135020300625E-3</v>
      </c>
      <c r="AS18" s="194">
        <f ca="1">IF(ISTEXT(C18),AU18/_xll.BDH(C18 &amp;  " Equity","BEST_EPS",$AN$3,$AN$3,"BEST_FPERIOD_OVERRIDE=1BF","CDR=US","Fill=p")-1,"")</f>
        <v>-1.2320424008554598E-2</v>
      </c>
      <c r="AT18" s="196">
        <f t="shared" ca="1" si="8"/>
        <v>22.757955187347019</v>
      </c>
      <c r="AU18" s="196" cm="1">
        <f t="array" aca="1" ref="AU18" ca="1">IF(ISTEXT(C18),_xll.BDH(C18 &amp;  " Equity","BEST_EPS",$Q$3,$Q$3,"BEST_FPERIOD_OVERRIDE=1BF","CDR=US","Fill=p"),"")</f>
        <v>21.244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-6.1186335123242274E-5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9.8726475971437394E-4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36.76</v>
      </c>
      <c r="H29" s="188" cm="1">
        <f t="array" ref="H29">G29/_xll.BDP(B29&amp;" Equity", "PREV_CLOSE_VAL")-1</f>
        <v>6.2961949082944724E-3</v>
      </c>
      <c r="I29" s="187" cm="1">
        <f t="array" ref="I29">_xll.BDP(C29&amp;" Equity","LAST PRICE")</f>
        <v>70.400000000000006</v>
      </c>
      <c r="J29" s="188" cm="1">
        <f t="array" ref="J29">I29/_xll.BDP(C29&amp;" Equity", "PREV_CLOSE_VAL")-1</f>
        <v>1.7194047103019861E-2</v>
      </c>
      <c r="K29" s="189">
        <f t="shared" ref="K29:K41" si="9">G29/I29</f>
        <v>0.52215909090909085</v>
      </c>
      <c r="L29" s="188" cm="1">
        <f t="array" ref="L29">K29/(_xll.BDP(B29&amp;" Equity", "PREV_CLOSE_VAL")/_xll.BDP(C29&amp;" Equity", "PREV_CLOSE_VAL"))-1</f>
        <v>-1.0713641340865721E-2</v>
      </c>
      <c r="M29" s="188"/>
      <c r="N29" s="190">
        <f t="shared" ref="N29:N41" si="10">ABS(L29/O29)</f>
        <v>0.9748810139968429</v>
      </c>
      <c r="O29" s="191">
        <f>P29/15.87/100</f>
        <v>1.0989691241335853E-2</v>
      </c>
      <c r="P29" s="192" cm="1">
        <f t="array" ref="P29">_xll.BDP($A29&amp;" Index","VOLATILITY_30D")</f>
        <v>17.440639999999998</v>
      </c>
      <c r="Q29" s="192" cm="1">
        <f t="array" aca="1" ref="Q29" ca="1">(_xll.BDP(($B29&amp; " Equity"),"CORR_COEF", "BETA_OVERRIDE_REL_INDEX",($C29&amp; " Equity"),"BETA_OVERRIDE_END_DT",$Q$5,"BETA_OVERRIDE_START_DT",$Q$4))*100</f>
        <v>56.749027691287644</v>
      </c>
      <c r="R29" s="188"/>
      <c r="S29" s="188" cm="1">
        <f t="array" ref="S29">_xll.BDP($A29&amp;" Index","CHG_PCT_2D")/100</f>
        <v>-1.0798019999999998E-2</v>
      </c>
      <c r="T29" s="188" cm="1">
        <f t="array" ref="T29">_xll.BDP($A29&amp;" Index","CHG_PCT_5D")/100</f>
        <v>-2.151103E-2</v>
      </c>
      <c r="U29" s="188" cm="1">
        <f t="array" ref="U29">K29/_xll.BDP($A29&amp;" Index","HIGH_52WEEK")-1</f>
        <v>-0.11947675265325908</v>
      </c>
      <c r="V29" s="188" cm="1">
        <f t="array" ref="V29">K29/_xll.BDP($A29&amp;" Index","LOW_52WEEK")-1</f>
        <v>0.10680859509737961</v>
      </c>
      <c r="W29" s="188"/>
      <c r="X29" s="192" cm="1">
        <f t="array" ref="X29">_xll.BDP($A29&amp;" Index","RSI_14D")</f>
        <v>43.947699999999998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1.5434195314831118</v>
      </c>
      <c r="AI29" s="196" cm="1">
        <f t="array" ref="AI29">(_xll.BDP(C29&amp;" Equity","SHORT_INT")/_xll.BDP(C29&amp;" Equity","VOLUME_AVG_90D"))</f>
        <v>12.20429027500964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-1.587849499482219E-2</v>
      </c>
      <c r="AN29" s="194">
        <f ca="1">IF(ISTEXT(B29),AP29/_xll.BDH(B29 &amp;  " Equity","BEST_EPS",$AN$3,$AN$3,"BEST_FPERIOD_OVERRIDE=1BF","CDR=US","Fill=p")-1,"")</f>
        <v>-2.7981811822315183E-3</v>
      </c>
      <c r="AO29" s="196">
        <f t="shared" ref="AO29:AO41" ca="1" si="14">G29/AP29</f>
        <v>12.893721501227638</v>
      </c>
      <c r="AP29" s="196" cm="1">
        <f t="array" aca="1" ref="AP29" ca="1">IF(ISTEXT(B29),_xll.BDH(B29 &amp;  " Equity","BEST_EPS",$Q$3,$Q$3,"BEST_FPERIOD_OVERRIDE=1BF","CDR=US","Fill=p"),"")</f>
        <v>2.851</v>
      </c>
      <c r="AR29" s="194">
        <f ca="1">IF(ISTEXT(C29),AU29/_xll.BDH(C29 &amp;  " Equity","BEST_EPS",$AM$3,$AM$3,"BEST_FPERIOD_OVERRIDE=1BF","CDR=US","Fill=p")-1,"")</f>
        <v>-1.6612760952660954E-2</v>
      </c>
      <c r="AS29" s="194">
        <f ca="1">IF(ISTEXT(C29),AU29/_xll.BDH(C29 &amp;  " Equity","BEST_EPS",$AN$3,$AN$3,"BEST_FPERIOD_OVERRIDE=1BF","CDR=US","Fill=p")-1,"")</f>
        <v>-3.7138333093421627E-2</v>
      </c>
      <c r="AT29" s="196">
        <f t="shared" ref="AT29:AT41" ca="1" si="15">I29/AU29</f>
        <v>10.524742113918375</v>
      </c>
      <c r="AU29" s="196" cm="1">
        <f t="array" aca="1" ref="AU29" ca="1">IF(ISTEXT(C29),_xll.BDH(C29 &amp;  " Equity","BEST_EPS",$Q$3,$Q$3,"BEST_FPERIOD_OVERRIDE=1BF","CDR=US","Fill=p"),"")</f>
        <v>6.6890000000000001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36.76</v>
      </c>
      <c r="H30" s="188" cm="1">
        <f t="array" ref="H30">G30/_xll.BDP(B30&amp;" Equity", "PREV_CLOSE_VAL")-1</f>
        <v>6.2961949082944724E-3</v>
      </c>
      <c r="I30" s="187" cm="1">
        <f t="array" ref="I30">_xll.BDP(C30&amp;" Equity","LAST PRICE")</f>
        <v>73.25</v>
      </c>
      <c r="J30" s="188" cm="1">
        <f t="array" ref="J30">I30/_xll.BDP(C30&amp;" Equity", "PREV_CLOSE_VAL")-1</f>
        <v>-6.7796610169491567E-3</v>
      </c>
      <c r="K30" s="189">
        <f t="shared" si="9"/>
        <v>0.50184300341296928</v>
      </c>
      <c r="L30" s="188" cm="1">
        <f t="array" ref="L30">K30/(_xll.BDP(B30&amp;" Equity", "PREV_CLOSE_VAL")/_xll.BDP(C30&amp;" Equity", "PREV_CLOSE_VAL"))-1</f>
        <v>1.3165110914494571E-2</v>
      </c>
      <c r="M30" s="188"/>
      <c r="N30" s="190">
        <f>ABS(L30/O30)</f>
        <v>1.1149901469931325</v>
      </c>
      <c r="O30" s="191">
        <f>P30/15.87/100</f>
        <v>1.1807378701953371E-2</v>
      </c>
      <c r="P30" s="192" cm="1">
        <f t="array" ref="P30">_xll.BDP($A30&amp;" Index","VOLATILITY_30D")</f>
        <v>18.738309999999998</v>
      </c>
      <c r="Q30" s="192" cm="1">
        <f t="array" aca="1" ref="Q30" ca="1">(_xll.BDP(($B30&amp; " Equity"),"CORR_COEF", "BETA_OVERRIDE_REL_INDEX",($C30&amp; " Equity"),"BETA_OVERRIDE_END_DT",$Q$5,"BETA_OVERRIDE_START_DT",$Q$4))*100</f>
        <v>63.442369135480391</v>
      </c>
      <c r="R30" s="188"/>
      <c r="S30" s="188" cm="1">
        <f t="array" ref="S30">_xll.BDP($A30&amp;" Index","CHG_PCT_2D")/100</f>
        <v>2.360957E-2</v>
      </c>
      <c r="T30" s="188" cm="1">
        <f t="array" ref="T30">_xll.BDP($A30&amp;" Index","CHG_PCT_5D")/100</f>
        <v>5.0958629999999998E-2</v>
      </c>
      <c r="U30" s="188" cm="1">
        <f t="array" ref="U30">K30/_xll.BDP($A30&amp;" Index","HIGH_52WEEK")-1</f>
        <v>-3.7471703147475277E-2</v>
      </c>
      <c r="V30" s="188" cm="1">
        <f t="array" ref="V30">K30/_xll.BDP($A30&amp;" Index","LOW_52WEEK")-1</f>
        <v>0.18928597628497124</v>
      </c>
      <c r="W30" s="188"/>
      <c r="X30" s="192" cm="1">
        <f t="array" ref="X30">_xll.BDP($A30&amp;" Index","RSI_14D")</f>
        <v>64.055340000000001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1.5434195314831118</v>
      </c>
      <c r="AI30" s="196" cm="1">
        <f t="array" ref="AI30">(_xll.BDP(C30&amp;" Equity","SHORT_INT")/_xll.BDP(C30&amp;" Equity","VOLUME_AVG_90D"))</f>
        <v>2.7433842686296654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-1.587849499482219E-2</v>
      </c>
      <c r="AN30" s="194">
        <f ca="1">IF(ISTEXT(B30),AP30/_xll.BDH(B30 &amp;  " Equity","BEST_EPS",$AN$3,$AN$3,"BEST_FPERIOD_OVERRIDE=1BF","CDR=US","Fill=p")-1,"")</f>
        <v>-2.7981811822315183E-3</v>
      </c>
      <c r="AO30" s="196">
        <f t="shared" ca="1" si="14"/>
        <v>12.893721501227638</v>
      </c>
      <c r="AP30" s="196" cm="1">
        <f t="array" aca="1" ref="AP30" ca="1">IF(ISTEXT(B30),_xll.BDH(B30 &amp;  " Equity","BEST_EPS",$Q$3,$Q$3,"BEST_FPERIOD_OVERRIDE=1BF","CDR=US","Fill=p"),"")</f>
        <v>2.851</v>
      </c>
      <c r="AR30" s="194">
        <f ca="1">IF(ISTEXT(C30),AU30/_xll.BDH(C30 &amp;  " Equity","BEST_EPS",$AM$3,$AM$3,"BEST_FPERIOD_OVERRIDE=1BF","CDR=US","Fill=p")-1,"")</f>
        <v>1.653944020356235E-2</v>
      </c>
      <c r="AS30" s="194">
        <f ca="1">IF(ISTEXT(C30),AU30/_xll.BDH(C30 &amp;  " Equity","BEST_EPS",$AN$3,$AN$3,"BEST_FPERIOD_OVERRIDE=1BF","CDR=US","Fill=p")-1,"")</f>
        <v>-3.1191515907672551E-3</v>
      </c>
      <c r="AT30" s="196">
        <f t="shared" ca="1" si="15"/>
        <v>11.459637046307884</v>
      </c>
      <c r="AU30" s="196" cm="1">
        <f t="array" aca="1" ref="AU30" ca="1">IF(ISTEXT(C30),_xll.BDH(C30 &amp;  " Equity","BEST_EPS",$Q$3,$Q$3,"BEST_FPERIOD_OVERRIDE=1BF","CDR=US","Fill=p"),"")</f>
        <v>6.3920000000000003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229.4</v>
      </c>
      <c r="H31" s="188" cm="1">
        <f t="array" ref="H31">G31/_xll.BDP(B31&amp;" Equity", "PREV_CLOSE_VAL")-1</f>
        <v>5.9197544398157387E-3</v>
      </c>
      <c r="I31" s="187" cm="1">
        <f t="array" ref="I31">_xll.BDP(C31&amp;" Equity","LAST PRICE")</f>
        <v>625.46</v>
      </c>
      <c r="J31" s="188" cm="1">
        <f t="array" ref="J31">I31/_xll.BDP(C31&amp;" Equity", "PREV_CLOSE_VAL")-1</f>
        <v>4.4000513874615788E-3</v>
      </c>
      <c r="K31" s="189">
        <f t="shared" si="9"/>
        <v>0.36677005723787293</v>
      </c>
      <c r="L31" s="188" cm="1">
        <f t="array" ref="L31">K31/(_xll.BDP(B31&amp;" Equity", "PREV_CLOSE_VAL")/_xll.BDP(C31&amp;" Equity", "PREV_CLOSE_VAL"))-1</f>
        <v>1.5130455740768323E-3</v>
      </c>
      <c r="M31" s="188"/>
      <c r="N31" s="190">
        <f t="shared" si="10"/>
        <v>7.2171883964288391E-2</v>
      </c>
      <c r="O31" s="191">
        <f>P31/15.87/100</f>
        <v>2.0964473850031508E-2</v>
      </c>
      <c r="P31" s="192" cm="1">
        <f t="array" ref="P31">_xll.BDP($A31&amp;" Index","VOLATILITY_30D")</f>
        <v>33.270620000000001</v>
      </c>
      <c r="Q31" s="192" cm="1">
        <f t="array" aca="1" ref="Q31" ca="1">(_xll.BDP(($B31&amp; " Equity"),"CORR_COEF", "BETA_OVERRIDE_REL_INDEX",($C31&amp; " Equity"),"BETA_OVERRIDE_END_DT",$Q$5,"BETA_OVERRIDE_START_DT",$Q$4))*100</f>
        <v>36.938069626856809</v>
      </c>
      <c r="R31" s="188"/>
      <c r="S31" s="188" cm="1">
        <f t="array" ref="S31">_xll.BDP($A31&amp;" Index","CHG_PCT_2D")/100</f>
        <v>1.9949010000000001E-4</v>
      </c>
      <c r="T31" s="188" cm="1">
        <f t="array" ref="T31">_xll.BDP($A31&amp;" Index","CHG_PCT_5D")/100</f>
        <v>5.3246559999999997E-3</v>
      </c>
      <c r="U31" s="188" cm="1">
        <f t="array" ref="U31">K31/_xll.BDP($A31&amp;" Index","HIGH_52WEEK")-1</f>
        <v>-0.46830278303029393</v>
      </c>
      <c r="V31" s="188" cm="1">
        <f t="array" ref="V31">K31/_xll.BDP($A31&amp;" Index","LOW_52WEEK")-1</f>
        <v>2.0109187400213946E-2</v>
      </c>
      <c r="W31" s="188"/>
      <c r="X31" s="192" cm="1">
        <f t="array" ref="X31">_xll.BDP($A31&amp;" Index","RSI_14D")</f>
        <v>31.622579999999999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2.0009475440995059</v>
      </c>
      <c r="AI31" s="196" cm="1">
        <f t="array" ref="AI31">(_xll.BDP(C31&amp;" Equity","SHORT_INT")/_xll.BDP(C31&amp;" Equity","VOLUME_AVG_90D"))</f>
        <v>0.76732295825669727</v>
      </c>
      <c r="AJ31" s="196" cm="1">
        <f t="array" ref="AJ31">(_xll.BDP(B31&amp;" Equity","SHORT_INT"))/((_xll.BDP(B31&amp;" Equity","EQY_FREE_FLOAT_PCT"))*(_xll.BDP(B31&amp;" Equity","EQY_SH_OUT_TOT_MULT_SH")))/100</f>
        <v>1.8450518895443671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1.2038030976843972E-2</v>
      </c>
      <c r="AN31" s="194">
        <f ca="1">IF(ISTEXT(B31),AP31/_xll.BDH(B31 &amp;  " Equity","BEST_EPS",$AN$3,$AN$3,"BEST_FPERIOD_OVERRIDE=1BF","CDR=US","Fill=p")-1,"")</f>
        <v>6.727581466806809E-2</v>
      </c>
      <c r="AO31" s="196">
        <f t="shared" ca="1" si="14"/>
        <v>17.380104553375258</v>
      </c>
      <c r="AP31" s="196" cm="1">
        <f t="array" aca="1" ref="AP31" ca="1">IF(ISTEXT(B31),_xll.BDH(B31 &amp;  " Equity","BEST_EPS",$Q$3,$Q$3,"BEST_FPERIOD_OVERRIDE=1BF","CDR=US","Fill=p"),"")</f>
        <v>13.199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229.4</v>
      </c>
      <c r="H32" s="188" cm="1">
        <f t="array" ref="H32">G32/_xll.BDP(B32&amp;" Equity", "PREV_CLOSE_VAL")-1</f>
        <v>5.9197544398157387E-3</v>
      </c>
      <c r="I32" s="187" cm="1">
        <f t="array" ref="I32">_xll.BDP(C32&amp;" Equity","LAST PRICE")</f>
        <v>98.81</v>
      </c>
      <c r="J32" s="188" cm="1">
        <f t="array" ref="J32">I32/_xll.BDP(C32&amp;" Equity", "PREV_CLOSE_VAL")-1</f>
        <v>1.1257803704840974E-2</v>
      </c>
      <c r="K32" s="189">
        <f t="shared" si="9"/>
        <v>2.3216273656512501</v>
      </c>
      <c r="L32" s="188" cm="1">
        <f t="array" ref="L32">K32/(_xll.BDP(B32&amp;" Equity", "PREV_CLOSE_VAL")/_xll.BDP(C32&amp;" Equity", "PREV_CLOSE_VAL"))-1</f>
        <v>-5.278623557186557E-3</v>
      </c>
      <c r="M32" s="188"/>
      <c r="N32" s="190">
        <f t="shared" si="10"/>
        <v>0.353151573983222</v>
      </c>
      <c r="O32" s="191">
        <f t="shared" ref="O32:O55" si="17">P32/15.87/100</f>
        <v>1.4947189666036547E-2</v>
      </c>
      <c r="P32" s="192" cm="1">
        <f t="array" ref="P32">_xll.BDP($A32&amp;" Index","VOLATILITY_30D")</f>
        <v>23.72119</v>
      </c>
      <c r="Q32" s="192" cm="1">
        <f t="array" aca="1" ref="Q32" ca="1">(_xll.BDP(($B32&amp; " Equity"),"CORR_COEF", "BETA_OVERRIDE_REL_INDEX",($C32&amp; " Equity"),"BETA_OVERRIDE_END_DT",$Q$5,"BETA_OVERRIDE_START_DT",$Q$4))*100</f>
        <v>73.976318688862108</v>
      </c>
      <c r="R32" s="188"/>
      <c r="S32" s="188" cm="1">
        <f t="array" ref="S32">_xll.BDP($A32&amp;" Index","CHG_PCT_2D")/100</f>
        <v>-1.1717040000000001E-2</v>
      </c>
      <c r="T32" s="188" cm="1">
        <f t="array" ref="T32">_xll.BDP($A32&amp;" Index","CHG_PCT_5D")/100</f>
        <v>6.5749229999999999E-3</v>
      </c>
      <c r="U32" s="188" cm="1">
        <f t="array" ref="U32">K32/_xll.BDP($A32&amp;" Index","HIGH_52WEEK")-1</f>
        <v>-0.32282877662268628</v>
      </c>
      <c r="V32" s="188" cm="1">
        <f t="array" ref="V32">K32/_xll.BDP($A32&amp;" Index","LOW_52WEEK")-1</f>
        <v>0.13347981703775935</v>
      </c>
      <c r="W32" s="188"/>
      <c r="X32" s="192" cm="1">
        <f t="array" ref="X32">_xll.BDP($A32&amp;" Index","RSI_14D")</f>
        <v>43.036610000000003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2.0009475440995059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1.8450518895443671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1.2038030976843972E-2</v>
      </c>
      <c r="AN32" s="194">
        <f ca="1">IF(ISTEXT(B32),AP32/_xll.BDH(B32 &amp;  " Equity","BEST_EPS",$AN$3,$AN$3,"BEST_FPERIOD_OVERRIDE=1BF","CDR=US","Fill=p")-1,"")</f>
        <v>6.727581466806809E-2</v>
      </c>
      <c r="AO32" s="196">
        <f t="shared" ca="1" si="14"/>
        <v>17.380104553375258</v>
      </c>
      <c r="AP32" s="196" cm="1">
        <f t="array" aca="1" ref="AP32" ca="1">IF(ISTEXT(B32),_xll.BDH(B32 &amp;  " Equity","BEST_EPS",$Q$3,$Q$3,"BEST_FPERIOD_OVERRIDE=1BF","CDR=US","Fill=p"),"")</f>
        <v>13.199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672.36</v>
      </c>
      <c r="H33" s="188" cm="1">
        <f t="array" ref="H33">G33/_xll.BDP(B33&amp;" Equity", "PREV_CLOSE_VAL")-1</f>
        <v>2.0644847896047258E-2</v>
      </c>
      <c r="I33" s="187" cm="1">
        <f t="array" ref="I33">_xll.BDP(C33&amp;" Equity","LAST PRICE")</f>
        <v>625.46</v>
      </c>
      <c r="J33" s="188" cm="1">
        <f t="array" ref="J33">I33/_xll.BDP(C33&amp;" Equity", "PREV_CLOSE_VAL")-1</f>
        <v>4.4000513874615788E-3</v>
      </c>
      <c r="K33" s="189">
        <f t="shared" si="9"/>
        <v>1.0749848111789722</v>
      </c>
      <c r="L33" s="188" cm="1">
        <f t="array" ref="L33">K33/(_xll.BDP(B33&amp;" Equity", "PREV_CLOSE_VAL")/_xll.BDP(C33&amp;" Equity", "PREV_CLOSE_VAL"))-1</f>
        <v>1.6173631697992574E-2</v>
      </c>
      <c r="M33" s="188"/>
      <c r="N33" s="190">
        <f t="shared" si="10"/>
        <v>1.1665150327407132</v>
      </c>
      <c r="O33" s="191">
        <f t="shared" si="17"/>
        <v>1.3864914933837432E-2</v>
      </c>
      <c r="P33" s="192" cm="1">
        <f t="array" ref="P33">_xll.BDP($A33&amp;" Index","VOLATILITY_30D")</f>
        <v>22.003620000000002</v>
      </c>
      <c r="Q33" s="192" cm="1">
        <f t="array" aca="1" ref="Q33" ca="1">(_xll.BDP(($B33&amp; " Equity"),"CORR_COEF", "BETA_OVERRIDE_REL_INDEX",($C33&amp; " Equity"),"BETA_OVERRIDE_END_DT",$Q$5,"BETA_OVERRIDE_START_DT",$Q$4))*100</f>
        <v>49.437014431835358</v>
      </c>
      <c r="R33" s="188"/>
      <c r="S33" s="188" cm="1">
        <f t="array" ref="S33">_xll.BDP($A33&amp;" Index","CHG_PCT_2D")/100</f>
        <v>2.9947680000000001E-2</v>
      </c>
      <c r="T33" s="188" cm="1">
        <f t="array" ref="T33">_xll.BDP($A33&amp;" Index","CHG_PCT_5D")/100</f>
        <v>7.6279710000000001E-2</v>
      </c>
      <c r="U33" s="188" cm="1">
        <f t="array" ref="U33">K33/_xll.BDP($A33&amp;" Index","HIGH_52WEEK")-1</f>
        <v>-0.21893132952192684</v>
      </c>
      <c r="V33" s="188" cm="1">
        <f t="array" ref="V33">K33/_xll.BDP($A33&amp;" Index","LOW_52WEEK")-1</f>
        <v>9.6285641187240145E-2</v>
      </c>
      <c r="W33" s="188"/>
      <c r="X33" s="192" cm="1">
        <f t="array" ref="X33">_xll.BDP($A33&amp;" Index","RSI_14D")</f>
        <v>56.905410000000003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46050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1.957516893290224</v>
      </c>
      <c r="AI33" s="196" cm="1">
        <f t="array" ref="AI33">(_xll.BDP(C33&amp;" Equity","SHORT_INT")/_xll.BDP(C33&amp;" Equity","VOLUME_AVG_90D"))</f>
        <v>0.76732295825669727</v>
      </c>
      <c r="AJ33" s="196" cm="1">
        <f t="array" ref="AJ33">(_xll.BDP(B33&amp;" Equity","SHORT_INT"))/((_xll.BDP(B33&amp;" Equity","EQY_FREE_FLOAT_PCT"))*(_xll.BDP(B33&amp;" Equity","EQY_SH_OUT_TOT_MULT_SH")))/100</f>
        <v>1.315029992310595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1.6336826931739878E-2</v>
      </c>
      <c r="AN33" s="194">
        <f ca="1">IF(ISTEXT(B33),AP33/_xll.BDH(B33 &amp;  " Equity","BEST_EPS",$AN$3,$AN$3,"BEST_FPERIOD_OVERRIDE=1BF","CDR=US","Fill=p")-1,"")</f>
        <v>-2.4584966566751021E-2</v>
      </c>
      <c r="AO33" s="196">
        <f t="shared" ca="1" si="14"/>
        <v>19.867033064444641</v>
      </c>
      <c r="AP33" s="196" cm="1">
        <f t="array" aca="1" ref="AP33" ca="1">IF(ISTEXT(B33),_xll.BDH(B33 &amp;  " Equity","BEST_EPS",$Q$3,$Q$3,"BEST_FPERIOD_OVERRIDE=1BF","CDR=US","Fill=p"),"")</f>
        <v>33.843000000000004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332.71</v>
      </c>
      <c r="H34" s="188" cm="1">
        <f t="array" ref="H34">G34/_xll.BDP(B34&amp;" Equity", "PREV_CLOSE_VAL")-1</f>
        <v>-6.4502642816616218E-3</v>
      </c>
      <c r="I34" s="187" cm="1">
        <f t="array" ref="I34">_xll.BDP(C34&amp;" Equity","LAST PRICE")</f>
        <v>398.82</v>
      </c>
      <c r="J34" s="188" cm="1">
        <f t="array" ref="J34">I34/_xll.BDP(C34&amp;" Equity", "PREV_CLOSE_VAL")-1</f>
        <v>-3.1742857856982276E-3</v>
      </c>
      <c r="K34" s="189">
        <f t="shared" si="9"/>
        <v>0.83423599618875677</v>
      </c>
      <c r="L34" s="188" cm="1">
        <f t="array" ref="L34">K34/(_xll.BDP(B34&amp;" Equity", "PREV_CLOSE_VAL")/_xll.BDP(C34&amp;" Equity", "PREV_CLOSE_VAL"))-1</f>
        <v>-3.2864105021063184E-3</v>
      </c>
      <c r="M34" s="188"/>
      <c r="N34" s="190">
        <f t="shared" si="10"/>
        <v>0.23431427368624361</v>
      </c>
      <c r="O34" s="191">
        <f t="shared" si="17"/>
        <v>1.4025652173913043E-2</v>
      </c>
      <c r="P34" s="192" cm="1">
        <f t="array" ref="P34">_xll.BDP($A34&amp;" Index","VOLATILITY_30D")</f>
        <v>22.258710000000001</v>
      </c>
      <c r="Q34" s="192" cm="1">
        <f t="array" aca="1" ref="Q34" ca="1">(_xll.BDP(($B34&amp; " Equity"),"CORR_COEF", "BETA_OVERRIDE_REL_INDEX",($C34&amp; " Equity"),"BETA_OVERRIDE_END_DT",$Q$5,"BETA_OVERRIDE_START_DT",$Q$4))*100</f>
        <v>80.250131531324897</v>
      </c>
      <c r="R34" s="188"/>
      <c r="S34" s="188" cm="1">
        <f t="array" ref="S34">_xll.BDP($A34&amp;" Index","CHG_PCT_2D")/100</f>
        <v>2.783884E-2</v>
      </c>
      <c r="T34" s="188" cm="1">
        <f t="array" ref="T34">_xll.BDP($A34&amp;" Index","CHG_PCT_5D")/100</f>
        <v>-2.3207419999999999E-2</v>
      </c>
      <c r="U34" s="188" cm="1">
        <f t="array" ref="U34">K34/_xll.BDP($A34&amp;" Index","HIGH_52WEEK")-1</f>
        <v>-6.427530319586694E-2</v>
      </c>
      <c r="V34" s="188" cm="1">
        <f t="array" ref="V34">K34/_xll.BDP($A34&amp;" Index","LOW_52WEEK")-1</f>
        <v>0.1079125556970395</v>
      </c>
      <c r="W34" s="188"/>
      <c r="X34" s="192" cm="1">
        <f t="array" ref="X34">_xll.BDP($A34&amp;" Index","RSI_14D")</f>
        <v>51.169049999999999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1.8112239000077721</v>
      </c>
      <c r="AI34" s="196" cm="1">
        <f t="array" ref="AI34">(_xll.BDP(C34&amp;" Equity","SHORT_INT")/_xll.BDP(C34&amp;" Equity","VOLUME_AVG_90D"))</f>
        <v>1.2309535159829983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0.18792487431624871</v>
      </c>
      <c r="AN34" s="194">
        <f ca="1">IF(ISTEXT(B34),AP34/_xll.BDH(B34 &amp;  " Equity","BEST_EPS",$AN$3,$AN$3,"BEST_FPERIOD_OVERRIDE=1BF","CDR=US","Fill=p")-1,"")</f>
        <v>0.22293501582763486</v>
      </c>
      <c r="AO34" s="196">
        <f t="shared" ca="1" si="14"/>
        <v>0.73796817538583015</v>
      </c>
      <c r="AP34" s="196" cm="1">
        <f t="array" aca="1" ref="AP34" ca="1">IF(ISTEXT(B34),_xll.BDH(B34 &amp;  " Equity","BEST_EPS",$Q$3,$Q$3,"BEST_FPERIOD_OVERRIDE=1BF","CDR=US","Fill=p"),"")</f>
        <v>450.846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186.47</v>
      </c>
      <c r="H35" s="188" cm="1">
        <f t="array" ref="H35">G35/_xll.BDP(B35&amp;" Equity", "PREV_CLOSE_VAL")-1</f>
        <v>-6.3942025896519539E-3</v>
      </c>
      <c r="I35" s="187" cm="1">
        <f t="array" ref="I35">_xll.BDP(C35&amp;" Equity","LAST PRICE")</f>
        <v>398.82</v>
      </c>
      <c r="J35" s="188" cm="1">
        <f t="array" ref="J35">I35/_xll.BDP(C35&amp;" Equity", "PREV_CLOSE_VAL")-1</f>
        <v>-3.1742857856982276E-3</v>
      </c>
      <c r="K35" s="189">
        <f t="shared" si="9"/>
        <v>0.46755428514116643</v>
      </c>
      <c r="L35" s="188" cm="1">
        <f t="array" ref="L35">K35/(_xll.BDP(B35&amp;" Equity", "PREV_CLOSE_VAL")/_xll.BDP(C35&amp;" Equity", "PREV_CLOSE_VAL"))-1</f>
        <v>-3.2301702875832117E-3</v>
      </c>
      <c r="M35" s="188"/>
      <c r="N35" s="190">
        <f t="shared" si="10"/>
        <v>0.23573624213904718</v>
      </c>
      <c r="O35" s="191">
        <f t="shared" si="17"/>
        <v>1.3702476370510398E-2</v>
      </c>
      <c r="P35" s="192" cm="1">
        <f t="array" ref="P35">_xll.BDP($A35&amp;" Index","VOLATILITY_30D")</f>
        <v>21.745830000000002</v>
      </c>
      <c r="Q35" s="192" cm="1">
        <f t="array" aca="1" ref="Q35" ca="1">(_xll.BDP(($B35&amp; " Equity"),"CORR_COEF", "BETA_OVERRIDE_REL_INDEX",($C35&amp; " Equity"),"BETA_OVERRIDE_END_DT",$Q$5,"BETA_OVERRIDE_START_DT",$Q$4))*100</f>
        <v>58.266479234245381</v>
      </c>
      <c r="R35" s="188"/>
      <c r="S35" s="188" cm="1">
        <f t="array" ref="S35">_xll.BDP($A35&amp;" Index","CHG_PCT_2D")/100</f>
        <v>1.8273350000000001E-2</v>
      </c>
      <c r="T35" s="188" cm="1">
        <f t="array" ref="T35">_xll.BDP($A35&amp;" Index","CHG_PCT_5D")/100</f>
        <v>4.5762240000000003E-3</v>
      </c>
      <c r="U35" s="188" cm="1">
        <f t="array" ref="U35">K35/_xll.BDP($A35&amp;" Index","HIGH_52WEEK")-1</f>
        <v>-0.25309623933103342</v>
      </c>
      <c r="V35" s="188" cm="1">
        <f t="array" ref="V35">K35/_xll.BDP($A35&amp;" Index","LOW_52WEEK")-1</f>
        <v>2.5113539007161734E-2</v>
      </c>
      <c r="W35" s="188"/>
      <c r="X35" s="192" cm="1">
        <f t="array" ref="X35">_xll.BDP($A35&amp;" Index","RSI_14D")</f>
        <v>38.029859999999999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1.4003301347175217</v>
      </c>
      <c r="AI35" s="196" cm="1">
        <f t="array" ref="AI35">(_xll.BDP(C35&amp;" Equity","SHORT_INT")/_xll.BDP(C35&amp;" Equity","VOLUME_AVG_90D"))</f>
        <v>1.2309535159829983</v>
      </c>
      <c r="AJ35" s="196" cm="1">
        <f t="array" ref="AJ35">(_xll.BDP(B35&amp;" Equity","SHORT_INT"))/((_xll.BDP(B35&amp;" Equity","EQY_FREE_FLOAT_PCT"))*(_xll.BDP(B35&amp;" Equity","EQY_SH_OUT_TOT_MULT_SH")))/100</f>
        <v>1.0985492394965368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4.2446433414700335E-2</v>
      </c>
      <c r="AN35" s="194">
        <f ca="1">IF(ISTEXT(B35),AP35/_xll.BDH(B35 &amp;  " Equity","BEST_EPS",$AN$3,$AN$3,"BEST_FPERIOD_OVERRIDE=1BF","CDR=US","Fill=p")-1,"")</f>
        <v>0.29410774410774398</v>
      </c>
      <c r="AO35" s="196">
        <f t="shared" ca="1" si="14"/>
        <v>24.257837908156628</v>
      </c>
      <c r="AP35" s="196" cm="1">
        <f t="array" aca="1" ref="AP35" ca="1">IF(ISTEXT(B35),_xll.BDH(B35 &amp;  " Equity","BEST_EPS",$Q$3,$Q$3,"BEST_FPERIOD_OVERRIDE=1BF","CDR=US","Fill=p"),"")</f>
        <v>7.6870000000000003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324.85000000000002</v>
      </c>
      <c r="H36" s="188" cm="1">
        <f t="array" ref="H36">G36/_xll.BDP(B36&amp;" Equity", "PREV_CLOSE_VAL")-1</f>
        <v>1.4997656616153821E-2</v>
      </c>
      <c r="I36" s="187" cm="1">
        <f t="array" ref="I36">_xll.BDP(C36&amp;" Equity","LAST PRICE")</f>
        <v>398.82</v>
      </c>
      <c r="J36" s="188" cm="1">
        <f t="array" ref="J36">I36/_xll.BDP(C36&amp;" Equity", "PREV_CLOSE_VAL")-1</f>
        <v>-3.1742857856982276E-3</v>
      </c>
      <c r="K36" s="189">
        <f t="shared" si="9"/>
        <v>0.81452785717867715</v>
      </c>
      <c r="L36" s="188" cm="1">
        <f t="array" ref="L36">K36/(_xll.BDP(B36&amp;" Equity", "PREV_CLOSE_VAL")/_xll.BDP(C36&amp;" Equity", "PREV_CLOSE_VAL"))-1</f>
        <v>1.8229809025517518E-2</v>
      </c>
      <c r="M36" s="188"/>
      <c r="N36" s="190">
        <f t="shared" si="10"/>
        <v>0.80795623133224903</v>
      </c>
      <c r="O36" s="191">
        <f t="shared" si="17"/>
        <v>2.2562867044738501E-2</v>
      </c>
      <c r="P36" s="192" cm="1">
        <f t="array" ref="P36">_xll.BDP($A36&amp;" Index","VOLATILITY_30D")</f>
        <v>35.807270000000003</v>
      </c>
      <c r="Q36" s="192" cm="1">
        <f t="array" aca="1" ref="Q36" ca="1">(_xll.BDP(($B36&amp; " Equity"),"CORR_COEF", "BETA_OVERRIDE_REL_INDEX",($C36&amp; " Equity"),"BETA_OVERRIDE_END_DT",$Q$5,"BETA_OVERRIDE_START_DT",$Q$4))*100</f>
        <v>60.249317732816053</v>
      </c>
      <c r="R36" s="188"/>
      <c r="S36" s="188" cm="1">
        <f t="array" ref="S36">_xll.BDP($A36&amp;" Index","CHG_PCT_2D")/100</f>
        <v>1.0137760000000001E-2</v>
      </c>
      <c r="T36" s="188" cm="1">
        <f t="array" ref="T36">_xll.BDP($A36&amp;" Index","CHG_PCT_5D")/100</f>
        <v>-7.0807369999999994E-2</v>
      </c>
      <c r="U36" s="188" cm="1">
        <f t="array" ref="U36">K36/_xll.BDP($A36&amp;" Index","HIGH_52WEEK")-1</f>
        <v>-0.33697366123021799</v>
      </c>
      <c r="V36" s="188" cm="1">
        <f t="array" ref="V36">K36/_xll.BDP($A36&amp;" Index","LOW_52WEEK")-1</f>
        <v>3.4334222883690035E-2</v>
      </c>
      <c r="W36" s="188"/>
      <c r="X36" s="192" cm="1">
        <f t="array" ref="X36">_xll.BDP($A36&amp;" Index","RSI_14D")</f>
        <v>23.227370000000001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2.0097494168157231</v>
      </c>
      <c r="AI36" s="196" cm="1">
        <f t="array" ref="AI36">(_xll.BDP(C36&amp;" Equity","SHORT_INT")/_xll.BDP(C36&amp;" Equity","VOLUME_AVG_90D"))</f>
        <v>1.2309535159829983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4.5203654358584089E-2</v>
      </c>
      <c r="AN36" s="194">
        <f ca="1">IF(ISTEXT(B36),AP36/_xll.BDH(B36 &amp;  " Equity","BEST_EPS",$AN$3,$AN$3,"BEST_FPERIOD_OVERRIDE=1BF","CDR=US","Fill=p")-1,"")</f>
        <v>0.18223896663078598</v>
      </c>
      <c r="AO36" s="196">
        <f t="shared" ca="1" si="14"/>
        <v>29.577528908312846</v>
      </c>
      <c r="AP36" s="196" cm="1">
        <f t="array" aca="1" ref="AP36" ca="1">IF(ISTEXT(B36),_xll.BDH(B36 &amp;  " Equity","BEST_EPS",$Q$3,$Q$3,"BEST_FPERIOD_OVERRIDE=1BF","CDR=US","Fill=p"),"")</f>
        <v>10.983000000000001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81.77</v>
      </c>
      <c r="H37" s="188" cm="1">
        <f t="array" ref="H37">G37/_xll.BDP(B37&amp;" Equity", "PREV_CLOSE_VAL")-1</f>
        <v>1.9194814907141922E-2</v>
      </c>
      <c r="I37" s="187" cm="1">
        <f t="array" ref="I37">_xll.BDP(C37&amp;" Equity","LAST PRICE")</f>
        <v>398.82</v>
      </c>
      <c r="J37" s="188" cm="1">
        <f t="array" ref="J37">I37/_xll.BDP(C37&amp;" Equity", "PREV_CLOSE_VAL")-1</f>
        <v>-3.1742857856982276E-3</v>
      </c>
      <c r="K37" s="189">
        <f t="shared" si="9"/>
        <v>0.20502983802216537</v>
      </c>
      <c r="L37" s="188" cm="1">
        <f t="array" ref="L37">K37/(_xll.BDP(B37&amp;" Equity", "PREV_CLOSE_VAL")/_xll.BDP(C37&amp;" Equity", "PREV_CLOSE_VAL"))-1</f>
        <v>2.2440332722025946E-2</v>
      </c>
      <c r="M37" s="188"/>
      <c r="N37" s="190">
        <f t="shared" si="10"/>
        <v>1.2350039318597628</v>
      </c>
      <c r="O37" s="191">
        <f t="shared" si="17"/>
        <v>1.81702520478891E-2</v>
      </c>
      <c r="P37" s="192" cm="1">
        <f t="array" ref="P37">_xll.BDP($A37&amp;" Index","VOLATILITY_30D")</f>
        <v>28.836189999999998</v>
      </c>
      <c r="Q37" s="192" cm="1">
        <f t="array" aca="1" ref="Q37" ca="1">(_xll.BDP(($B37&amp; " Equity"),"CORR_COEF", "BETA_OVERRIDE_REL_INDEX",($C37&amp; " Equity"),"BETA_OVERRIDE_END_DT",$Q$5,"BETA_OVERRIDE_START_DT",$Q$4))*100</f>
        <v>68.281177883263908</v>
      </c>
      <c r="R37" s="188"/>
      <c r="S37" s="188" cm="1">
        <f t="array" ref="S37">_xll.BDP($A37&amp;" Index","CHG_PCT_2D")/100</f>
        <v>-8.9948600000000004E-3</v>
      </c>
      <c r="T37" s="188" cm="1">
        <f t="array" ref="T37">_xll.BDP($A37&amp;" Index","CHG_PCT_5D")/100</f>
        <v>1.7346750000000001E-2</v>
      </c>
      <c r="U37" s="188" cm="1">
        <f t="array" ref="U37">K37/_xll.BDP($A37&amp;" Index","HIGH_52WEEK")-1</f>
        <v>-0.57297015803602069</v>
      </c>
      <c r="V37" s="188" cm="1">
        <f t="array" ref="V37">K37/_xll.BDP($A37&amp;" Index","LOW_52WEEK")-1</f>
        <v>2.2439724840000785E-2</v>
      </c>
      <c r="W37" s="188"/>
      <c r="X37" s="192" cm="1">
        <f t="array" ref="X37">_xll.BDP($A37&amp;" Index","RSI_14D")</f>
        <v>27.310500000000001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2.0971641685004268</v>
      </c>
      <c r="AI37" s="196" cm="1">
        <f t="array" ref="AI37">(_xll.BDP(C37&amp;" Equity","SHORT_INT")/_xll.BDP(C37&amp;" Equity","VOLUME_AVG_90D"))</f>
        <v>1.2309535159829983</v>
      </c>
      <c r="AJ37" s="196" cm="1">
        <f t="array" ref="AJ37">(_xll.BDP(B37&amp;" Equity","SHORT_INT"))/((_xll.BDP(B37&amp;" Equity","EQY_FREE_FLOAT_PCT"))*(_xll.BDP(B37&amp;" Equity","EQY_SH_OUT_TOT_MULT_SH")))/100</f>
        <v>4.5786413349114348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2.027412906910353E-2</v>
      </c>
      <c r="AN37" s="194">
        <f ca="1">IF(ISTEXT(B37),AP37/_xll.BDH(B37 &amp;  " Equity","BEST_EPS",$AN$3,$AN$3,"BEST_FPERIOD_OVERRIDE=1BF","CDR=US","Fill=p")-1,"")</f>
        <v>0.1065345308144936</v>
      </c>
      <c r="AO37" s="196">
        <f t="shared" ca="1" si="14"/>
        <v>22.88553036663868</v>
      </c>
      <c r="AP37" s="196" cm="1">
        <f t="array" aca="1" ref="AP37" ca="1">IF(ISTEXT(B37),_xll.BDH(B37 &amp;  " Equity","BEST_EPS",$Q$3,$Q$3,"BEST_FPERIOD_OVERRIDE=1BF","CDR=US","Fill=p"),"")</f>
        <v>3.573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527.36</v>
      </c>
      <c r="H38" s="188" cm="1">
        <f t="array" ref="H38">G38/_xll.BDP(B38&amp;" Equity", "PREV_CLOSE_VAL")-1</f>
        <v>4.992948888973503E-3</v>
      </c>
      <c r="I38" s="187" cm="1">
        <f t="array" ref="I38">_xll.BDP(C38&amp;" Equity","LAST PRICE")</f>
        <v>199.24</v>
      </c>
      <c r="J38" s="188" cm="1">
        <f t="array" ref="J38">I38/_xll.BDP(C38&amp;" Equity", "PREV_CLOSE_VAL")-1</f>
        <v>2.3645419328872652E-3</v>
      </c>
      <c r="K38" s="189">
        <f t="shared" si="9"/>
        <v>2.6468580606303953</v>
      </c>
      <c r="L38" s="188" cm="1">
        <f t="array" ref="L38">K38/(_xll.BDP(B38&amp;" Equity", "PREV_CLOSE_VAL")/_xll.BDP(C38&amp;" Equity", "PREV_CLOSE_VAL"))-1</f>
        <v>2.6222066385328535E-3</v>
      </c>
      <c r="M38" s="188"/>
      <c r="N38" s="190">
        <f t="shared" si="10"/>
        <v>0.21855141874498524</v>
      </c>
      <c r="O38" s="191">
        <f t="shared" si="17"/>
        <v>1.1998122243226212E-2</v>
      </c>
      <c r="P38" s="192" cm="1">
        <f t="array" ref="P38">_xll.BDP($A38&amp;" Index","VOLATILITY_30D")</f>
        <v>19.04102</v>
      </c>
      <c r="Q38" s="192" cm="1">
        <f t="array" aca="1" ref="Q38" ca="1">(_xll.BDP(($B38&amp; " Equity"),"CORR_COEF", "BETA_OVERRIDE_REL_INDEX",($C38&amp; " Equity"),"BETA_OVERRIDE_END_DT",$Q$5,"BETA_OVERRIDE_START_DT",$Q$4))*100</f>
        <v>65.273911301727765</v>
      </c>
      <c r="R38" s="188"/>
      <c r="S38" s="188" cm="1">
        <f t="array" ref="S38">_xll.BDP($A38&amp;" Index","CHG_PCT_2D")/100</f>
        <v>-9.205132999999999E-3</v>
      </c>
      <c r="T38" s="188" cm="1">
        <f t="array" ref="T38">_xll.BDP($A38&amp;" Index","CHG_PCT_5D")/100</f>
        <v>-2.4371260000000002E-2</v>
      </c>
      <c r="U38" s="188" cm="1">
        <f t="array" ref="U38">K38/_xll.BDP($A38&amp;" Index","HIGH_52WEEK")-1</f>
        <v>-0.20255183220140183</v>
      </c>
      <c r="V38" s="188" cm="1">
        <f t="array" ref="V38">K38/_xll.BDP($A38&amp;" Index","LOW_52WEEK")-1</f>
        <v>2.6205370691738672E-3</v>
      </c>
      <c r="W38" s="188"/>
      <c r="X38" s="192" cm="1">
        <f t="array" ref="X38">_xll.BDP($A38&amp;" Index","RSI_14D")</f>
        <v>23.785689999999999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2.1958344840148918</v>
      </c>
      <c r="AI38" s="196" cm="1">
        <f t="array" ref="AI38">(_xll.BDP(C38&amp;" Equity","SHORT_INT")/_xll.BDP(C38&amp;" Equity","VOLUME_AVG_90D"))</f>
        <v>3.0874096623330769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1.400031461381146E-2</v>
      </c>
      <c r="AN38" s="194">
        <f ca="1">IF(ISTEXT(B38),AP38/_xll.BDH(B38 &amp;  " Equity","BEST_EPS",$AN$3,$AN$3,"BEST_FPERIOD_OVERRIDE=1BF","CDR=US","Fill=p")-1,"")</f>
        <v>4.5579886455798801E-2</v>
      </c>
      <c r="AO38" s="196">
        <f t="shared" ca="1" si="14"/>
        <v>27.270658806494982</v>
      </c>
      <c r="AP38" s="196" cm="1">
        <f t="array" aca="1" ref="AP38" ca="1">IF(ISTEXT(B38),_xll.BDH(B38 &amp;  " Equity","BEST_EPS",$Q$3,$Q$3,"BEST_FPERIOD_OVERRIDE=1BF","CDR=US","Fill=p"),"")</f>
        <v>19.338000000000001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328.49</v>
      </c>
      <c r="H39" s="188" cm="1">
        <f t="array" ref="H39">G39/_xll.BDP(B39&amp;" Equity", "PREV_CLOSE_VAL")-1</f>
        <v>7.0819792752467858E-3</v>
      </c>
      <c r="I39" s="187" cm="1">
        <f t="array" ref="I39">_xll.BDP(C39&amp;" Equity","LAST PRICE")</f>
        <v>199.24</v>
      </c>
      <c r="J39" s="188" cm="1">
        <f t="array" ref="J39">I39/_xll.BDP(C39&amp;" Equity", "PREV_CLOSE_VAL")-1</f>
        <v>2.3645419328872652E-3</v>
      </c>
      <c r="K39" s="189">
        <f t="shared" si="9"/>
        <v>1.648715117446296</v>
      </c>
      <c r="L39" s="188" cm="1">
        <f t="array" ref="L39">K39/(_xll.BDP(B39&amp;" Equity", "PREV_CLOSE_VAL")/_xll.BDP(C39&amp;" Equity", "PREV_CLOSE_VAL"))-1</f>
        <v>4.7063090771974903E-3</v>
      </c>
      <c r="M39" s="188"/>
      <c r="N39" s="190">
        <f t="shared" si="10"/>
        <v>0.3790908567691994</v>
      </c>
      <c r="O39" s="191">
        <f>P39/15.87/100</f>
        <v>1.2414725897920604E-2</v>
      </c>
      <c r="P39" s="192" cm="1">
        <f t="array" ref="P39">_xll.BDP($A39&amp;" Index","VOLATILITY_30D")</f>
        <v>19.702169999999999</v>
      </c>
      <c r="Q39" s="192" cm="1">
        <f t="array" aca="1" ref="Q39" ca="1">(_xll.BDP(($B39&amp; " Equity"),"CORR_COEF", "BETA_OVERRIDE_REL_INDEX",($C39&amp; " Equity"),"BETA_OVERRIDE_END_DT",$Q$5,"BETA_OVERRIDE_START_DT",$Q$4))*100</f>
        <v>46.876722786663969</v>
      </c>
      <c r="R39" s="188"/>
      <c r="S39" s="188" cm="1">
        <f t="array" ref="S39">_xll.BDP($A39&amp;" Index","CHG_PCT_2D")/100</f>
        <v>9.0121059999999989E-3</v>
      </c>
      <c r="T39" s="188" cm="1">
        <f t="array" ref="T39">_xll.BDP($A39&amp;" Index","CHG_PCT_5D")/100</f>
        <v>-1.4551329999999999E-5</v>
      </c>
      <c r="U39" s="188" cm="1">
        <f t="array" ref="U39">K39/_xll.BDP($A39&amp;" Index","HIGH_52WEEK")-1</f>
        <v>-0.20901034008055375</v>
      </c>
      <c r="V39" s="188" cm="1">
        <f t="array" ref="V39">K39/_xll.BDP($A39&amp;" Index","LOW_52WEEK")-1</f>
        <v>1.0681802405639651E-2</v>
      </c>
      <c r="W39" s="188"/>
      <c r="X39" s="192" cm="1">
        <f t="array" ref="X39">_xll.BDP($A39&amp;" Index","RSI_14D")</f>
        <v>29.634409999999999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3.497628297442759</v>
      </c>
      <c r="AI39" s="196" cm="1">
        <f t="array" ref="AI39">(_xll.BDP(C39&amp;" Equity","SHORT_INT")/_xll.BDP(C39&amp;" Equity","VOLUME_AVG_90D"))</f>
        <v>3.0874096623330769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1.1155801775821539E-2</v>
      </c>
      <c r="AN39" s="194">
        <f ca="1">IF(ISTEXT(B39),AP39/_xll.BDH(B39 &amp;  " Equity","BEST_EPS",$AN$3,$AN$3,"BEST_FPERIOD_OVERRIDE=1BF","CDR=US","Fill=p")-1,"")</f>
        <v>2.895976523283661E-2</v>
      </c>
      <c r="AO39" s="196">
        <f t="shared" ca="1" si="14"/>
        <v>24.654007805463827</v>
      </c>
      <c r="AP39" s="196" cm="1">
        <f t="array" aca="1" ref="AP39" ca="1">IF(ISTEXT(B39),_xll.BDH(B39 &amp;  " Equity","BEST_EPS",$Q$3,$Q$3,"BEST_FPERIOD_OVERRIDE=1BF","CDR=US","Fill=p"),"")</f>
        <v>13.324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527.36</v>
      </c>
      <c r="H40" s="188" cm="1">
        <f t="array" ref="H40">G40/_xll.BDP(B40&amp;" Equity", "PREV_CLOSE_VAL")-1</f>
        <v>4.992948888973503E-3</v>
      </c>
      <c r="I40" s="187" cm="1">
        <f t="array" ref="I40">_xll.BDP(C40&amp;" Equity","LAST PRICE")</f>
        <v>328.49</v>
      </c>
      <c r="J40" s="188" cm="1">
        <f t="array" ref="J40">I40/_xll.BDP(C40&amp;" Equity", "PREV_CLOSE_VAL")-1</f>
        <v>7.0819792752467858E-3</v>
      </c>
      <c r="K40" s="189">
        <f t="shared" si="9"/>
        <v>1.6054065572772382</v>
      </c>
      <c r="L40" s="188" cm="1">
        <f t="array" ref="L40">K40/(_xll.BDP(B40&amp;" Equity", "PREV_CLOSE_VAL")/_xll.BDP(C40&amp;" Equity", "PREV_CLOSE_VAL"))-1</f>
        <v>-2.0743399537112017E-3</v>
      </c>
      <c r="M40" s="188"/>
      <c r="N40" s="190">
        <f t="shared" si="10"/>
        <v>0.34848990801896174</v>
      </c>
      <c r="O40" s="191">
        <f>P40/15.87/100</f>
        <v>5.9523673597983631E-3</v>
      </c>
      <c r="P40" s="192" cm="1">
        <f t="array" ref="P40">_xll.BDP($A40&amp;" Index","VOLATILITY_30D")</f>
        <v>9.4464070000000007</v>
      </c>
      <c r="Q40" s="192" cm="1">
        <f t="array" aca="1" ref="Q40" ca="1">(_xll.BDP(($B40&amp; " Equity"),"CORR_COEF", "BETA_OVERRIDE_REL_INDEX",($C40&amp; " Equity"),"BETA_OVERRIDE_END_DT",$Q$5,"BETA_OVERRIDE_START_DT",$Q$4))*100</f>
        <v>87.256991657509261</v>
      </c>
      <c r="R40" s="188"/>
      <c r="S40" s="188" cm="1">
        <f t="array" ref="S40">_xll.BDP($A40&amp;" Index","CHG_PCT_2D")/100</f>
        <v>-1.805373E-2</v>
      </c>
      <c r="T40" s="188" cm="1">
        <f t="array" ref="T40">_xll.BDP($A40&amp;" Index","CHG_PCT_5D")/100</f>
        <v>-2.435611E-2</v>
      </c>
      <c r="U40" s="188" cm="1">
        <f t="array" ref="U40">K40/_xll.BDP($A40&amp;" Index","HIGH_52WEEK")-1</f>
        <v>-7.3599032126005826E-2</v>
      </c>
      <c r="V40" s="188" cm="1">
        <f t="array" ref="V40">K40/_xll.BDP($A40&amp;" Index","LOW_52WEEK")-1</f>
        <v>5.0033394560332622E-2</v>
      </c>
      <c r="W40" s="188"/>
      <c r="X40" s="192" cm="1">
        <f t="array" ref="X40">_xll.BDP($A40&amp;" Index","RSI_14D")</f>
        <v>38.219949999999997</v>
      </c>
      <c r="Y40" s="193">
        <v>1.67</v>
      </c>
      <c r="Z40" s="188">
        <f t="shared" si="11"/>
        <v>4.0234943871359174E-2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2.1958344840148918</v>
      </c>
      <c r="AI40" s="196" cm="1">
        <f t="array" ref="AI40">(_xll.BDP(C40&amp;" Equity","SHORT_INT")/_xll.BDP(C40&amp;" Equity","VOLUME_AVG_90D"))</f>
        <v>3.497628297442759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1.400031461381146E-2</v>
      </c>
      <c r="AN40" s="194">
        <f ca="1">IF(ISTEXT(B40),AP40/_xll.BDH(B40 &amp;  " Equity","BEST_EPS",$AN$3,$AN$3,"BEST_FPERIOD_OVERRIDE=1BF","CDR=US","Fill=p")-1,"")</f>
        <v>4.5579886455798801E-2</v>
      </c>
      <c r="AO40" s="196">
        <f t="shared" ca="1" si="14"/>
        <v>27.270658806494982</v>
      </c>
      <c r="AP40" s="196" cm="1">
        <f t="array" aca="1" ref="AP40" ca="1">IF(ISTEXT(B40),_xll.BDH(B40 &amp;  " Equity","BEST_EPS",$Q$3,$Q$3,"BEST_FPERIOD_OVERRIDE=1BF","CDR=US","Fill=p"),"")</f>
        <v>19.338000000000001</v>
      </c>
      <c r="AR40" s="194">
        <f ca="1">IF(ISTEXT(C40),AU40/_xll.BDH(C40 &amp;  " Equity","BEST_EPS",$AM$3,$AM$3,"BEST_FPERIOD_OVERRIDE=1BF","CDR=US","Fill=p")-1,"")</f>
        <v>1.1155801775821539E-2</v>
      </c>
      <c r="AS40" s="194">
        <f ca="1">IF(ISTEXT(C40),AU40/_xll.BDH(C40 &amp;  " Equity","BEST_EPS",$AN$3,$AN$3,"BEST_FPERIOD_OVERRIDE=1BF","CDR=US","Fill=p")-1,"")</f>
        <v>2.895976523283661E-2</v>
      </c>
      <c r="AT40" s="196">
        <f t="shared" ca="1" si="15"/>
        <v>24.654007805463827</v>
      </c>
      <c r="AU40" s="196" cm="1">
        <f t="array" aca="1" ref="AU40" ca="1">IF(ISTEXT(C40),_xll.BDH(C40 &amp;  " Equity","BEST_EPS",$Q$3,$Q$3,"BEST_FPERIOD_OVERRIDE=1BF","CDR=US","Fill=p"),"")</f>
        <v>13.324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216.76</v>
      </c>
      <c r="H41" s="188" cm="1">
        <f t="array" ref="H41">G41/_xll.BDP(B41&amp;" Equity", "PREV_CLOSE_VAL")-1</f>
        <v>-7.8366293274334531E-4</v>
      </c>
      <c r="I41" s="187" cm="1">
        <f t="array" ref="I41">_xll.BDP(C41&amp;" Equity","LAST PRICE")</f>
        <v>625.46</v>
      </c>
      <c r="J41" s="188" cm="1">
        <f t="array" ref="J41">I41/_xll.BDP(C41&amp;" Equity", "PREV_CLOSE_VAL")-1</f>
        <v>4.4000513874615788E-3</v>
      </c>
      <c r="K41" s="189">
        <f t="shared" si="9"/>
        <v>0.34656093115467013</v>
      </c>
      <c r="L41" s="188" cm="1">
        <f t="array" ref="L41">K41/(_xll.BDP(B41&amp;" Equity", "PREV_CLOSE_VAL")/_xll.BDP(C41&amp;" Equity", "PREV_CLOSE_VAL"))-1</f>
        <v>-5.1610056302208163E-3</v>
      </c>
      <c r="M41" s="188"/>
      <c r="N41" s="190">
        <f t="shared" si="10"/>
        <v>0.40739674138753046</v>
      </c>
      <c r="O41" s="191">
        <f t="shared" si="17"/>
        <v>1.2668254568367992E-2</v>
      </c>
      <c r="P41" s="192" cm="1">
        <f t="array" ref="P41">_xll.BDP($A41&amp;" Index","VOLATILITY_30D")</f>
        <v>20.104520000000001</v>
      </c>
      <c r="Q41" s="192" cm="1">
        <f t="array" aca="1" ref="Q41" ca="1">(_xll.BDP(($B41&amp; " Equity"),"CORR_COEF", "BETA_OVERRIDE_REL_INDEX",($C41&amp; " Equity"),"BETA_OVERRIDE_END_DT",$Q$5,"BETA_OVERRIDE_START_DT",$Q$4))*100</f>
        <v>49.561460000000004</v>
      </c>
      <c r="R41" s="188"/>
      <c r="S41" s="188" cm="1">
        <f t="array" ref="S41">_xll.BDP($A41&amp;" Index","CHG_PCT_2D")/100</f>
        <v>-6.484119E-3</v>
      </c>
      <c r="T41" s="188" cm="1">
        <f t="array" ref="T41">_xll.BDP($A41&amp;" Index","CHG_PCT_5D")/100</f>
        <v>-1.863043E-2</v>
      </c>
      <c r="U41" s="188" cm="1">
        <f t="array" ref="U41">K41/_xll.BDP($A41&amp;" Index","HIGH_52WEEK")-1</f>
        <v>-7.3812253047543686E-2</v>
      </c>
      <c r="V41" s="188" cm="1">
        <f t="array" ref="V41">K41/_xll.BDP($A41&amp;" Index","LOW_52WEEK")-1</f>
        <v>0.2835114668148222</v>
      </c>
      <c r="W41" s="188"/>
      <c r="X41" s="192" cm="1">
        <f t="array" ref="X41">_xll.BDP($A41&amp;" Index","RSI_14D")</f>
        <v>55.621380000000002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0.76732295825669727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-4.5239265448373533E-3</v>
      </c>
      <c r="AN41" s="194">
        <f ca="1">IF(ISTEXT(B41),AP41/_xll.BDH(B41 &amp;  " Equity","BEST_EPS",$AN$3,$AN$3,"BEST_FPERIOD_OVERRIDE=1BF","CDR=US","Fill=p")-1,"")</f>
        <v>4.7239097991750745E-2</v>
      </c>
      <c r="AO41" s="196">
        <f t="shared" ca="1" si="14"/>
        <v>24.322535037421876</v>
      </c>
      <c r="AP41" s="196" cm="1">
        <f t="array" aca="1" ref="AP41" ca="1">IF(ISTEXT(B41),_xll.BDH(B41 &amp;  " Equity","BEST_EPS",$Q$3,$Q$3,"BEST_FPERIOD_OVERRIDE=1BF","CDR=US","Fill=p"),"")</f>
        <v>8.9118999999999993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216.76</v>
      </c>
      <c r="H42" s="188" cm="1">
        <f t="array" ref="H42">G42/_xll.BDP(B42&amp;" Equity", "PREV_CLOSE_VAL")-1</f>
        <v>-7.8366293274334531E-4</v>
      </c>
      <c r="I42" s="187" cm="1">
        <f t="array" ref="I42">_xll.BDP(C42&amp;" Equity","LAST PRICE")</f>
        <v>42.87</v>
      </c>
      <c r="J42" s="188" cm="1">
        <f t="array" ref="J42">I42/_xll.BDP(C42&amp;" Equity", "PREV_CLOSE_VAL")-1</f>
        <v>7.2838345864660869E-3</v>
      </c>
      <c r="K42" s="189">
        <f t="shared" ref="K42:K55" si="18">G42/I42</f>
        <v>5.0562164683928152</v>
      </c>
      <c r="L42" s="188" cm="1">
        <f t="array" ref="L42">K42/(_xll.BDP(B42&amp;" Equity", "PREV_CLOSE_VAL")/_xll.BDP(C42&amp;" Equity", "PREV_CLOSE_VAL"))-1</f>
        <v>-8.0091601217064934E-3</v>
      </c>
      <c r="M42" s="188"/>
      <c r="N42" s="190">
        <f t="shared" ref="N42:N55" si="19">ABS(L42/O42)</f>
        <v>0.61467195812612796</v>
      </c>
      <c r="O42" s="191">
        <f t="shared" si="17"/>
        <v>1.3029974795211089E-2</v>
      </c>
      <c r="P42" s="192" cm="1">
        <f t="array" ref="P42">_xll.BDP($A42&amp;" Index","VOLATILITY_30D")</f>
        <v>20.678570000000001</v>
      </c>
      <c r="Q42" s="192" cm="1">
        <f t="array" aca="1" ref="Q42" ca="1">(_xll.BDP(($B42&amp; " Equity"),"CORR_COEF", "BETA_OVERRIDE_REL_INDEX",($C42&amp; " Equity"),"BETA_OVERRIDE_END_DT",$Q$5,"BETA_OVERRIDE_START_DT",$Q$4))*100</f>
        <v>61.822849999999995</v>
      </c>
      <c r="R42" s="188"/>
      <c r="S42" s="188" cm="1">
        <f t="array" ref="S42">_xll.BDP($A42&amp;" Index","CHG_PCT_2D")/100</f>
        <v>-9.1835670000000001E-3</v>
      </c>
      <c r="T42" s="188" cm="1">
        <f t="array" ref="T42">_xll.BDP($A42&amp;" Index","CHG_PCT_5D")/100</f>
        <v>1.3446740000000001E-4</v>
      </c>
      <c r="U42" s="188" cm="1">
        <f t="array" ref="U42">K42/_xll.BDP($A42&amp;" Index","HIGH_52WEEK")-1</f>
        <v>-1.193667199640136E-2</v>
      </c>
      <c r="V42" s="188" cm="1">
        <f t="array" ref="V42">K42/_xll.BDP($A42&amp;" Index","LOW_52WEEK")-1</f>
        <v>0.54493014146774765</v>
      </c>
      <c r="W42" s="188"/>
      <c r="X42" s="192" cm="1">
        <f t="array" ref="X42">_xll.BDP($A42&amp;" Index","RSI_14D")</f>
        <v>63.209560000000003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1.1050327806134423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-4.5239265448373533E-3</v>
      </c>
      <c r="AN42" s="194">
        <f ca="1">IF(ISTEXT(B42),AP42/_xll.BDH(B42 &amp;  " Equity","BEST_EPS",$AN$3,$AN$3,"BEST_FPERIOD_OVERRIDE=1BF","CDR=US","Fill=p")-1,"")</f>
        <v>4.7239097991750745E-2</v>
      </c>
      <c r="AO42" s="196">
        <f t="shared" ref="AO42:AO55" ca="1" si="23">G42/AP42</f>
        <v>24.322535037421876</v>
      </c>
      <c r="AP42" s="196" cm="1">
        <f t="array" aca="1" ref="AP42" ca="1">IF(ISTEXT(B42),_xll.BDH(B42 &amp;  " Equity","BEST_EPS",$Q$3,$Q$3,"BEST_FPERIOD_OVERRIDE=1BF","CDR=US","Fill=p"),"")</f>
        <v>8.9118999999999993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692.73</v>
      </c>
      <c r="H44" s="188" cm="1">
        <f t="array" ref="H44">G44/_xll.BDP(B44&amp;" Equity", "PREV_CLOSE_VAL")-1</f>
        <v>5.0781306675564686E-3</v>
      </c>
      <c r="I44" s="187" cm="1">
        <f t="array" ref="I44">_xll.BDP(C44&amp;" Equity","LAST PRICE")</f>
        <v>199.24</v>
      </c>
      <c r="J44" s="188" cm="1">
        <f t="array" ref="J44">I44/_xll.BDP(C44&amp;" Equity", "PREV_CLOSE_VAL")-1</f>
        <v>2.3645419328872652E-3</v>
      </c>
      <c r="K44" s="189">
        <f t="shared" si="18"/>
        <v>3.4768620758883757</v>
      </c>
      <c r="L44" s="188" cm="1">
        <f t="array" ref="L44">K44/(_xll.BDP(B44&amp;" Equity", "PREV_CLOSE_VAL")/_xll.BDP(C44&amp;" Equity", "PREV_CLOSE_VAL"))-1</f>
        <v>2.7071874763613391E-3</v>
      </c>
      <c r="M44" s="188"/>
      <c r="N44" s="190">
        <f t="shared" si="19"/>
        <v>0.57001927458884449</v>
      </c>
      <c r="O44" s="191">
        <f t="shared" si="17"/>
        <v>4.7492911153119094E-3</v>
      </c>
      <c r="P44" s="192" cm="1">
        <f t="array" ref="P44">_xll.BDP($A44&amp;" Index","VOLATILITY_30D")</f>
        <v>7.5371249999999996</v>
      </c>
      <c r="Q44" s="192" cm="1">
        <f t="array" aca="1" ref="Q44" ca="1">(_xll.BDP(($B44&amp; " Equity"),"CORR_COEF", "BETA_OVERRIDE_REL_INDEX",($C44&amp; " Equity"),"BETA_OVERRIDE_END_DT",$Q$5,"BETA_OVERRIDE_START_DT",$Q$4))*100</f>
        <v>73.74084334624547</v>
      </c>
      <c r="R44" s="188"/>
      <c r="S44" s="188" cm="1">
        <f t="array" ref="S44">_xll.BDP($A44&amp;" Index","CHG_PCT_2D")/100</f>
        <v>7.8342029999999997E-3</v>
      </c>
      <c r="T44" s="188" cm="1">
        <f t="array" ref="T44">_xll.BDP($A44&amp;" Index","CHG_PCT_5D")/100</f>
        <v>8.6191889999999991E-4</v>
      </c>
      <c r="U44" s="188" cm="1">
        <f t="array" ref="U44">K44/_xll.BDP($A44&amp;" Index","HIGH_52WEEK")-1</f>
        <v>-4.7414169108261017E-2</v>
      </c>
      <c r="V44" s="188" cm="1">
        <f t="array" ref="V44">K44/_xll.BDP($A44&amp;" Index","LOW_52WEEK")-1</f>
        <v>8.1564481434545533E-2</v>
      </c>
      <c r="W44" s="188"/>
      <c r="X44" s="192" cm="1">
        <f t="array" ref="X44">_xll.BDP($A44&amp;" Index","RSI_14D")</f>
        <v>39.017220000000002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1.2576317536429813</v>
      </c>
      <c r="AI44" s="196" cm="1">
        <f t="array" ref="AI44">(_xll.BDP(C44&amp;" Equity","SHORT_INT")/_xll.BDP(C44&amp;" Equity","VOLUME_AVG_90D"))</f>
        <v>3.0874096623330769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625.46</v>
      </c>
      <c r="H45" s="188" cm="1">
        <f t="array" ref="H45">G45/_xll.BDP(B45&amp;" Equity", "PREV_CLOSE_VAL")-1</f>
        <v>4.4000513874615788E-3</v>
      </c>
      <c r="I45" s="187" cm="1">
        <f t="array" ref="I45">_xll.BDP(C45&amp;" Equity","LAST PRICE")</f>
        <v>105.5</v>
      </c>
      <c r="J45" s="188" cm="1">
        <f t="array" ref="J45">I45/_xll.BDP(C45&amp;" Equity", "PREV_CLOSE_VAL")-1</f>
        <v>5.5280213495996211E-3</v>
      </c>
      <c r="K45" s="189">
        <f t="shared" si="18"/>
        <v>5.9285308056872044</v>
      </c>
      <c r="L45" s="188" cm="1">
        <f t="array" ref="L45">K45/(_xll.BDP(B45&amp;" Equity", "PREV_CLOSE_VAL")/_xll.BDP(C45&amp;" Equity", "PREV_CLOSE_VAL"))-1</f>
        <v>-1.1217688002609361E-3</v>
      </c>
      <c r="M45" s="188"/>
      <c r="N45" s="190">
        <f t="shared" si="19"/>
        <v>0.25244394728597397</v>
      </c>
      <c r="O45" s="191">
        <f t="shared" si="17"/>
        <v>4.4436351606805292E-3</v>
      </c>
      <c r="P45" s="192" cm="1">
        <f t="array" ref="P45">_xll.BDP($A45&amp;" Index","VOLATILITY_30D")</f>
        <v>7.0520490000000002</v>
      </c>
      <c r="Q45" s="192" cm="1">
        <f t="array" aca="1" ref="Q45" ca="1">(_xll.BDP(($B45&amp; " Equity"),"CORR_COEF", "BETA_OVERRIDE_REL_INDEX",($C45&amp; " Equity"),"BETA_OVERRIDE_END_DT",$Q$5,"BETA_OVERRIDE_START_DT",$Q$4))*100</f>
        <v>86.800994942724216</v>
      </c>
      <c r="R45" s="188"/>
      <c r="S45" s="188" cm="1">
        <f t="array" ref="S45">_xll.BDP($A45&amp;" Index","CHG_PCT_2D")/100</f>
        <v>4.3972619999999999E-3</v>
      </c>
      <c r="T45" s="188" cm="1">
        <f t="array" ref="T45">_xll.BDP($A45&amp;" Index","CHG_PCT_5D")/100</f>
        <v>-4.6199700000000002E-3</v>
      </c>
      <c r="U45" s="188" cm="1">
        <f t="array" ref="U45">K45/_xll.BDP($A45&amp;" Index","HIGH_52WEEK")-1</f>
        <v>-3.0203510504827391E-2</v>
      </c>
      <c r="V45" s="188" cm="1">
        <f t="array" ref="V45">K45/_xll.BDP($A45&amp;" Index","LOW_52WEEK")-1</f>
        <v>0.1075238383412549</v>
      </c>
      <c r="W45" s="188"/>
      <c r="X45" s="192" cm="1">
        <f t="array" ref="X45">_xll.BDP($A45&amp;" Index","RSI_14D")</f>
        <v>45.45505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0.76732295825669727</v>
      </c>
      <c r="AI45" s="196" cm="1">
        <f t="array" ref="AI45">(_xll.BDP(C45&amp;" Equity","SHORT_INT")/_xll.BDP(C45&amp;" Equity","VOLUME_AVG_90D"))</f>
        <v>4.2566396820867709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625.46</v>
      </c>
      <c r="H46" s="188" cm="1">
        <f t="array" ref="H46">G46/_xll.BDP(B46&amp;" Equity", "PREV_CLOSE_VAL")-1</f>
        <v>4.4000513874615788E-3</v>
      </c>
      <c r="I46" s="187" cm="1">
        <f t="array" ref="I46">_xll.BDP(C46&amp;" Equity","LAST PRICE")</f>
        <v>98.81</v>
      </c>
      <c r="J46" s="188" cm="1">
        <f t="array" ref="J46">I46/_xll.BDP(C46&amp;" Equity", "PREV_CLOSE_VAL")-1</f>
        <v>1.1257803704840974E-2</v>
      </c>
      <c r="K46" s="189">
        <f>G46/I46</f>
        <v>6.329926120837972</v>
      </c>
      <c r="L46" s="188" cm="1">
        <f t="array" ref="L46">K46/(_xll.BDP(B46&amp;" Equity", "PREV_CLOSE_VAL")/_xll.BDP(C46&amp;" Equity", "PREV_CLOSE_VAL"))-1</f>
        <v>-6.7814085510692346E-3</v>
      </c>
      <c r="M46" s="188"/>
      <c r="N46" s="190">
        <f>ABS(L46/O46)</f>
        <v>0.66753640624874</v>
      </c>
      <c r="O46" s="191">
        <f>P46/15.87/100</f>
        <v>1.0158859483301828E-2</v>
      </c>
      <c r="P46" s="192" cm="1">
        <f t="array" ref="P46">_xll.BDP($A46&amp;" Index","VOLATILITY_30D")</f>
        <v>16.122109999999999</v>
      </c>
      <c r="Q46" s="192" cm="1">
        <f t="array" aca="1" ref="Q46" ca="1">(_xll.BDP(($B46&amp; " Equity"),"CORR_COEF", "BETA_OVERRIDE_REL_INDEX",($C46&amp; " Equity"),"BETA_OVERRIDE_END_DT",$Q$5,"BETA_OVERRIDE_START_DT",$Q$4))*100</f>
        <v>77.558004953085685</v>
      </c>
      <c r="R46" s="188"/>
      <c r="S46" s="188" cm="1">
        <f t="array" ref="S46">_xll.BDP($A46&amp;" Index","CHG_PCT_2D")/100</f>
        <v>-1.1999439999999998E-2</v>
      </c>
      <c r="T46" s="188" cm="1">
        <f t="array" ref="T46">_xll.BDP($A46&amp;" Index","CHG_PCT_5D")/100</f>
        <v>1.1570719999999999E-3</v>
      </c>
      <c r="U46" s="188" cm="1">
        <f t="array" ref="U46">K46/_xll.BDP($A46&amp;" Index","HIGH_52WEEK")-1</f>
        <v>-2.0129208100673646E-2</v>
      </c>
      <c r="V46" s="188" cm="1">
        <f t="array" ref="V46">K46/_xll.BDP($A46&amp;" Index","LOW_52WEEK")-1</f>
        <v>0.30166115305039964</v>
      </c>
      <c r="W46" s="188"/>
      <c r="X46" s="192" cm="1">
        <f t="array" ref="X46">_xll.BDP($A46&amp;" Index","RSI_14D")</f>
        <v>74.491489999999999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0.76732295825669727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692.73</v>
      </c>
      <c r="H47" s="188" cm="1">
        <f t="array" ref="H47">G47/_xll.BDP(B47&amp;" Equity", "PREV_CLOSE_VAL")-1</f>
        <v>5.0781306675564686E-3</v>
      </c>
      <c r="I47" s="187" cm="1">
        <f t="array" ref="I47">_xll.BDP(C47&amp;" Equity","LAST PRICE")</f>
        <v>625.46</v>
      </c>
      <c r="J47" s="188" cm="1">
        <f t="array" ref="J47">I47/_xll.BDP(C47&amp;" Equity", "PREV_CLOSE_VAL")-1</f>
        <v>4.4000513874615788E-3</v>
      </c>
      <c r="K47" s="189">
        <f t="shared" si="18"/>
        <v>1.1075528411089437</v>
      </c>
      <c r="L47" s="188" cm="1">
        <f t="array" ref="L47">K47/(_xll.BDP(B47&amp;" Equity", "PREV_CLOSE_VAL")/_xll.BDP(C47&amp;" Equity", "PREV_CLOSE_VAL"))-1</f>
        <v>6.7510876682863596E-4</v>
      </c>
      <c r="M47" s="188"/>
      <c r="N47" s="190">
        <f t="shared" si="19"/>
        <v>2.0661397869079751E-2</v>
      </c>
      <c r="O47" s="191">
        <f t="shared" si="17"/>
        <v>3.2674883427851291E-2</v>
      </c>
      <c r="P47" s="192" cm="1">
        <f t="array" ref="P47">_xll.BDP($A47&amp;" Index","VOLATILITY_30D")</f>
        <v>51.855040000000002</v>
      </c>
      <c r="Q47" s="192" cm="1">
        <f t="array" aca="1" ref="Q47" ca="1">(_xll.BDP(($B47&amp; " Equity"),"CORR_COEF", "BETA_OVERRIDE_REL_INDEX",($C47&amp; " Equity"),"BETA_OVERRIDE_END_DT",$Q$5,"BETA_OVERRIDE_START_DT",$Q$4))*100</f>
        <v>94.409625594890116</v>
      </c>
      <c r="R47" s="188"/>
      <c r="S47" s="188" cm="1">
        <f t="array" ref="S47">_xll.BDP($A47&amp;" Index","CHG_PCT_2D")/100</f>
        <v>-1.2313099999999999E-2</v>
      </c>
      <c r="T47" s="188" cm="1">
        <f t="array" ref="T47">_xll.BDP($A47&amp;" Index","CHG_PCT_5D")/100</f>
        <v>-4.4390869999999999E-2</v>
      </c>
      <c r="U47" s="188" cm="1">
        <f t="array" ref="U47">K47/_xll.BDP($A47&amp;" Index","HIGH_52WEEK")-1</f>
        <v>-0.98773202435634755</v>
      </c>
      <c r="V47" s="188" cm="1">
        <f t="array" ref="V47">K47/_xll.BDP($A47&amp;" Index","LOW_52WEEK")-1</f>
        <v>-0.97833849323080491</v>
      </c>
      <c r="W47" s="188"/>
      <c r="X47" s="192" cm="1">
        <f t="array" ref="X47">_xll.BDP($A47&amp;" Index","RSI_14D")</f>
        <v>47.45476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1.2576317536429813</v>
      </c>
      <c r="AI47" s="196" cm="1">
        <f t="array" ref="AI47">(_xll.BDP(C47&amp;" Equity","SHORT_INT")/_xll.BDP(C47&amp;" Equity","VOLUME_AVG_90D"))</f>
        <v>0.76732295825669727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692.73</v>
      </c>
      <c r="H48" s="188" cm="1">
        <f t="array" ref="H48">G48/_xll.BDP(B48&amp;" Equity", "PREV_CLOSE_VAL")-1</f>
        <v>5.0781306675564686E-3</v>
      </c>
      <c r="I48" s="187" cm="1">
        <f t="array" ref="I48">_xll.BDP(C48&amp;" Equity","LAST PRICE")</f>
        <v>263.98</v>
      </c>
      <c r="J48" s="188" cm="1">
        <f t="array" ref="J48">I48/_xll.BDP(C48&amp;" Equity", "PREV_CLOSE_VAL")-1</f>
        <v>-3.1343227219515768E-3</v>
      </c>
      <c r="K48" s="189">
        <f t="shared" si="18"/>
        <v>2.6241760739449957</v>
      </c>
      <c r="L48" s="188" cm="1">
        <f t="array" ref="L48">K48/(_xll.BDP(B48&amp;" Equity", "PREV_CLOSE_VAL")/_xll.BDP(C48&amp;" Equity", "PREV_CLOSE_VAL"))-1</f>
        <v>8.2382748014078189E-3</v>
      </c>
      <c r="M48" s="188"/>
      <c r="N48" s="190">
        <f t="shared" si="19"/>
        <v>1.1458815768570378</v>
      </c>
      <c r="O48" s="191">
        <f t="shared" si="17"/>
        <v>7.1894643982356654E-3</v>
      </c>
      <c r="P48" s="192" cm="1">
        <f t="array" ref="P48">_xll.BDP($A48&amp;" Index","VOLATILITY_30D")</f>
        <v>11.40968</v>
      </c>
      <c r="Q48" s="192" cm="1">
        <f t="array" aca="1" ref="Q48" ca="1">(_xll.BDP(($B48&amp; " Equity"),"CORR_COEF", "BETA_OVERRIDE_REL_INDEX",($C48&amp; " Equity"),"BETA_OVERRIDE_END_DT",$Q$5,"BETA_OVERRIDE_START_DT",$Q$4))*100</f>
        <v>75.962703509615807</v>
      </c>
      <c r="R48" s="188"/>
      <c r="S48" s="188" cm="1">
        <f t="array" ref="S48">_xll.BDP($A48&amp;" Index","CHG_PCT_2D")/100</f>
        <v>2.8239100000000003E-2</v>
      </c>
      <c r="T48" s="188" cm="1">
        <f t="array" ref="T48">_xll.BDP($A48&amp;" Index","CHG_PCT_5D")/100</f>
        <v>8.954980999999999E-3</v>
      </c>
      <c r="U48" s="188" cm="1">
        <f t="array" ref="U48">K48/_xll.BDP($A48&amp;" Index","HIGH_52WEEK")-1</f>
        <v>-9.3918170160350645E-2</v>
      </c>
      <c r="V48" s="188" cm="1">
        <f t="array" ref="V48">K48/_xll.BDP($A48&amp;" Index","LOW_52WEEK")-1</f>
        <v>2.7573489264846929E-2</v>
      </c>
      <c r="W48" s="188"/>
      <c r="X48" s="192" cm="1">
        <f t="array" ref="X48">_xll.BDP($A48&amp;" Index","RSI_14D")</f>
        <v>36.001300000000001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1.2576317536429813</v>
      </c>
      <c r="AI48" s="196" cm="1">
        <f t="array" ref="AI48">(_xll.BDP(C48&amp;" Equity","SHORT_INT")/_xll.BDP(C48&amp;" Equity","VOLUME_AVG_90D"))</f>
        <v>2.0033463729934358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625.46</v>
      </c>
      <c r="H49" s="188" cm="1">
        <f t="array" ref="H49">G49/_xll.BDP(B49&amp;" Equity", "PREV_CLOSE_VAL")-1</f>
        <v>4.4000513874615788E-3</v>
      </c>
      <c r="I49" s="187" cm="1">
        <f t="array" ref="I49">_xll.BDP(C49&amp;" Equity","LAST PRICE")</f>
        <v>263.98</v>
      </c>
      <c r="J49" s="188" cm="1">
        <f t="array" ref="J49">I49/_xll.BDP(C49&amp;" Equity", "PREV_CLOSE_VAL")-1</f>
        <v>-3.1343227219515768E-3</v>
      </c>
      <c r="K49" s="189">
        <f t="shared" si="18"/>
        <v>2.3693461625880747</v>
      </c>
      <c r="L49" s="188" cm="1">
        <f t="array" ref="L49">K49/(_xll.BDP(B49&amp;" Equity", "PREV_CLOSE_VAL")/_xll.BDP(C49&amp;" Equity", "PREV_CLOSE_VAL"))-1</f>
        <v>7.5580635196366153E-3</v>
      </c>
      <c r="M49" s="188"/>
      <c r="N49" s="190">
        <f t="shared" si="19"/>
        <v>0.86982904623198165</v>
      </c>
      <c r="O49" s="191">
        <f t="shared" si="17"/>
        <v>8.6891367359798362E-3</v>
      </c>
      <c r="P49" s="192" cm="1">
        <f t="array" ref="P49">_xll.BDP($A49&amp;" Index","VOLATILITY_30D")</f>
        <v>13.78966</v>
      </c>
      <c r="Q49" s="192" cm="1">
        <f t="array" aca="1" ref="Q49" ca="1">(_xll.BDP(($B49&amp; " Equity"),"CORR_COEF", "BETA_OVERRIDE_REL_INDEX",($C49&amp; " Equity"),"BETA_OVERRIDE_END_DT",$Q$5,"BETA_OVERRIDE_START_DT",$Q$4))*100</f>
        <v>63.269245552067453</v>
      </c>
      <c r="R49" s="188"/>
      <c r="S49" s="188" cm="1">
        <f t="array" ref="S49">_xll.BDP($A49&amp;" Index","CHG_PCT_2D")/100</f>
        <v>3.052239E-2</v>
      </c>
      <c r="T49" s="188" cm="1">
        <f t="array" ref="T49">_xll.BDP($A49&amp;" Index","CHG_PCT_5D")/100</f>
        <v>1.4312100000000001E-2</v>
      </c>
      <c r="U49" s="188" cm="1">
        <f t="array" ref="U49">K49/_xll.BDP($A49&amp;" Index","HIGH_52WEEK")-1</f>
        <v>-9.1438698294319054E-2</v>
      </c>
      <c r="V49" s="188" cm="1">
        <f t="array" ref="V49">K49/_xll.BDP($A49&amp;" Index","LOW_52WEEK")-1</f>
        <v>4.3654487009336052E-2</v>
      </c>
      <c r="W49" s="188"/>
      <c r="X49" s="192" cm="1">
        <f t="array" ref="X49">_xll.BDP($A49&amp;" Index","RSI_14D")</f>
        <v>38.7943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0.76732295825669727</v>
      </c>
      <c r="AI49" s="196" cm="1">
        <f t="array" ref="AI49">(_xll.BDP(C49&amp;" Equity","SHORT_INT")/_xll.BDP(C49&amp;" Equity","VOLUME_AVG_90D"))</f>
        <v>2.0033463729934358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398.82</v>
      </c>
      <c r="H50" s="188" cm="1">
        <f t="array" ref="H50">G50/_xll.BDP(B50&amp;" Equity", "PREV_CLOSE_VAL")-1</f>
        <v>-3.1742857856982276E-3</v>
      </c>
      <c r="I50" s="187" cm="1">
        <f t="array" ref="I50">_xll.BDP(C50&amp;" Equity","LAST PRICE")</f>
        <v>98.81</v>
      </c>
      <c r="J50" s="188" cm="1">
        <f t="array" ref="J50">I50/_xll.BDP(C50&amp;" Equity", "PREV_CLOSE_VAL")-1</f>
        <v>1.1257803704840974E-2</v>
      </c>
      <c r="K50" s="189">
        <f>G50/I50</f>
        <v>4.0362311506932498</v>
      </c>
      <c r="L50" s="188" cm="1">
        <f t="array" ref="L50">K50/(_xll.BDP(B50&amp;" Equity", "PREV_CLOSE_VAL")/_xll.BDP(C50&amp;" Equity", "PREV_CLOSE_VAL"))-1</f>
        <v>-1.4271424593872872E-2</v>
      </c>
      <c r="M50" s="188"/>
      <c r="N50" s="190">
        <f>ABS(L50/O50)</f>
        <v>0.71155247417067358</v>
      </c>
      <c r="O50" s="191">
        <f>P50/15.87/100</f>
        <v>2.0056742281033397E-2</v>
      </c>
      <c r="P50" s="192" cm="1">
        <f t="array" ref="P50">_xll.BDP($A50&amp;" Index","VOLATILITY_30D")</f>
        <v>31.83005</v>
      </c>
      <c r="Q50" s="192" cm="1">
        <f t="array" aca="1" ref="Q50" ca="1">(_xll.BDP(($B50&amp; " Equity"),"CORR_COEF", "BETA_OVERRIDE_REL_INDEX",($C50&amp; " Equity"),"BETA_OVERRIDE_END_DT",$Q$5,"BETA_OVERRIDE_START_DT",$Q$4))*100</f>
        <v>60.875265509178902</v>
      </c>
      <c r="R50" s="188"/>
      <c r="S50" s="188" cm="1">
        <f t="array" ref="S50">_xll.BDP($A50&amp;" Index","CHG_PCT_2D")/100</f>
        <v>-2.9336609999999999E-2</v>
      </c>
      <c r="T50" s="188" cm="1">
        <f t="array" ref="T50">_xll.BDP($A50&amp;" Index","CHG_PCT_5D")/100</f>
        <v>-9.6443929999999994E-3</v>
      </c>
      <c r="U50" s="188" cm="1">
        <f t="array" ref="U50">K50/_xll.BDP($A50&amp;" Index","HIGH_52WEEK")-1</f>
        <v>-4.1980691012971416E-2</v>
      </c>
      <c r="V50" s="188" cm="1">
        <f t="array" ref="V50">K50/_xll.BDP($A50&amp;" Index","LOW_52WEEK")-1</f>
        <v>0.8445102688431112</v>
      </c>
      <c r="W50" s="188"/>
      <c r="X50" s="192" cm="1">
        <f t="array" ref="X50">_xll.BDP($A50&amp;" Index","RSI_14D")</f>
        <v>74.895970000000005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1.2309535159829983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398.82</v>
      </c>
      <c r="H51" s="188" cm="1">
        <f t="array" ref="H51">G51/_xll.BDP(B51&amp;" Equity", "PREV_CLOSE_VAL")-1</f>
        <v>-3.1742857856982276E-3</v>
      </c>
      <c r="I51" s="187" cm="1">
        <f t="array" ref="I51">_xll.BDP(C51&amp;" Equity","LAST PRICE")</f>
        <v>625.46</v>
      </c>
      <c r="J51" s="188" cm="1">
        <f t="array" ref="J51">I51/_xll.BDP(C51&amp;" Equity", "PREV_CLOSE_VAL")-1</f>
        <v>4.4000513874615788E-3</v>
      </c>
      <c r="K51" s="189">
        <f>G51/I51</f>
        <v>0.63764269497649728</v>
      </c>
      <c r="L51" s="188" cm="1">
        <f t="array" ref="L51">K51/(_xll.BDP(B51&amp;" Equity", "PREV_CLOSE_VAL")/_xll.BDP(C51&amp;" Equity", "PREV_CLOSE_VAL"))-1</f>
        <v>-7.5411557005563568E-3</v>
      </c>
      <c r="M51" s="188"/>
      <c r="N51" s="190">
        <f>ABS(L51/O51)</f>
        <v>0.59942741455261572</v>
      </c>
      <c r="O51" s="191">
        <f>P51/15.87/100</f>
        <v>1.2580598613736609E-2</v>
      </c>
      <c r="P51" s="192" cm="1">
        <f t="array" ref="P51">_xll.BDP($A51&amp;" Index","VOLATILITY_30D")</f>
        <v>19.965409999999999</v>
      </c>
      <c r="Q51" s="192" cm="1">
        <f t="array" aca="1" ref="Q51" ca="1">(_xll.BDP(($B51&amp; " Equity"),"CORR_COEF", "BETA_OVERRIDE_REL_INDEX",($C51&amp; " Equity"),"BETA_OVERRIDE_END_DT",$Q$5,"BETA_OVERRIDE_START_DT",$Q$4))*100</f>
        <v>86.934398219610998</v>
      </c>
      <c r="R51" s="188"/>
      <c r="S51" s="188" cm="1">
        <f t="array" ref="S51">_xll.BDP($A51&amp;" Index","CHG_PCT_2D")/100</f>
        <v>-1.766674E-2</v>
      </c>
      <c r="T51" s="188" cm="1">
        <f t="array" ref="T51">_xll.BDP($A51&amp;" Index","CHG_PCT_5D")/100</f>
        <v>-1.0908940000000001E-2</v>
      </c>
      <c r="U51" s="188" cm="1">
        <f t="array" ref="U51">K51/_xll.BDP($A51&amp;" Index","HIGH_52WEEK")-1</f>
        <v>-2.2305317504872413E-2</v>
      </c>
      <c r="V51" s="188" cm="1">
        <f t="array" ref="V51">K51/_xll.BDP($A51&amp;" Index","LOW_52WEEK")-1</f>
        <v>0.49065526224167133</v>
      </c>
      <c r="W51" s="188"/>
      <c r="X51" s="192" cm="1">
        <f t="array" ref="X51">_xll.BDP($A51&amp;" Index","RSI_14D")</f>
        <v>69.10078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1.2309535159829983</v>
      </c>
      <c r="AI51" s="196" cm="1">
        <f t="array" ref="AI51">(_xll.BDP(C51&amp;" Equity","SHORT_INT")/_xll.BDP(C51&amp;" Equity","VOLUME_AVG_90D"))</f>
        <v>0.76732295825669727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85.13</v>
      </c>
      <c r="H52" s="188" cm="1">
        <f t="array" ref="H52">G52/_xll.BDP(B52&amp;" Equity", "PREV_CLOSE_VAL")-1</f>
        <v>8.5297950479801266E-3</v>
      </c>
      <c r="I52" s="187" cm="1">
        <f t="array" ref="I52">_xll.BDP(C52&amp;" Equity","LAST PRICE")</f>
        <v>199.24</v>
      </c>
      <c r="J52" s="188" cm="1">
        <f t="array" ref="J52">I52/_xll.BDP(C52&amp;" Equity", "PREV_CLOSE_VAL")-1</f>
        <v>2.3645419328872652E-3</v>
      </c>
      <c r="K52" s="189">
        <f>G52/I52</f>
        <v>0.42727363983135913</v>
      </c>
      <c r="L52" s="188" cm="1">
        <f t="array" ref="L52">K52/(_xll.BDP(B52&amp;" Equity", "PREV_CLOSE_VAL")/_xll.BDP(C52&amp;" Equity", "PREV_CLOSE_VAL"))-1</f>
        <v>6.1507095045523208E-3</v>
      </c>
      <c r="M52" s="188"/>
      <c r="N52" s="190">
        <f>ABS(L52/O52)</f>
        <v>0.81922874069872242</v>
      </c>
      <c r="O52" s="191">
        <f>P52/15.87/100</f>
        <v>7.5079269061121608E-3</v>
      </c>
      <c r="P52" s="192" cm="1">
        <f t="array" ref="P52">_xll.BDP($A52&amp;" Index","VOLATILITY_30D")</f>
        <v>11.91508</v>
      </c>
      <c r="Q52" s="192" cm="1">
        <f t="array" aca="1" ref="Q52" ca="1">(_xll.BDP(($B52&amp; " Equity"),"CORR_COEF", "BETA_OVERRIDE_REL_INDEX",($C52&amp; " Equity"),"BETA_OVERRIDE_END_DT",$Q$5,"BETA_OVERRIDE_START_DT",$Q$4))*100</f>
        <v>65.602181673434075</v>
      </c>
      <c r="R52" s="188"/>
      <c r="S52" s="188" cm="1">
        <f t="array" ref="S52">_xll.BDP($A52&amp;" Index","CHG_PCT_2D")/100</f>
        <v>-1.1325480000000001E-2</v>
      </c>
      <c r="T52" s="188" cm="1">
        <f t="array" ref="T52">_xll.BDP($A52&amp;" Index","CHG_PCT_5D")/100</f>
        <v>-1.262976E-2</v>
      </c>
      <c r="U52" s="188" cm="1">
        <f t="array" ref="U52">K52/_xll.BDP($A52&amp;" Index","HIGH_52WEEK")-1</f>
        <v>-5.3280067731633629E-2</v>
      </c>
      <c r="V52" s="188" cm="1">
        <f t="array" ref="V52">K52/_xll.BDP($A52&amp;" Index","LOW_52WEEK")-1</f>
        <v>0.25532109125762892</v>
      </c>
      <c r="W52" s="188"/>
      <c r="X52" s="192" cm="1">
        <f t="array" ref="X52">_xll.BDP($A52&amp;" Index","RSI_14D")</f>
        <v>35.351320000000001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1.6338279115651961</v>
      </c>
      <c r="AI52" s="196" cm="1">
        <f t="array" ref="AI52">(_xll.BDP(C52&amp;" Equity","SHORT_INT")/_xll.BDP(C52&amp;" Equity","VOLUME_AVG_90D"))</f>
        <v>3.0874096623330769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85.13</v>
      </c>
      <c r="H53" s="188" cm="1">
        <f t="array" ref="H53">G53/_xll.BDP(B53&amp;" Equity", "PREV_CLOSE_VAL")-1</f>
        <v>8.5297950479801266E-3</v>
      </c>
      <c r="I53" s="187" cm="1">
        <f t="array" ref="I53">_xll.BDP(C53&amp;" Equity","LAST PRICE")</f>
        <v>692.73</v>
      </c>
      <c r="J53" s="188" cm="1">
        <f t="array" ref="J53">I53/_xll.BDP(C53&amp;" Equity", "PREV_CLOSE_VAL")-1</f>
        <v>5.0781306675564686E-3</v>
      </c>
      <c r="K53" s="189">
        <f>G53/I53</f>
        <v>0.12289059229425604</v>
      </c>
      <c r="L53" s="188" cm="1">
        <f t="array" ref="L53">K53/(_xll.BDP(B53&amp;" Equity", "PREV_CLOSE_VAL")/_xll.BDP(C53&amp;" Equity", "PREV_CLOSE_VAL"))-1</f>
        <v>3.4342249374492706E-3</v>
      </c>
      <c r="M53" s="188"/>
      <c r="N53" s="190">
        <f>ABS(L53/O53)</f>
        <v>0.37351121063271409</v>
      </c>
      <c r="O53" s="191">
        <f>P53/15.87/100</f>
        <v>9.194436042848142E-3</v>
      </c>
      <c r="P53" s="192" cm="1">
        <f t="array" ref="P53">_xll.BDP($A53&amp;" Index","VOLATILITY_30D")</f>
        <v>14.591570000000001</v>
      </c>
      <c r="Q53" s="192" cm="1">
        <f t="array" aca="1" ref="Q53" ca="1">(_xll.BDP(($B53&amp; " Equity"),"CORR_COEF", "BETA_OVERRIDE_REL_INDEX",($C53&amp; " Equity"),"BETA_OVERRIDE_END_DT",$Q$5,"BETA_OVERRIDE_START_DT",$Q$4))*100</f>
        <v>58.054877386262064</v>
      </c>
      <c r="R53" s="188"/>
      <c r="S53" s="188" cm="1">
        <f t="array" ref="S53">_xll.BDP($A53&amp;" Index","CHG_PCT_2D")/100</f>
        <v>-1.9027789999999999E-2</v>
      </c>
      <c r="T53" s="188" cm="1">
        <f t="array" ref="T53">_xll.BDP($A53&amp;" Index","CHG_PCT_5D")/100</f>
        <v>-1.3497559999999999E-2</v>
      </c>
      <c r="U53" s="188" cm="1">
        <f t="array" ref="U53">K53/_xll.BDP($A53&amp;" Index","HIGH_52WEEK")-1</f>
        <v>-4.0741610379704585E-2</v>
      </c>
      <c r="V53" s="188" cm="1">
        <f t="array" ref="V53">K53/_xll.BDP($A53&amp;" Index","LOW_52WEEK")-1</f>
        <v>0.17801564699248518</v>
      </c>
      <c r="W53" s="188"/>
      <c r="X53" s="192" cm="1">
        <f t="array" ref="X53">_xll.BDP($A53&amp;" Index","RSI_14D")</f>
        <v>43.972140000000003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1.6338279115651961</v>
      </c>
      <c r="AI53" s="196" cm="1">
        <f t="array" ref="AI53">(_xll.BDP(C53&amp;" Equity","SHORT_INT")/_xll.BDP(C53&amp;" Equity","VOLUME_AVG_90D"))</f>
        <v>1.2576317536429813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85.13</v>
      </c>
      <c r="H54" s="188" cm="1">
        <f t="array" ref="H54">G54/_xll.BDP(B54&amp;" Equity", "PREV_CLOSE_VAL")-1</f>
        <v>8.5297950479801266E-3</v>
      </c>
      <c r="I54" s="187" cm="1">
        <f t="array" ref="I54">_xll.BDP(C54&amp;" Equity","LAST PRICE")</f>
        <v>67.930000000000007</v>
      </c>
      <c r="J54" s="188" cm="1">
        <f t="array" ref="J54">I54/_xll.BDP(C54&amp;" Equity", "PREV_CLOSE_VAL")-1</f>
        <v>4.7330276586305953E-3</v>
      </c>
      <c r="K54" s="189">
        <f>G54/I54</f>
        <v>1.2532018254085087</v>
      </c>
      <c r="L54" s="188" cm="1">
        <f t="array" ref="L54">K54/(_xll.BDP(B54&amp;" Equity", "PREV_CLOSE_VAL")/_xll.BDP(C54&amp;" Equity", "PREV_CLOSE_VAL"))-1</f>
        <v>3.7788818370960708E-3</v>
      </c>
      <c r="M54" s="188"/>
      <c r="N54" s="190">
        <f>ABS(L54/O54)</f>
        <v>0.42880583712985648</v>
      </c>
      <c r="O54" s="191">
        <f>P54/15.87/100</f>
        <v>8.8125708884688094E-3</v>
      </c>
      <c r="P54" s="192" cm="1">
        <f t="array" ref="P54">_xll.BDP($A54&amp;" Index","VOLATILITY_30D")</f>
        <v>13.98555</v>
      </c>
      <c r="Q54" s="192" cm="1">
        <f t="array" aca="1" ref="Q54" ca="1">(_xll.BDP(($B54&amp; " Equity"),"CORR_COEF", "BETA_OVERRIDE_REL_INDEX",($C54&amp; " Equity"),"BETA_OVERRIDE_END_DT",$Q$5,"BETA_OVERRIDE_START_DT",$Q$4))*100</f>
        <v>76.641671729802454</v>
      </c>
      <c r="R54" s="188"/>
      <c r="S54" s="188" cm="1">
        <f t="array" ref="S54">_xll.BDP($A54&amp;" Index","CHG_PCT_2D")/100</f>
        <v>1.522917E-2</v>
      </c>
      <c r="T54" s="188" cm="1">
        <f t="array" ref="T54">_xll.BDP($A54&amp;" Index","CHG_PCT_5D")/100</f>
        <v>-1.3252569999999998E-2</v>
      </c>
      <c r="U54" s="188" cm="1">
        <f t="array" ref="U54">K54/_xll.BDP($A54&amp;" Index","HIGH_52WEEK")-1</f>
        <v>-5.0503973596814355E-2</v>
      </c>
      <c r="V54" s="188" cm="1">
        <f t="array" ref="V54">K54/_xll.BDP($A54&amp;" Index","LOW_52WEEK")-1</f>
        <v>0.1538867894412963</v>
      </c>
      <c r="W54" s="188"/>
      <c r="X54" s="192" cm="1">
        <f t="array" ref="X54">_xll.BDP($A54&amp;" Index","RSI_14D")</f>
        <v>39.698599999999999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1.6338279115651961</v>
      </c>
      <c r="AI54" s="196" cm="1">
        <f t="array" ref="AI54">(_xll.BDP(C54&amp;" Equity","SHORT_INT")/_xll.BDP(C54&amp;" Equity","VOLUME_AVG_90D"))</f>
        <v>3.0492522799862805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0.34010356255147911</v>
      </c>
      <c r="G5" s="153" cm="1">
        <f t="array" ref="G5">_xll.BDP($C5&amp;" Equity","volatility_30d")/100</f>
        <v>0.35401748056049603</v>
      </c>
      <c r="J5" t="s">
        <v>1740</v>
      </c>
      <c r="K5" s="276">
        <v>70</v>
      </c>
      <c r="L5" cm="1">
        <f t="array" ref="L5">_xll.BDP(J5&amp;" Equity","LAST PRICE")</f>
        <v>107</v>
      </c>
      <c r="M5" s="279">
        <f>L5/K5-1</f>
        <v>0.52857142857142847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0.34010356255147911</v>
      </c>
      <c r="G6" s="153" cm="1">
        <f t="array" ref="G6">_xll.BDP($C6&amp;" Equity","volatility_30d")/100</f>
        <v>0.35401748056049603</v>
      </c>
      <c r="J6" t="s">
        <v>1740</v>
      </c>
      <c r="K6" s="276">
        <v>70</v>
      </c>
      <c r="L6" cm="1">
        <f t="array" ref="L6">_xll.BDP(J6&amp;" Equity","LAST PRICE")</f>
        <v>107</v>
      </c>
      <c r="M6" s="279">
        <f>L6/K6-1</f>
        <v>0.52857142857142847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0.21826527677481861</v>
      </c>
      <c r="G7" s="153" cm="1">
        <f t="array" ref="G7">_xll.BDP($C7&amp;" Equity","volatility_30d")/100</f>
        <v>0.23280994841583699</v>
      </c>
      <c r="J7" t="s">
        <v>1743</v>
      </c>
      <c r="K7" s="276">
        <v>28.5</v>
      </c>
      <c r="L7" cm="1">
        <f t="array" ref="L7">_xll.BDP(J7&amp;" Equity","LAST PRICE")</f>
        <v>19.57</v>
      </c>
      <c r="M7" s="279">
        <f t="shared" ref="M7:M13" si="6">L7/K7-1</f>
        <v>-0.31333333333333335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0.24102177795518734</v>
      </c>
      <c r="G8" s="153" cm="1">
        <f t="array" ref="G8">_xll.BDP($C8&amp;" Equity","volatility_30d")/100</f>
        <v>0.35288488214742386</v>
      </c>
      <c r="J8" t="s">
        <v>400</v>
      </c>
      <c r="K8" s="276">
        <v>318.75</v>
      </c>
      <c r="L8" cm="1">
        <f t="array" ref="L8">_xll.BDP(J8&amp;" Equity","LAST PRICE")</f>
        <v>280.70999999999998</v>
      </c>
      <c r="M8" s="279">
        <f t="shared" si="6"/>
        <v>-0.11934117647058828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0.24988054671690618</v>
      </c>
      <c r="G9" s="153" cm="1">
        <f t="array" ref="G9">_xll.BDP($C9&amp;" Equity","volatility_30d")/100</f>
        <v>0.22749866903761037</v>
      </c>
      <c r="J9" t="s">
        <v>134</v>
      </c>
      <c r="K9" s="276">
        <v>265.95999999999998</v>
      </c>
      <c r="L9" cm="1">
        <f t="array" ref="L9">_xll.BDP(J9&amp;" Equity","LAST PRICE")</f>
        <v>229.4</v>
      </c>
      <c r="M9" s="279">
        <f t="shared" si="6"/>
        <v>-0.13746428034290858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0.29014070000000003</v>
      </c>
      <c r="G10" s="153" cm="1">
        <f t="array" ref="G10">_xll.BDP($C10&amp;" Equity","volatility_30d")/100</f>
        <v>0.25888120000000003</v>
      </c>
      <c r="J10" t="s">
        <v>1753</v>
      </c>
      <c r="K10" s="276">
        <v>251.52</v>
      </c>
      <c r="L10" cm="1">
        <f t="array" ref="L10">_xll.BDP(J10&amp;" Equity","LAST PRICE")</f>
        <v>190.85</v>
      </c>
      <c r="M10" s="279">
        <f t="shared" si="6"/>
        <v>-0.24121342239185761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0.18118264456407457</v>
      </c>
      <c r="G11" s="153" cm="1">
        <f t="array" ref="G11">_xll.BDP($C11&amp;" Equity","volatility_30d")/100</f>
        <v>0.15876917781176952</v>
      </c>
      <c r="J11" t="s">
        <v>353</v>
      </c>
      <c r="K11" s="276">
        <v>117.4</v>
      </c>
      <c r="L11" cm="1">
        <f t="array" ref="L11">_xll.BDP(J11&amp;" Equity","LAST PRICE")</f>
        <v>213.63</v>
      </c>
      <c r="M11" s="279">
        <f t="shared" si="6"/>
        <v>0.81967632027257231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0.25758285375398177</v>
      </c>
      <c r="G12" s="153" cm="1">
        <f t="array" ref="G12">_xll.BDP($C12&amp;" Equity","volatility_30d")/100</f>
        <v>0.26224138875556935</v>
      </c>
      <c r="J12" t="s">
        <v>1742</v>
      </c>
      <c r="K12" s="276">
        <v>5420</v>
      </c>
      <c r="L12" cm="1">
        <f t="array" ref="L12">_xll.BDP(J12&amp;" Index","LAST PRICE")</f>
        <v>5741</v>
      </c>
      <c r="M12" s="279">
        <f t="shared" si="6"/>
        <v>5.922509225092254E-2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0.25615731748237358</v>
      </c>
      <c r="G13" s="153" cm="1">
        <f t="array" ref="G13">_xll.BDP($C13&amp;" Equity","volatility_30d")/100</f>
        <v>0.29483353060227585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0.18938265082777991</v>
      </c>
      <c r="G14" s="153" cm="1">
        <f t="array" ref="G14">_xll.BDP($C14&amp;" Equity","volatility_30d")/100</f>
        <v>0.14567623421310139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0.22942703678797266</v>
      </c>
      <c r="G15" s="153" cm="1">
        <f t="array" ref="G15">_xll.BDP($C15&amp;" Equity","volatility_30d")/100</f>
        <v>0.18149910148464848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0.35732374685054957</v>
      </c>
      <c r="G16" s="153" cm="1">
        <f t="array" ref="G16">_xll.BDP($C16&amp;" Equity","volatility_30d")/100</f>
        <v>0.22703817436589183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0.24144184114277581</v>
      </c>
      <c r="G17" s="153" cm="1">
        <f t="array" ref="G17">_xll.BDP($C17&amp;" Equity","volatility_30d")/100</f>
        <v>0.32358982589444146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0.26052260431560204</v>
      </c>
      <c r="G18" s="153" cm="1">
        <f t="array" ref="G18">_xll.BDP($C18&amp;" Equity","volatility_30d")/100</f>
        <v>0.30635994863501459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9.5978748143218967E-2</v>
      </c>
      <c r="G19" s="153" cm="1">
        <f t="array" ref="G19">_xll.BDP($C19&amp;" Equity","volatility_30d")/100</f>
        <v>0.12507489221571019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0.17579407993241489</v>
      </c>
      <c r="G20" s="153" cm="1">
        <f t="array" ref="G20">_xll.BDP($C20&amp;" Equity","volatility_30d")/100</f>
        <v>0.16013649880331543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0.13703485920565325</v>
      </c>
      <c r="G21" s="153" cm="1">
        <f t="array" ref="G21">_xll.BDP($C21&amp;" Equity","volatility_30d")/100</f>
        <v>0.11016760120026239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0.14562950405557368</v>
      </c>
      <c r="G22" s="153" cm="1">
        <f t="array" ref="G22">_xll.BDP($C22&amp;" Equity","volatility_30d")/100</f>
        <v>0.10879921528606146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0.16751756640301824</v>
      </c>
      <c r="G23" s="153" cm="1">
        <f t="array" ref="G23">_xll.BDP($C23&amp;" Equity","volatility_30d")/100</f>
        <v>0.14947391212173089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0.18555705451089274</v>
      </c>
      <c r="G24" s="153" cm="1">
        <f t="array" ref="G24">_xll.BDP($C24&amp;" Equity","volatility_30d")/100</f>
        <v>0.15859815198241753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0.1707099184557859</v>
      </c>
      <c r="G25" s="153" cm="1">
        <f t="array" ref="G25">_xll.BDP($C25&amp;" Equity","volatility_30d")/100</f>
        <v>0.23006303816526633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1.2075278759002686</v>
      </c>
      <c r="F26" s="153" cm="1">
        <f t="array" ref="F26">_xll.BDP($C26&amp;" Equity","volatility_10d")/100</f>
        <v>0.41936265461649458</v>
      </c>
      <c r="G26" s="153" cm="1">
        <f t="array" ref="G26">_xll.BDP($C26&amp;" Equity","volatility_30d")/100</f>
        <v>0.27698738497403042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1.0633696317672729</v>
      </c>
      <c r="F27" s="153" cm="1">
        <f t="array" ref="F27">_xll.BDP($C27&amp;" Equity","volatility_10d")/100</f>
        <v>0.26899738816157442</v>
      </c>
      <c r="G27" s="153" cm="1">
        <f t="array" ref="G27">_xll.BDP($C27&amp;" Equity","volatility_30d")/100</f>
        <v>0.17263910089468687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1.2010983228683472</v>
      </c>
      <c r="F28" s="153" cm="1">
        <f t="array" ref="F28">_xll.BDP($C28&amp;" Equity","volatility_10d")/100</f>
        <v>0.15540832253978382</v>
      </c>
      <c r="G28" s="153" cm="1">
        <f t="array" ref="G28">_xll.BDP($C28&amp;" Equity","volatility_30d")/100</f>
        <v>0.28829572236908207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0.83908724784851074</v>
      </c>
      <c r="F29" s="153" cm="1">
        <f t="array" ref="F29">_xll.BDP($C29&amp;" Equity","volatility_10d")/100</f>
        <v>0.18152033446110372</v>
      </c>
      <c r="G29" s="153" cm="1">
        <f t="array" ref="G29">_xll.BDP($C29&amp;" Equity","volatility_30d")/100</f>
        <v>0.1944365893195642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1.0205751657485962</v>
      </c>
      <c r="F30" s="153" cm="1">
        <f t="array" ref="F30">_xll.BDP($C30&amp;" Equity","volatility_10d")/100</f>
        <v>0.31003730212148184</v>
      </c>
      <c r="G30" s="153" cm="1">
        <f t="array" ref="G30">_xll.BDP($C30&amp;" Equity","volatility_30d")/100</f>
        <v>0.20214841495019725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1.2139747142791748</v>
      </c>
      <c r="F31" s="153" cm="1">
        <f t="array" ref="F31">_xll.BDP($C31&amp;" Equity","volatility_10d")/100</f>
        <v>0.53966369045800644</v>
      </c>
      <c r="G31" s="153" cm="1">
        <f t="array" ref="G31">_xll.BDP($C31&amp;" Equity","volatility_30d")/100</f>
        <v>0.39687335755000985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0.85262352228164673</v>
      </c>
      <c r="F32" s="153" cm="1">
        <f t="array" ref="F32">_xll.BDP($C32&amp;" Equity","volatility_10d")/100</f>
        <v>0.23014700120351816</v>
      </c>
      <c r="G32" s="153" cm="1">
        <f t="array" ref="G32">_xll.BDP($C32&amp;" Equity","volatility_30d")/100</f>
        <v>0.18469165249033395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0.83448255062103271</v>
      </c>
      <c r="F33" s="153" cm="1">
        <f t="array" ref="F33">_xll.BDP($C33&amp;" Equity","volatility_10d")/100</f>
        <v>0.25830076304282035</v>
      </c>
      <c r="G33" s="153" cm="1">
        <f t="array" ref="G33">_xll.BDP($C33&amp;" Equity","volatility_30d")/100</f>
        <v>0.18715597740312567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0.62939351797103882</v>
      </c>
      <c r="F34" s="153" cm="1">
        <f t="array" ref="F34">_xll.BDP($C34&amp;" Equity","volatility_10d")/100</f>
        <v>0.12757262870079411</v>
      </c>
      <c r="G34" s="153" cm="1">
        <f t="array" ref="G34">_xll.BDP($C34&amp;" Equity","volatility_30d")/100</f>
        <v>0.13080988958446288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1.4740090370178223</v>
      </c>
      <c r="F35" s="153" cm="1">
        <f t="array" ref="F35">_xll.BDP($C35&amp;" Equity","volatility_10d")/100</f>
        <v>0.39001070903528884</v>
      </c>
      <c r="G35" s="153" cm="1">
        <f t="array" ref="G35">_xll.BDP($C35&amp;" Equity","volatility_30d")/100</f>
        <v>0.36157914744142244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1.8573898077011108</v>
      </c>
      <c r="F36" s="153" cm="1">
        <f t="array" ref="F36">_xll.BDP($C36&amp;" Equity","volatility_10d")/100</f>
        <v>0.35514237463651538</v>
      </c>
      <c r="G36" s="153" cm="1">
        <f t="array" ref="G36">_xll.BDP($C36&amp;" Equity","volatility_30d")/100</f>
        <v>0.31360537513710318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1.6477819681167603</v>
      </c>
      <c r="F37" s="153" cm="1">
        <f t="array" ref="F37">_xll.BDP($C37&amp;" Equity","volatility_10d")/100</f>
        <v>0.37664954351149033</v>
      </c>
      <c r="G37" s="153" cm="1">
        <f t="array" ref="G37">_xll.BDP($C37&amp;" Equity","volatility_30d")/100</f>
        <v>0.71159309541517013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1.17109215259552</v>
      </c>
      <c r="F38" s="153" cm="1">
        <f t="array" ref="F38">_xll.BDP($C38&amp;" Equity","volatility_10d")/100</f>
        <v>0.34700314591780335</v>
      </c>
      <c r="G38" s="153" cm="1">
        <f t="array" ref="G38">_xll.BDP($C38&amp;" Equity","volatility_30d")/100</f>
        <v>0.24360235578435852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1.0831407308578491</v>
      </c>
      <c r="F39" s="153" cm="1">
        <f t="array" ref="F39">_xll.BDP($C39&amp;" Equity","volatility_10d")/100</f>
        <v>0.25049734829551923</v>
      </c>
      <c r="G39" s="153" cm="1">
        <f t="array" ref="G39">_xll.BDP($C39&amp;" Equity","volatility_30d")/100</f>
        <v>0.20516368052267497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0.59852695465087891</v>
      </c>
      <c r="F40" s="153" cm="1">
        <f t="array" ref="F40">_xll.BDP($C40&amp;" Equity","volatility_10d")/100</f>
        <v>0.28508418140707992</v>
      </c>
      <c r="G40" s="153" cm="1">
        <f t="array" ref="G40">_xll.BDP($C40&amp;" Equity","volatility_30d")/100</f>
        <v>0.32450306770235765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0.53633010387420654</v>
      </c>
      <c r="F41" s="153" cm="1">
        <f t="array" ref="F41">_xll.BDP($C41&amp;" Equity","volatility_10d")/100</f>
        <v>0.25318030899476096</v>
      </c>
      <c r="G41" s="153" cm="1">
        <f t="array" ref="G41">_xll.BDP($C41&amp;" Equity","volatility_30d")/100</f>
        <v>0.22991960513998944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0.54445242881774902</v>
      </c>
      <c r="F42" s="153" cm="1">
        <f t="array" ref="F42">_xll.BDP($C42&amp;" Equity","volatility_10d")/100</f>
        <v>0.21816655511955382</v>
      </c>
      <c r="G42" s="153" cm="1">
        <f t="array" ref="G42">_xll.BDP($C42&amp;" Equity","volatility_30d")/100</f>
        <v>0.2399437172455528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0.74905949831008911</v>
      </c>
      <c r="F43" s="153" cm="1">
        <f t="array" ref="F43">_xll.BDP($C43&amp;" Equity","volatility_10d")/100</f>
        <v>0.15798261367910515</v>
      </c>
      <c r="G43" s="153" cm="1">
        <f t="array" ref="G43">_xll.BDP($C43&amp;" Equity","volatility_30d")/100</f>
        <v>0.20299464299779843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0.66823458671569824</v>
      </c>
      <c r="F44" s="153" cm="1">
        <f t="array" ref="F44">_xll.BDP($C44&amp;" Equity","volatility_10d")/100</f>
        <v>0.91114116076130647</v>
      </c>
      <c r="G44" s="153" cm="1">
        <f t="array" ref="G44">_xll.BDP($C44&amp;" Equity","volatility_30d")/100</f>
        <v>0.708266503025062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0.55370807647705078</v>
      </c>
      <c r="F45" s="153" cm="1">
        <f t="array" ref="F45">_xll.BDP($C45&amp;" Equity","volatility_10d")/100</f>
        <v>0.64787967060131502</v>
      </c>
      <c r="G45" s="153" cm="1">
        <f t="array" ref="G45">_xll.BDP($C45&amp;" Equity","volatility_30d")/100</f>
        <v>0.59326437323143921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5" priority="6" operator="lessThan">
      <formula>0</formula>
    </cfRule>
  </conditionalFormatting>
  <conditionalFormatting sqref="L23:O59">
    <cfRule type="cellIs" dxfId="1664" priority="5" operator="lessThan">
      <formula>0</formula>
    </cfRule>
  </conditionalFormatting>
  <conditionalFormatting sqref="R23:R59">
    <cfRule type="cellIs" dxfId="1663" priority="4" operator="lessThan">
      <formula>0</formula>
    </cfRule>
  </conditionalFormatting>
  <conditionalFormatting sqref="Q45:Q48">
    <cfRule type="cellIs" dxfId="1662" priority="3" operator="lessThan">
      <formula>0</formula>
    </cfRule>
  </conditionalFormatting>
  <conditionalFormatting sqref="Q42:Q43">
    <cfRule type="cellIs" dxfId="1661" priority="2" operator="lessThan">
      <formula>0</formula>
    </cfRule>
  </conditionalFormatting>
  <conditionalFormatting sqref="Q39">
    <cfRule type="cellIs" dxfId="1660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0" zoomScaleNormal="80" zoomScaleSheetLayoutView="85" workbookViewId="0">
      <selection activeCell="G25" sqref="G25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-0.61731258414138757</v>
      </c>
      <c r="F4" s="284">
        <f>'Master P&amp;L'!U5</f>
        <v>2.4050830672532983E-2</v>
      </c>
    </row>
    <row r="5" spans="1:28">
      <c r="A5" s="297" t="s">
        <v>65</v>
      </c>
      <c r="C5" s="298">
        <f>'Master P&amp;L'!V6</f>
        <v>-7.5059383265797572E-2</v>
      </c>
      <c r="F5" s="284">
        <f>'Master P&amp;L'!U6</f>
        <v>-2.3797257756760721E-3</v>
      </c>
    </row>
    <row r="6" spans="1:28" s="304" customFormat="1">
      <c r="A6" s="299" t="s">
        <v>66</v>
      </c>
      <c r="B6" s="300"/>
      <c r="C6" s="301">
        <f>'Master P&amp;L'!V7</f>
        <v>-0.6923719674071851</v>
      </c>
      <c r="D6" s="302"/>
      <c r="E6" s="302"/>
      <c r="F6" s="302">
        <f>'Master P&amp;L'!U7</f>
        <v>2.1671104896856912E-2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2.6430556448209054E-2</v>
      </c>
    </row>
    <row r="8" spans="1:28">
      <c r="A8" s="306" t="s">
        <v>68</v>
      </c>
      <c r="B8" s="307"/>
      <c r="C8" s="308">
        <f>'Master P&amp;L'!V7*'Master P&amp;L'!AD5/10000</f>
        <v>-155509.17188966909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-821570.50601031072</v>
      </c>
      <c r="D9" s="312"/>
      <c r="E9" s="312"/>
      <c r="F9" s="312"/>
      <c r="G9" s="313"/>
      <c r="H9" s="312"/>
    </row>
    <row r="10" spans="1:28">
      <c r="A10" s="437" t="s">
        <v>2125</v>
      </c>
      <c r="B10" s="441">
        <f>Options!AI1</f>
        <v>-12.967623855087517</v>
      </c>
      <c r="H10" s="286"/>
    </row>
    <row r="11" spans="1:28">
      <c r="A11" s="314">
        <f ca="1">TODAY()</f>
        <v>46048</v>
      </c>
      <c r="H11" s="286"/>
      <c r="L11" s="284"/>
    </row>
    <row r="12" spans="1:28" s="365" customFormat="1" ht="47.25">
      <c r="A12" s="538" t="s">
        <v>72</v>
      </c>
      <c r="B12" s="531" t="s">
        <v>73</v>
      </c>
      <c r="C12" s="537" t="s">
        <v>74</v>
      </c>
      <c r="D12" s="537" t="s">
        <v>75</v>
      </c>
      <c r="E12" s="537" t="s">
        <v>76</v>
      </c>
      <c r="F12" s="537" t="s">
        <v>77</v>
      </c>
      <c r="G12" s="364"/>
      <c r="I12" s="366"/>
      <c r="L12" s="315"/>
      <c r="AA12" s="367"/>
      <c r="AB12" s="367"/>
    </row>
    <row r="13" spans="1:28">
      <c r="A13" s="532" t="s">
        <v>1907</v>
      </c>
      <c r="B13" s="533">
        <v>-1.3753528353517175E-2</v>
      </c>
      <c r="C13" s="536">
        <v>-0.10247903957526085</v>
      </c>
      <c r="D13" s="534">
        <v>4.7022182544954622E-4</v>
      </c>
      <c r="E13" s="534">
        <v>6.8875018237832188E-4</v>
      </c>
      <c r="F13" s="534">
        <v>1.1589720078278682E-3</v>
      </c>
      <c r="G13" s="316"/>
      <c r="H13" s="286"/>
      <c r="L13" s="316"/>
    </row>
    <row r="14" spans="1:28">
      <c r="A14" s="535" t="s">
        <v>38</v>
      </c>
      <c r="B14" s="533">
        <v>2.6777744718835539E-3</v>
      </c>
      <c r="C14" s="536">
        <v>2.2578602771230532E-3</v>
      </c>
      <c r="D14" s="534">
        <v>0</v>
      </c>
      <c r="E14" s="534">
        <v>6.8875018237832188E-4</v>
      </c>
      <c r="F14" s="534">
        <v>6.8875018237832188E-4</v>
      </c>
      <c r="G14" s="316"/>
      <c r="H14" s="286"/>
      <c r="I14" s="285"/>
      <c r="L14" s="316"/>
    </row>
    <row r="15" spans="1:28">
      <c r="A15" s="535" t="s">
        <v>2141</v>
      </c>
      <c r="B15" s="533">
        <v>-3.3201189296332867E-2</v>
      </c>
      <c r="C15" s="536">
        <v>-7.851549045781403E-2</v>
      </c>
      <c r="D15" s="534">
        <v>2.2863242072118748E-4</v>
      </c>
      <c r="E15" s="534">
        <v>0</v>
      </c>
      <c r="F15" s="534">
        <v>2.2863242072118748E-4</v>
      </c>
      <c r="G15" s="316"/>
      <c r="H15" s="286"/>
      <c r="I15" s="285"/>
      <c r="L15" s="316"/>
    </row>
    <row r="16" spans="1:28">
      <c r="A16" s="535" t="s">
        <v>461</v>
      </c>
      <c r="B16" s="533">
        <v>-1.0737170236102211E-2</v>
      </c>
      <c r="C16" s="536">
        <v>-2.6221409394569864E-2</v>
      </c>
      <c r="D16" s="534">
        <v>2.4158940472835877E-4</v>
      </c>
      <c r="E16" s="534">
        <v>0</v>
      </c>
      <c r="F16" s="534">
        <v>2.4158940472835877E-4</v>
      </c>
      <c r="G16" s="316"/>
      <c r="H16" s="286"/>
      <c r="I16" s="285"/>
      <c r="L16" s="316"/>
    </row>
    <row r="17" spans="1:12">
      <c r="A17" s="532" t="s">
        <v>78</v>
      </c>
      <c r="B17" s="533">
        <v>2.3645419328872652E-3</v>
      </c>
      <c r="C17" s="536">
        <v>-2.5499088249842872E-2</v>
      </c>
      <c r="D17" s="534">
        <v>-1.0809443282763205E-3</v>
      </c>
      <c r="E17" s="534">
        <v>0</v>
      </c>
      <c r="F17" s="534">
        <v>-1.0809443282763205E-3</v>
      </c>
      <c r="G17" s="316"/>
      <c r="H17" s="286"/>
      <c r="I17" s="285"/>
      <c r="L17" s="316"/>
    </row>
    <row r="18" spans="1:12">
      <c r="A18" s="535" t="s">
        <v>3</v>
      </c>
      <c r="B18" s="533">
        <v>2.3645419328872652E-3</v>
      </c>
      <c r="C18" s="536">
        <v>-2.5499088249842872E-2</v>
      </c>
      <c r="D18" s="534">
        <v>-1.0809443282763205E-3</v>
      </c>
      <c r="E18" s="534">
        <v>0</v>
      </c>
      <c r="F18" s="534">
        <v>-1.0809443282763205E-3</v>
      </c>
      <c r="G18" s="316"/>
      <c r="H18" s="286"/>
      <c r="I18" s="285"/>
      <c r="L18" s="316"/>
    </row>
    <row r="19" spans="1:12">
      <c r="A19" s="532" t="s">
        <v>2138</v>
      </c>
      <c r="B19" s="533">
        <v>-3.3261611654011314E-3</v>
      </c>
      <c r="C19" s="536">
        <v>0.72422001300106187</v>
      </c>
      <c r="D19" s="534">
        <v>5.1583278328266565E-4</v>
      </c>
      <c r="E19" s="534">
        <v>4.7143197643170824E-4</v>
      </c>
      <c r="F19" s="534">
        <v>9.8726475971437394E-4</v>
      </c>
      <c r="G19" s="316"/>
      <c r="H19" s="286"/>
      <c r="I19" s="285"/>
      <c r="L19" s="316"/>
    </row>
    <row r="20" spans="1:12">
      <c r="A20" s="535" t="s">
        <v>131</v>
      </c>
      <c r="B20" s="533">
        <v>-3.3261611654011314E-3</v>
      </c>
      <c r="C20" s="536">
        <v>0.72422001300106187</v>
      </c>
      <c r="D20" s="534">
        <v>5.1583278328266565E-4</v>
      </c>
      <c r="E20" s="534">
        <v>4.7143197643170824E-4</v>
      </c>
      <c r="F20" s="534">
        <v>9.8726475971437394E-4</v>
      </c>
      <c r="G20" s="316"/>
      <c r="H20" s="286"/>
      <c r="L20" s="316"/>
    </row>
    <row r="21" spans="1:12">
      <c r="A21" s="532" t="s">
        <v>1880</v>
      </c>
      <c r="B21" s="533">
        <v>-9.0267813161283451E-3</v>
      </c>
      <c r="C21" s="536">
        <v>-1.0268607620984043</v>
      </c>
      <c r="D21" s="534">
        <v>2.9184522723169444E-3</v>
      </c>
      <c r="E21" s="534">
        <v>5.2991878525309177E-3</v>
      </c>
      <c r="F21" s="534">
        <v>8.217640124847863E-3</v>
      </c>
      <c r="G21" s="316"/>
      <c r="H21" s="286"/>
      <c r="I21" s="285"/>
      <c r="L21" s="316"/>
    </row>
    <row r="22" spans="1:12">
      <c r="A22" s="535" t="s">
        <v>94</v>
      </c>
      <c r="B22" s="533">
        <v>-6.3942025896519539E-3</v>
      </c>
      <c r="C22" s="536">
        <v>-0.11522416152910912</v>
      </c>
      <c r="D22" s="534">
        <v>1.7904874500277652E-3</v>
      </c>
      <c r="E22" s="534">
        <v>0</v>
      </c>
      <c r="F22" s="534">
        <v>1.7904874500277652E-3</v>
      </c>
      <c r="G22" s="316"/>
      <c r="H22" s="286"/>
      <c r="I22" s="285"/>
      <c r="L22" s="316"/>
    </row>
    <row r="23" spans="1:12">
      <c r="A23" s="535" t="s">
        <v>96</v>
      </c>
      <c r="B23" s="533">
        <v>-6.4502642816616218E-3</v>
      </c>
      <c r="C23" s="536">
        <v>-0.74809567321012393</v>
      </c>
      <c r="D23" s="534">
        <v>5.6928947252997538E-4</v>
      </c>
      <c r="E23" s="534">
        <v>4.6241420760267165E-3</v>
      </c>
      <c r="F23" s="534">
        <v>5.1934315485566923E-3</v>
      </c>
      <c r="G23" s="316"/>
      <c r="H23" s="286"/>
      <c r="I23" s="285"/>
      <c r="L23" s="316"/>
    </row>
    <row r="24" spans="1:12">
      <c r="A24" s="535" t="s">
        <v>137</v>
      </c>
      <c r="B24" s="533">
        <v>1.0113632120429927E-2</v>
      </c>
      <c r="C24" s="536">
        <v>0.12004966574689198</v>
      </c>
      <c r="D24" s="534">
        <v>8.8527763799162726E-5</v>
      </c>
      <c r="E24" s="534">
        <v>7.8881974484961293E-4</v>
      </c>
      <c r="F24" s="534">
        <v>8.7734750864877577E-4</v>
      </c>
      <c r="G24" s="316"/>
      <c r="H24" s="291"/>
      <c r="I24" s="285"/>
      <c r="L24" s="316"/>
    </row>
    <row r="25" spans="1:12">
      <c r="A25" s="535" t="s">
        <v>448</v>
      </c>
      <c r="B25" s="533">
        <v>-3.252079482439918E-2</v>
      </c>
      <c r="C25" s="536">
        <v>-0.15859723424135111</v>
      </c>
      <c r="D25" s="534">
        <v>4.7181972936205898E-4</v>
      </c>
      <c r="E25" s="534">
        <v>0</v>
      </c>
      <c r="F25" s="534">
        <v>4.7181972936205898E-4</v>
      </c>
      <c r="G25" s="316"/>
      <c r="H25" s="291"/>
      <c r="I25" s="285"/>
      <c r="L25" s="316"/>
    </row>
    <row r="26" spans="1:12">
      <c r="A26" s="535" t="s">
        <v>138</v>
      </c>
      <c r="B26" s="533">
        <v>1.9194814907141922E-2</v>
      </c>
      <c r="C26" s="536">
        <v>-4.8621294221156415E-2</v>
      </c>
      <c r="D26" s="534">
        <v>-1.6721434020178916E-6</v>
      </c>
      <c r="E26" s="534">
        <v>-2.4866274989514937E-4</v>
      </c>
      <c r="F26" s="534">
        <v>-2.5033489329716725E-4</v>
      </c>
      <c r="G26" s="316"/>
      <c r="H26" s="286"/>
      <c r="I26" s="285"/>
      <c r="L26" s="316"/>
    </row>
    <row r="27" spans="1:12">
      <c r="A27" s="535" t="s">
        <v>708</v>
      </c>
      <c r="B27" s="533">
        <v>-5.7244286665187438E-2</v>
      </c>
      <c r="C27" s="536">
        <v>-7.6372064643555726E-2</v>
      </c>
      <c r="D27" s="534">
        <v>0</v>
      </c>
      <c r="E27" s="534">
        <v>1.3488878154973769E-4</v>
      </c>
      <c r="F27" s="534">
        <v>1.3488878154973769E-4</v>
      </c>
      <c r="G27" s="316"/>
      <c r="H27" s="291"/>
      <c r="I27" s="285"/>
      <c r="L27" s="316"/>
    </row>
    <row r="28" spans="1:12">
      <c r="A28" s="532" t="s">
        <v>2137</v>
      </c>
      <c r="B28" s="533">
        <v>-2.2963542650392077E-2</v>
      </c>
      <c r="C28" s="536">
        <v>-0.32926290736035912</v>
      </c>
      <c r="D28" s="534">
        <v>2.5676237226528588E-3</v>
      </c>
      <c r="E28" s="534">
        <v>0</v>
      </c>
      <c r="F28" s="534">
        <v>2.5676237226528588E-3</v>
      </c>
      <c r="G28" s="316"/>
      <c r="H28" s="286"/>
      <c r="I28" s="285"/>
      <c r="L28" s="316"/>
    </row>
    <row r="29" spans="1:12">
      <c r="A29" s="535" t="s">
        <v>1754</v>
      </c>
      <c r="B29" s="533">
        <v>-5.5098753920488353E-3</v>
      </c>
      <c r="C29" s="536">
        <v>-0.11393209643546943</v>
      </c>
      <c r="D29" s="534">
        <v>2.056386700586024E-3</v>
      </c>
      <c r="E29" s="534">
        <v>0</v>
      </c>
      <c r="F29" s="534">
        <v>2.056386700586024E-3</v>
      </c>
      <c r="G29" s="316"/>
      <c r="H29" s="286"/>
      <c r="I29" s="285"/>
      <c r="L29" s="316"/>
    </row>
    <row r="30" spans="1:12">
      <c r="A30" s="535" t="s">
        <v>2285</v>
      </c>
      <c r="B30" s="533">
        <v>-4.0417209908735319E-2</v>
      </c>
      <c r="C30" s="536">
        <v>-0.21533081092488968</v>
      </c>
      <c r="D30" s="534">
        <v>5.112370220668349E-4</v>
      </c>
      <c r="E30" s="534">
        <v>0</v>
      </c>
      <c r="F30" s="534">
        <v>5.112370220668349E-4</v>
      </c>
      <c r="G30" s="316"/>
      <c r="H30" s="286"/>
      <c r="I30" s="285"/>
      <c r="L30" s="316"/>
    </row>
    <row r="31" spans="1:12">
      <c r="A31" s="532" t="s">
        <v>2064</v>
      </c>
      <c r="B31" s="533">
        <v>-1.0065253968112586E-2</v>
      </c>
      <c r="C31" s="536">
        <v>-0.17514434798064693</v>
      </c>
      <c r="D31" s="534">
        <v>8.4445665675955163E-4</v>
      </c>
      <c r="E31" s="534">
        <v>2.9735471610144198E-4</v>
      </c>
      <c r="F31" s="534">
        <v>1.1418113728609938E-3</v>
      </c>
      <c r="G31" s="316"/>
      <c r="H31" s="286"/>
      <c r="I31" s="285"/>
      <c r="L31" s="316"/>
    </row>
    <row r="32" spans="1:12">
      <c r="A32" s="535" t="s">
        <v>2063</v>
      </c>
      <c r="B32" s="533">
        <v>-1.9870868834576561E-2</v>
      </c>
      <c r="C32" s="536">
        <v>-0.1736358536371467</v>
      </c>
      <c r="D32" s="534">
        <v>2.6361090979467331E-4</v>
      </c>
      <c r="E32" s="534">
        <v>2.9735471610144198E-4</v>
      </c>
      <c r="F32" s="534">
        <v>5.6096562589611528E-4</v>
      </c>
      <c r="G32" s="316"/>
      <c r="H32" s="286"/>
      <c r="L32" s="316"/>
    </row>
    <row r="33" spans="1:28">
      <c r="A33" s="535" t="s">
        <v>2379</v>
      </c>
      <c r="B33" s="533">
        <v>-2.5963910164861215E-4</v>
      </c>
      <c r="C33" s="536">
        <v>-1.508494343500228E-3</v>
      </c>
      <c r="D33" s="534">
        <v>5.8084574696487838E-4</v>
      </c>
      <c r="E33" s="534"/>
      <c r="F33" s="534">
        <v>5.8084574696487838E-4</v>
      </c>
      <c r="G33" s="316"/>
      <c r="H33" s="286"/>
      <c r="I33" s="285"/>
      <c r="L33" s="316"/>
    </row>
    <row r="34" spans="1:28">
      <c r="A34" s="532" t="s">
        <v>2132</v>
      </c>
      <c r="B34" s="533">
        <v>-4.0345712560386437E-2</v>
      </c>
      <c r="C34" s="536">
        <v>-0.12408732743115387</v>
      </c>
      <c r="D34" s="534">
        <v>2.1403709316727406E-4</v>
      </c>
      <c r="E34" s="534">
        <v>0</v>
      </c>
      <c r="F34" s="534">
        <v>2.1403709316727406E-4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35" t="s">
        <v>2131</v>
      </c>
      <c r="B35" s="533">
        <v>-4.0345712560386437E-2</v>
      </c>
      <c r="C35" s="536">
        <v>-0.12408732743115387</v>
      </c>
      <c r="D35" s="534">
        <v>2.1403709316727406E-4</v>
      </c>
      <c r="E35" s="534">
        <v>0</v>
      </c>
      <c r="F35" s="534">
        <v>2.1403709316727406E-4</v>
      </c>
      <c r="G35" s="286"/>
      <c r="H35" s="286"/>
      <c r="I35" s="285"/>
      <c r="L35" s="316"/>
    </row>
    <row r="36" spans="1:28">
      <c r="A36" s="532" t="s">
        <v>2252</v>
      </c>
      <c r="B36" s="533">
        <v>7.7830500281747539E-3</v>
      </c>
      <c r="C36" s="536">
        <v>1.0269842511362597</v>
      </c>
      <c r="D36" s="534">
        <v>5.3902906097534212E-3</v>
      </c>
      <c r="E36" s="534">
        <v>4.0903628549724602E-3</v>
      </c>
      <c r="F36" s="534">
        <v>9.4806534647258814E-3</v>
      </c>
      <c r="G36" s="286"/>
      <c r="H36" s="286"/>
      <c r="I36" s="285"/>
      <c r="L36" s="316"/>
    </row>
    <row r="37" spans="1:28">
      <c r="A37" s="535" t="s">
        <v>79</v>
      </c>
      <c r="B37" s="533">
        <v>1.329048639212882E-2</v>
      </c>
      <c r="C37" s="536">
        <v>0.13980678500323027</v>
      </c>
      <c r="D37" s="534">
        <v>1.0659119688858239E-3</v>
      </c>
      <c r="E37" s="534"/>
      <c r="F37" s="534">
        <v>1.0659119688858239E-3</v>
      </c>
      <c r="G37" s="28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35" t="s">
        <v>81</v>
      </c>
      <c r="B38" s="533">
        <v>9.5872936294671418E-3</v>
      </c>
      <c r="C38" s="536">
        <v>0.51462744012909467</v>
      </c>
      <c r="D38" s="534">
        <v>2.1409663833767489E-4</v>
      </c>
      <c r="E38" s="534">
        <v>2.0580088455630094E-3</v>
      </c>
      <c r="F38" s="534">
        <v>2.2721054839006842E-3</v>
      </c>
      <c r="G38" s="286"/>
      <c r="H38" s="286"/>
      <c r="I38" s="285"/>
      <c r="L38" s="316"/>
      <c r="AA38" s="319"/>
      <c r="AB38" s="319"/>
    </row>
    <row r="39" spans="1:28">
      <c r="A39" s="535" t="s">
        <v>90</v>
      </c>
      <c r="B39" s="533">
        <v>3.1517955822757404E-3</v>
      </c>
      <c r="C39" s="536">
        <v>0.22680416530703168</v>
      </c>
      <c r="D39" s="534">
        <v>4.8084603100218552E-4</v>
      </c>
      <c r="E39" s="534">
        <v>1.7685522448518602E-3</v>
      </c>
      <c r="F39" s="534">
        <v>2.2493982758540454E-3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35" t="s">
        <v>399</v>
      </c>
      <c r="B40" s="533">
        <v>-3.0941629034956231E-3</v>
      </c>
      <c r="C40" s="536">
        <v>-8.0878851124899495E-2</v>
      </c>
      <c r="D40" s="534">
        <v>2.2024479403498754E-3</v>
      </c>
      <c r="E40" s="534">
        <v>2.6380176455759045E-4</v>
      </c>
      <c r="F40" s="534">
        <v>2.4662497049074655E-3</v>
      </c>
      <c r="G40" s="286"/>
      <c r="H40" s="286"/>
      <c r="L40" s="316"/>
    </row>
    <row r="41" spans="1:28">
      <c r="A41" s="535" t="s">
        <v>2148</v>
      </c>
      <c r="B41" s="533">
        <v>1.3294949156639535E-2</v>
      </c>
      <c r="C41" s="536">
        <v>0.22662471182180235</v>
      </c>
      <c r="D41" s="534">
        <v>1.426988031177861E-3</v>
      </c>
      <c r="E41" s="534">
        <v>0</v>
      </c>
      <c r="F41" s="534">
        <v>1.426988031177861E-3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32" t="s">
        <v>2258</v>
      </c>
      <c r="B42" s="533">
        <v>7.0726592768293184E-3</v>
      </c>
      <c r="C42" s="536">
        <v>6.3977254152223398E-2</v>
      </c>
      <c r="D42" s="534">
        <v>-2.8688560949506226E-5</v>
      </c>
      <c r="E42" s="534">
        <v>0</v>
      </c>
      <c r="F42" s="534">
        <v>-2.8688560949506226E-5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35" t="s">
        <v>88</v>
      </c>
      <c r="B43" s="533">
        <v>6.4066327491991704E-3</v>
      </c>
      <c r="C43" s="536">
        <v>6.491625494702169E-2</v>
      </c>
      <c r="D43" s="534">
        <v>1.0197579931530783E-3</v>
      </c>
      <c r="E43" s="534">
        <v>0</v>
      </c>
      <c r="F43" s="534">
        <v>1.0197579931530783E-3</v>
      </c>
      <c r="G43" s="286"/>
      <c r="H43" s="286"/>
      <c r="I43" s="285"/>
      <c r="L43" s="316"/>
    </row>
    <row r="44" spans="1:28">
      <c r="A44" s="535" t="s">
        <v>4</v>
      </c>
      <c r="B44" s="533">
        <v>-1.5679652635387509E-3</v>
      </c>
      <c r="C44" s="536">
        <v>1.4919679295120345E-2</v>
      </c>
      <c r="D44" s="534">
        <v>-9.500392708077733E-4</v>
      </c>
      <c r="E44" s="534">
        <v>0</v>
      </c>
      <c r="F44" s="534">
        <v>-9.500392708077733E-4</v>
      </c>
      <c r="G44" s="286"/>
      <c r="H44" s="286"/>
      <c r="I44" s="285"/>
      <c r="L44" s="316"/>
      <c r="S44" s="317"/>
      <c r="T44" s="317"/>
      <c r="U44" s="317"/>
    </row>
    <row r="45" spans="1:28">
      <c r="A45" s="535" t="s">
        <v>2276</v>
      </c>
      <c r="B45" s="533">
        <v>1.6379310344827536E-2</v>
      </c>
      <c r="C45" s="536">
        <v>-1.5858680089918642E-2</v>
      </c>
      <c r="D45" s="534">
        <v>-9.8407283294811188E-5</v>
      </c>
      <c r="E45" s="534">
        <v>0</v>
      </c>
      <c r="F45" s="534">
        <v>-9.8407283294811188E-5</v>
      </c>
      <c r="G45" s="286"/>
      <c r="H45" s="286"/>
      <c r="I45" s="285"/>
      <c r="L45" s="316"/>
    </row>
    <row r="46" spans="1:28">
      <c r="A46" s="532" t="s">
        <v>97</v>
      </c>
      <c r="B46" s="533">
        <v>-5.7334158324420384E-3</v>
      </c>
      <c r="C46" s="536">
        <v>3.1848045593876981E-2</v>
      </c>
      <c r="D46" s="534">
        <v>1.1811282074156436E-2</v>
      </c>
      <c r="E46" s="534">
        <v>1.0847087582414849E-2</v>
      </c>
      <c r="F46" s="534">
        <v>2.2658369656571285E-2</v>
      </c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9" priority="10128" operator="lessThan">
      <formula>0</formula>
    </cfRule>
  </conditionalFormatting>
  <conditionalFormatting sqref="H86:H1048576 F1:H9 F12:G12 G10:G11">
    <cfRule type="cellIs" dxfId="1658" priority="10125" operator="lessThan">
      <formula>0</formula>
    </cfRule>
    <cfRule type="cellIs" dxfId="1657" priority="10126" operator="lessThan">
      <formula>0</formula>
    </cfRule>
  </conditionalFormatting>
  <conditionalFormatting sqref="F136:G1048576 G86:G135">
    <cfRule type="cellIs" dxfId="1656" priority="5761" operator="lessThan">
      <formula>0</formula>
    </cfRule>
  </conditionalFormatting>
  <conditionalFormatting sqref="F136:G1048576 G86:G135">
    <cfRule type="cellIs" dxfId="1655" priority="5760" operator="lessThan">
      <formula>0</formula>
    </cfRule>
  </conditionalFormatting>
  <conditionalFormatting sqref="F136:G1048576 G86:G135">
    <cfRule type="cellIs" dxfId="1654" priority="5758" operator="lessThan">
      <formula>0</formula>
    </cfRule>
    <cfRule type="cellIs" dxfId="1653" priority="5759" operator="lessThan">
      <formula>0</formula>
    </cfRule>
  </conditionalFormatting>
  <conditionalFormatting sqref="F136:G1048576 G86:G135">
    <cfRule type="cellIs" dxfId="1652" priority="5757" operator="lessThan">
      <formula>0</formula>
    </cfRule>
  </conditionalFormatting>
  <conditionalFormatting sqref="F136:G1048576 G86:G135">
    <cfRule type="cellIs" dxfId="1651" priority="5756" operator="lessThan">
      <formula>0</formula>
    </cfRule>
  </conditionalFormatting>
  <conditionalFormatting sqref="F136:G1048576 G86:G135">
    <cfRule type="cellIs" dxfId="1650" priority="5755" operator="lessThan">
      <formula>0</formula>
    </cfRule>
  </conditionalFormatting>
  <conditionalFormatting sqref="F136:G1048576 G86:G135">
    <cfRule type="cellIs" dxfId="1649" priority="5754" operator="lessThan">
      <formula>0</formula>
    </cfRule>
  </conditionalFormatting>
  <conditionalFormatting sqref="F136:G1048576 G86:G135">
    <cfRule type="cellIs" dxfId="1648" priority="5753" operator="lessThan">
      <formula>0</formula>
    </cfRule>
  </conditionalFormatting>
  <conditionalFormatting sqref="F136:G1048576 G86:G135">
    <cfRule type="cellIs" dxfId="1647" priority="5752" operator="lessThan">
      <formula>0</formula>
    </cfRule>
  </conditionalFormatting>
  <conditionalFormatting sqref="F136:G1048576 G86:G135">
    <cfRule type="cellIs" dxfId="1646" priority="5751" operator="lessThan">
      <formula>0</formula>
    </cfRule>
  </conditionalFormatting>
  <conditionalFormatting sqref="F136:G1048576 G86:G135">
    <cfRule type="cellIs" dxfId="1645" priority="5750" operator="lessThan">
      <formula>0</formula>
    </cfRule>
  </conditionalFormatting>
  <conditionalFormatting sqref="F136:G1048576 G86:G135">
    <cfRule type="cellIs" dxfId="1644" priority="5749" operator="lessThan">
      <formula>0</formula>
    </cfRule>
  </conditionalFormatting>
  <conditionalFormatting sqref="F136:G1048576 G86:G135">
    <cfRule type="cellIs" dxfId="1643" priority="5748" operator="lessThan">
      <formula>0</formula>
    </cfRule>
  </conditionalFormatting>
  <conditionalFormatting sqref="F136:G1048576 G86:G135">
    <cfRule type="cellIs" dxfId="1642" priority="5747" operator="lessThan">
      <formula>0</formula>
    </cfRule>
  </conditionalFormatting>
  <conditionalFormatting sqref="F136:G1048576 G86:G135">
    <cfRule type="cellIs" dxfId="1641" priority="5746" operator="lessThan">
      <formula>0</formula>
    </cfRule>
  </conditionalFormatting>
  <conditionalFormatting sqref="F136:G1048576 G86:G135">
    <cfRule type="cellIs" dxfId="1640" priority="5745" operator="lessThan">
      <formula>0</formula>
    </cfRule>
  </conditionalFormatting>
  <conditionalFormatting sqref="F136:G1048576 G86:G135">
    <cfRule type="cellIs" dxfId="1639" priority="5744" operator="lessThan">
      <formula>0</formula>
    </cfRule>
  </conditionalFormatting>
  <conditionalFormatting sqref="F136:G1048576 G86:G135">
    <cfRule type="cellIs" dxfId="1638" priority="5743" operator="lessThan">
      <formula>0</formula>
    </cfRule>
  </conditionalFormatting>
  <conditionalFormatting sqref="F136:G1048576 G86:G135">
    <cfRule type="cellIs" dxfId="1637" priority="5742" operator="lessThan">
      <formula>0</formula>
    </cfRule>
  </conditionalFormatting>
  <conditionalFormatting sqref="F136:G1048576 G86:G135">
    <cfRule type="cellIs" dxfId="1636" priority="5741" operator="lessThan">
      <formula>0</formula>
    </cfRule>
  </conditionalFormatting>
  <conditionalFormatting sqref="F136:G1048576 G86:G135">
    <cfRule type="cellIs" dxfId="1635" priority="5740" operator="lessThan">
      <formula>0</formula>
    </cfRule>
  </conditionalFormatting>
  <conditionalFormatting sqref="F136:G1048576 G86:G135">
    <cfRule type="cellIs" dxfId="1634" priority="5739" operator="lessThan">
      <formula>0</formula>
    </cfRule>
  </conditionalFormatting>
  <conditionalFormatting sqref="F136:G1048576 G86:G135">
    <cfRule type="cellIs" dxfId="1633" priority="5738" operator="lessThan">
      <formula>0</formula>
    </cfRule>
  </conditionalFormatting>
  <conditionalFormatting sqref="F136:G1048576 G86:G135">
    <cfRule type="cellIs" dxfId="1632" priority="5737" operator="lessThan">
      <formula>0</formula>
    </cfRule>
  </conditionalFormatting>
  <conditionalFormatting sqref="F136:G1048576 G86:G135">
    <cfRule type="cellIs" dxfId="1631" priority="5736" operator="lessThan">
      <formula>0</formula>
    </cfRule>
  </conditionalFormatting>
  <conditionalFormatting sqref="F136:G1048576 G86:G135">
    <cfRule type="cellIs" dxfId="1630" priority="5735" operator="lessThan">
      <formula>0</formula>
    </cfRule>
  </conditionalFormatting>
  <conditionalFormatting sqref="F136:G1048576 G86:G135">
    <cfRule type="cellIs" dxfId="1629" priority="5734" operator="lessThan">
      <formula>0</formula>
    </cfRule>
  </conditionalFormatting>
  <conditionalFormatting sqref="F136:G1048576 G86:G135">
    <cfRule type="cellIs" dxfId="1628" priority="5733" operator="lessThan">
      <formula>0</formula>
    </cfRule>
  </conditionalFormatting>
  <conditionalFormatting sqref="F136:G1048576 G86:G135">
    <cfRule type="cellIs" dxfId="1627" priority="5732" operator="lessThan">
      <formula>0</formula>
    </cfRule>
  </conditionalFormatting>
  <conditionalFormatting sqref="F136:G1048576 G86:G135">
    <cfRule type="cellIs" dxfId="1626" priority="5731" operator="lessThan">
      <formula>0</formula>
    </cfRule>
  </conditionalFormatting>
  <conditionalFormatting sqref="F136:G1048576 G86:G135">
    <cfRule type="cellIs" dxfId="1625" priority="5730" operator="lessThan">
      <formula>0</formula>
    </cfRule>
  </conditionalFormatting>
  <conditionalFormatting sqref="F136:G1048576 G86:G135">
    <cfRule type="cellIs" dxfId="1624" priority="5729" operator="lessThan">
      <formula>0</formula>
    </cfRule>
  </conditionalFormatting>
  <conditionalFormatting sqref="F136:G1048576 G86:G135">
    <cfRule type="cellIs" dxfId="1623" priority="5728" operator="lessThan">
      <formula>0</formula>
    </cfRule>
  </conditionalFormatting>
  <conditionalFormatting sqref="F136:G1048576 G86:G135">
    <cfRule type="cellIs" dxfId="1622" priority="5727" operator="lessThan">
      <formula>0</formula>
    </cfRule>
  </conditionalFormatting>
  <conditionalFormatting sqref="F136:G1048576 G86:G135">
    <cfRule type="cellIs" dxfId="1621" priority="5726" operator="lessThan">
      <formula>0</formula>
    </cfRule>
  </conditionalFormatting>
  <conditionalFormatting sqref="F136:G1048576 G86:G135">
    <cfRule type="cellIs" dxfId="1620" priority="5725" operator="lessThan">
      <formula>0</formula>
    </cfRule>
  </conditionalFormatting>
  <conditionalFormatting sqref="F136:G1048576 G86:G135">
    <cfRule type="cellIs" dxfId="1619" priority="5724" operator="lessThan">
      <formula>0</formula>
    </cfRule>
  </conditionalFormatting>
  <conditionalFormatting sqref="F136:G1048576 G86:G135">
    <cfRule type="cellIs" dxfId="1618" priority="5723" operator="lessThan">
      <formula>0</formula>
    </cfRule>
  </conditionalFormatting>
  <conditionalFormatting sqref="F136:G1048576 G86:G135">
    <cfRule type="cellIs" dxfId="1617" priority="5722" operator="lessThan">
      <formula>0</formula>
    </cfRule>
  </conditionalFormatting>
  <conditionalFormatting sqref="F136:G1048576 G86:G135">
    <cfRule type="cellIs" dxfId="1616" priority="5721" operator="lessThan">
      <formula>0</formula>
    </cfRule>
  </conditionalFormatting>
  <conditionalFormatting sqref="F136:G1048576 G86:G135">
    <cfRule type="cellIs" dxfId="1615" priority="5720" operator="lessThan">
      <formula>0</formula>
    </cfRule>
  </conditionalFormatting>
  <conditionalFormatting sqref="F136:G1048576 G86:G135">
    <cfRule type="cellIs" dxfId="1614" priority="5719" operator="lessThan">
      <formula>0</formula>
    </cfRule>
  </conditionalFormatting>
  <conditionalFormatting sqref="F136:G1048576 G86:G135">
    <cfRule type="cellIs" dxfId="1613" priority="5718" operator="lessThan">
      <formula>0</formula>
    </cfRule>
  </conditionalFormatting>
  <conditionalFormatting sqref="F136:G1048576 G86:G135">
    <cfRule type="cellIs" dxfId="1612" priority="5717" operator="lessThan">
      <formula>0</formula>
    </cfRule>
  </conditionalFormatting>
  <conditionalFormatting sqref="F136:G1048576 G86:G135">
    <cfRule type="cellIs" dxfId="1611" priority="5716" operator="lessThan">
      <formula>0</formula>
    </cfRule>
  </conditionalFormatting>
  <conditionalFormatting sqref="F136:G1048576 G86:G135">
    <cfRule type="cellIs" dxfId="1610" priority="5715" operator="lessThan">
      <formula>0</formula>
    </cfRule>
  </conditionalFormatting>
  <conditionalFormatting sqref="F136:G1048576 G86:G135">
    <cfRule type="cellIs" dxfId="1609" priority="5714" operator="lessThan">
      <formula>0</formula>
    </cfRule>
  </conditionalFormatting>
  <conditionalFormatting sqref="F136:G1048576 G86:G135">
    <cfRule type="cellIs" dxfId="1608" priority="5713" operator="lessThan">
      <formula>0</formula>
    </cfRule>
  </conditionalFormatting>
  <conditionalFormatting sqref="F136:G1048576 G86:G135">
    <cfRule type="cellIs" dxfId="1607" priority="5712" operator="lessThan">
      <formula>0</formula>
    </cfRule>
  </conditionalFormatting>
  <conditionalFormatting sqref="F136:G1048576 G86:G135">
    <cfRule type="cellIs" dxfId="1606" priority="5711" operator="lessThan">
      <formula>0</formula>
    </cfRule>
  </conditionalFormatting>
  <conditionalFormatting sqref="F136:G1048576 G86:G135">
    <cfRule type="cellIs" dxfId="1605" priority="5710" operator="lessThan">
      <formula>0</formula>
    </cfRule>
  </conditionalFormatting>
  <conditionalFormatting sqref="F136:G1048576 G86:G135">
    <cfRule type="cellIs" dxfId="1604" priority="5709" operator="lessThan">
      <formula>0</formula>
    </cfRule>
  </conditionalFormatting>
  <conditionalFormatting sqref="F136:G1048576 G86:G135">
    <cfRule type="cellIs" dxfId="1603" priority="5708" operator="lessThan">
      <formula>0</formula>
    </cfRule>
  </conditionalFormatting>
  <conditionalFormatting sqref="F136:G1048576 G86:G135">
    <cfRule type="cellIs" dxfId="1602" priority="5707" operator="lessThan">
      <formula>0</formula>
    </cfRule>
  </conditionalFormatting>
  <conditionalFormatting sqref="F136:G1048576 G86:G135">
    <cfRule type="cellIs" dxfId="1601" priority="5706" operator="lessThan">
      <formula>0</formula>
    </cfRule>
  </conditionalFormatting>
  <conditionalFormatting sqref="F136:G1048576 G86:G135">
    <cfRule type="cellIs" dxfId="1600" priority="5705" operator="lessThan">
      <formula>0</formula>
    </cfRule>
  </conditionalFormatting>
  <conditionalFormatting sqref="F136:G1048576 G86:G135">
    <cfRule type="cellIs" dxfId="1599" priority="5704" operator="lessThan">
      <formula>0</formula>
    </cfRule>
  </conditionalFormatting>
  <conditionalFormatting sqref="F136:G1048576 G86:G135">
    <cfRule type="cellIs" dxfId="1598" priority="5703" operator="lessThan">
      <formula>0</formula>
    </cfRule>
  </conditionalFormatting>
  <conditionalFormatting sqref="F136:G1048576 G86:G135">
    <cfRule type="cellIs" dxfId="1597" priority="5702" operator="lessThan">
      <formula>0</formula>
    </cfRule>
  </conditionalFormatting>
  <conditionalFormatting sqref="F136:G1048576 G86:G135">
    <cfRule type="cellIs" dxfId="1596" priority="5701" operator="lessThan">
      <formula>0</formula>
    </cfRule>
  </conditionalFormatting>
  <conditionalFormatting sqref="F136:G1048576 G86:G135">
    <cfRule type="cellIs" dxfId="1595" priority="5700" operator="lessThan">
      <formula>0</formula>
    </cfRule>
  </conditionalFormatting>
  <conditionalFormatting sqref="F136:G1048576 G86:G135">
    <cfRule type="cellIs" dxfId="1594" priority="5699" operator="lessThan">
      <formula>0</formula>
    </cfRule>
  </conditionalFormatting>
  <conditionalFormatting sqref="F136:G1048576 G86:G135">
    <cfRule type="cellIs" dxfId="1593" priority="5698" operator="lessThan">
      <formula>0</formula>
    </cfRule>
  </conditionalFormatting>
  <conditionalFormatting sqref="F136:G1048576 G86:G135">
    <cfRule type="cellIs" dxfId="1592" priority="5697" operator="lessThan">
      <formula>0</formula>
    </cfRule>
  </conditionalFormatting>
  <conditionalFormatting sqref="F136:G1048576 G86:G135">
    <cfRule type="cellIs" dxfId="1591" priority="5696" operator="lessThan">
      <formula>0</formula>
    </cfRule>
  </conditionalFormatting>
  <conditionalFormatting sqref="F136:G1048576 G86:G135">
    <cfRule type="cellIs" dxfId="1590" priority="5695" operator="lessThan">
      <formula>0</formula>
    </cfRule>
  </conditionalFormatting>
  <conditionalFormatting sqref="F136:G1048576 G86:G135">
    <cfRule type="cellIs" dxfId="1589" priority="5694" operator="lessThan">
      <formula>0</formula>
    </cfRule>
  </conditionalFormatting>
  <conditionalFormatting sqref="F136:G1048576 G86:G135">
    <cfRule type="cellIs" dxfId="1588" priority="5693" operator="lessThan">
      <formula>0</formula>
    </cfRule>
  </conditionalFormatting>
  <conditionalFormatting sqref="F136:G1048576 G86:G135">
    <cfRule type="cellIs" dxfId="1587" priority="5692" operator="lessThan">
      <formula>0</formula>
    </cfRule>
  </conditionalFormatting>
  <conditionalFormatting sqref="F136:G1048576 G86:G135">
    <cfRule type="cellIs" dxfId="1586" priority="5691" operator="lessThan">
      <formula>0</formula>
    </cfRule>
  </conditionalFormatting>
  <conditionalFormatting sqref="F136:G1048576 G86:G135">
    <cfRule type="cellIs" dxfId="1585" priority="5690" operator="lessThan">
      <formula>0</formula>
    </cfRule>
  </conditionalFormatting>
  <conditionalFormatting sqref="F136:G1048576 G86:G135">
    <cfRule type="cellIs" dxfId="1584" priority="5689" operator="lessThan">
      <formula>0</formula>
    </cfRule>
  </conditionalFormatting>
  <conditionalFormatting sqref="F136:G1048576 G86:G135">
    <cfRule type="cellIs" dxfId="1583" priority="5688" operator="lessThan">
      <formula>0</formula>
    </cfRule>
  </conditionalFormatting>
  <conditionalFormatting sqref="F136:G1048576 G86:G135">
    <cfRule type="cellIs" dxfId="1582" priority="5687" operator="lessThan">
      <formula>0</formula>
    </cfRule>
  </conditionalFormatting>
  <conditionalFormatting sqref="F136:G1048576 G86:G135">
    <cfRule type="cellIs" dxfId="1581" priority="5686" operator="lessThan">
      <formula>0</formula>
    </cfRule>
  </conditionalFormatting>
  <conditionalFormatting sqref="F136:G1048576 G86:G135">
    <cfRule type="cellIs" dxfId="1580" priority="5685" operator="lessThan">
      <formula>0</formula>
    </cfRule>
  </conditionalFormatting>
  <conditionalFormatting sqref="F136:G1048576 G86:G135">
    <cfRule type="cellIs" dxfId="1579" priority="5684" operator="lessThan">
      <formula>0</formula>
    </cfRule>
  </conditionalFormatting>
  <conditionalFormatting sqref="F136:G1048576 G86:G135">
    <cfRule type="cellIs" dxfId="1578" priority="5683" operator="lessThan">
      <formula>0</formula>
    </cfRule>
  </conditionalFormatting>
  <conditionalFormatting sqref="F136:G1048576 G86:G135">
    <cfRule type="cellIs" dxfId="1577" priority="5682" operator="lessThan">
      <formula>0</formula>
    </cfRule>
  </conditionalFormatting>
  <conditionalFormatting sqref="F136:G1048576 G86:G135">
    <cfRule type="cellIs" dxfId="1576" priority="5681" operator="lessThan">
      <formula>0</formula>
    </cfRule>
  </conditionalFormatting>
  <conditionalFormatting sqref="F136:G1048576 G86:G135">
    <cfRule type="cellIs" dxfId="1575" priority="5680" operator="lessThan">
      <formula>0</formula>
    </cfRule>
  </conditionalFormatting>
  <conditionalFormatting sqref="F136:G1048576 G86:G135">
    <cfRule type="cellIs" dxfId="1574" priority="5679" operator="lessThan">
      <formula>0</formula>
    </cfRule>
  </conditionalFormatting>
  <conditionalFormatting sqref="F136:G1048576 G86:G135">
    <cfRule type="cellIs" dxfId="1573" priority="5678" operator="lessThan">
      <formula>0</formula>
    </cfRule>
  </conditionalFormatting>
  <conditionalFormatting sqref="F136:G1048576 G86:G135">
    <cfRule type="cellIs" dxfId="1572" priority="5677" operator="lessThan">
      <formula>0</formula>
    </cfRule>
  </conditionalFormatting>
  <conditionalFormatting sqref="F136:G1048576 G86:G135">
    <cfRule type="cellIs" dxfId="1571" priority="5676" operator="lessThan">
      <formula>0</formula>
    </cfRule>
  </conditionalFormatting>
  <conditionalFormatting sqref="F136:G1048576 G86:G135">
    <cfRule type="cellIs" dxfId="1570" priority="5675" operator="lessThan">
      <formula>0</formula>
    </cfRule>
  </conditionalFormatting>
  <conditionalFormatting sqref="F136:G1048576 G86:G135">
    <cfRule type="cellIs" dxfId="1569" priority="5674" operator="lessThan">
      <formula>0</formula>
    </cfRule>
  </conditionalFormatting>
  <conditionalFormatting sqref="F136:G1048576 G86:G135">
    <cfRule type="cellIs" dxfId="1568" priority="5673" operator="lessThan">
      <formula>0</formula>
    </cfRule>
  </conditionalFormatting>
  <conditionalFormatting sqref="F136:G1048576 G86:G135">
    <cfRule type="cellIs" dxfId="1567" priority="5672" operator="lessThan">
      <formula>0</formula>
    </cfRule>
  </conditionalFormatting>
  <conditionalFormatting sqref="F136:G1048576 G86:G135">
    <cfRule type="cellIs" dxfId="1566" priority="5671" operator="lessThan">
      <formula>0</formula>
    </cfRule>
  </conditionalFormatting>
  <conditionalFormatting sqref="F136:G1048576 G86:G135">
    <cfRule type="cellIs" dxfId="1565" priority="5670" operator="lessThan">
      <formula>0</formula>
    </cfRule>
  </conditionalFormatting>
  <conditionalFormatting sqref="F136:G1048576 G86:G135">
    <cfRule type="cellIs" dxfId="1564" priority="5669" operator="lessThan">
      <formula>0</formula>
    </cfRule>
  </conditionalFormatting>
  <conditionalFormatting sqref="F136:G1048576 G86:G135">
    <cfRule type="cellIs" dxfId="1563" priority="5668" operator="lessThan">
      <formula>0</formula>
    </cfRule>
  </conditionalFormatting>
  <conditionalFormatting sqref="F136:G1048576 G86:G135">
    <cfRule type="cellIs" dxfId="1562" priority="5667" operator="lessThan">
      <formula>0</formula>
    </cfRule>
  </conditionalFormatting>
  <conditionalFormatting sqref="F136:G1048576 G86:G135">
    <cfRule type="cellIs" dxfId="1561" priority="5666" operator="lessThan">
      <formula>0</formula>
    </cfRule>
  </conditionalFormatting>
  <conditionalFormatting sqref="F136:G1048576 G86:G135">
    <cfRule type="cellIs" dxfId="1560" priority="5665" operator="lessThan">
      <formula>0</formula>
    </cfRule>
  </conditionalFormatting>
  <conditionalFormatting sqref="F136:G1048576 G86:G135">
    <cfRule type="cellIs" dxfId="1559" priority="5664" operator="lessThan">
      <formula>0</formula>
    </cfRule>
  </conditionalFormatting>
  <conditionalFormatting sqref="F136:G1048576 G86:G135">
    <cfRule type="cellIs" dxfId="1558" priority="5663" operator="lessThan">
      <formula>0</formula>
    </cfRule>
  </conditionalFormatting>
  <conditionalFormatting sqref="F136:G1048576 G86:G135">
    <cfRule type="cellIs" dxfId="1557" priority="5662" operator="lessThan">
      <formula>0</formula>
    </cfRule>
  </conditionalFormatting>
  <conditionalFormatting sqref="F136:G1048576 G86:G135">
    <cfRule type="cellIs" dxfId="1556" priority="5661" operator="lessThan">
      <formula>0</formula>
    </cfRule>
  </conditionalFormatting>
  <conditionalFormatting sqref="F136:G1048576 G86:G135">
    <cfRule type="cellIs" dxfId="1555" priority="5660" operator="lessThan">
      <formula>0</formula>
    </cfRule>
  </conditionalFormatting>
  <conditionalFormatting sqref="F136:G1048576 G86:G135">
    <cfRule type="cellIs" dxfId="1554" priority="5659" operator="lessThan">
      <formula>0</formula>
    </cfRule>
  </conditionalFormatting>
  <conditionalFormatting sqref="F136:G1048576 G86:G135">
    <cfRule type="cellIs" dxfId="1553" priority="5658" operator="lessThan">
      <formula>0</formula>
    </cfRule>
  </conditionalFormatting>
  <conditionalFormatting sqref="F136:G1048576 G86:G135">
    <cfRule type="cellIs" dxfId="1552" priority="5657" operator="lessThan">
      <formula>0</formula>
    </cfRule>
  </conditionalFormatting>
  <conditionalFormatting sqref="F136:G1048576 G86:G135">
    <cfRule type="cellIs" dxfId="1551" priority="5656" operator="lessThan">
      <formula>0</formula>
    </cfRule>
  </conditionalFormatting>
  <conditionalFormatting sqref="F136:G1048576 G86:G135">
    <cfRule type="cellIs" dxfId="1550" priority="5655" operator="lessThan">
      <formula>0</formula>
    </cfRule>
  </conditionalFormatting>
  <conditionalFormatting sqref="F136:G1048576 G86:G135">
    <cfRule type="cellIs" dxfId="1549" priority="5654" operator="lessThan">
      <formula>0</formula>
    </cfRule>
  </conditionalFormatting>
  <conditionalFormatting sqref="F136:G1048576 G86:G135">
    <cfRule type="cellIs" dxfId="1548" priority="5653" operator="lessThan">
      <formula>0</formula>
    </cfRule>
  </conditionalFormatting>
  <conditionalFormatting sqref="F136:G1048576 G86:G135">
    <cfRule type="cellIs" dxfId="1547" priority="5652" operator="lessThan">
      <formula>0</formula>
    </cfRule>
  </conditionalFormatting>
  <conditionalFormatting sqref="F136:G1048576 G86:G135">
    <cfRule type="cellIs" dxfId="1546" priority="5651" operator="lessThan">
      <formula>0</formula>
    </cfRule>
  </conditionalFormatting>
  <conditionalFormatting sqref="F136:G1048576 G86:G135">
    <cfRule type="cellIs" dxfId="1545" priority="5650" operator="lessThan">
      <formula>0</formula>
    </cfRule>
  </conditionalFormatting>
  <conditionalFormatting sqref="F136:G1048576 G86:G135">
    <cfRule type="cellIs" dxfId="1544" priority="5649" operator="lessThan">
      <formula>0</formula>
    </cfRule>
  </conditionalFormatting>
  <conditionalFormatting sqref="F136:G1048576 G86:G135">
    <cfRule type="cellIs" dxfId="1543" priority="5648" operator="lessThan">
      <formula>0</formula>
    </cfRule>
  </conditionalFormatting>
  <conditionalFormatting sqref="F136:G1048576 G86:G135">
    <cfRule type="cellIs" dxfId="1542" priority="5647" operator="lessThan">
      <formula>0</formula>
    </cfRule>
  </conditionalFormatting>
  <conditionalFormatting sqref="F136:G1048576 G86:G135">
    <cfRule type="cellIs" dxfId="1541" priority="5646" operator="lessThan">
      <formula>0</formula>
    </cfRule>
  </conditionalFormatting>
  <conditionalFormatting sqref="F136:G1048576 G86:G135">
    <cfRule type="cellIs" dxfId="1540" priority="5645" operator="lessThan">
      <formula>0</formula>
    </cfRule>
  </conditionalFormatting>
  <conditionalFormatting sqref="F136:G1048576 G86:G135">
    <cfRule type="cellIs" dxfId="1539" priority="5644" operator="lessThan">
      <formula>0</formula>
    </cfRule>
  </conditionalFormatting>
  <conditionalFormatting sqref="F136:G1048576 G86:G135">
    <cfRule type="cellIs" dxfId="1538" priority="5643" operator="lessThan">
      <formula>0</formula>
    </cfRule>
  </conditionalFormatting>
  <conditionalFormatting sqref="F136:G1048576 G86:G135">
    <cfRule type="cellIs" dxfId="1537" priority="5642" operator="lessThan">
      <formula>0</formula>
    </cfRule>
  </conditionalFormatting>
  <conditionalFormatting sqref="F136:G1048576 G86:G135">
    <cfRule type="cellIs" dxfId="1536" priority="5641" operator="lessThan">
      <formula>0</formula>
    </cfRule>
  </conditionalFormatting>
  <conditionalFormatting sqref="F136:G1048576 G86:G135">
    <cfRule type="cellIs" dxfId="1535" priority="5640" operator="lessThan">
      <formula>0</formula>
    </cfRule>
  </conditionalFormatting>
  <conditionalFormatting sqref="F136:G1048576 G86:G135">
    <cfRule type="cellIs" dxfId="1534" priority="5639" operator="lessThan">
      <formula>0</formula>
    </cfRule>
  </conditionalFormatting>
  <conditionalFormatting sqref="F136:G1048576 G86:G135">
    <cfRule type="cellIs" dxfId="1533" priority="5638" operator="lessThan">
      <formula>0</formula>
    </cfRule>
  </conditionalFormatting>
  <conditionalFormatting sqref="F136:G1048576 G86:G135">
    <cfRule type="cellIs" dxfId="1532" priority="5637" operator="lessThan">
      <formula>0</formula>
    </cfRule>
  </conditionalFormatting>
  <conditionalFormatting sqref="F136:G1048576 G86:G135">
    <cfRule type="cellIs" dxfId="1531" priority="5636" operator="lessThan">
      <formula>0</formula>
    </cfRule>
  </conditionalFormatting>
  <conditionalFormatting sqref="F136:G1048576 G86:G135">
    <cfRule type="cellIs" dxfId="1530" priority="5635" operator="lessThan">
      <formula>0</formula>
    </cfRule>
  </conditionalFormatting>
  <conditionalFormatting sqref="F136:G1048576 G86:G135">
    <cfRule type="cellIs" dxfId="1529" priority="5634" operator="lessThan">
      <formula>0</formula>
    </cfRule>
  </conditionalFormatting>
  <conditionalFormatting sqref="F136:G1048576 G86:G135">
    <cfRule type="cellIs" dxfId="1528" priority="5633" operator="lessThan">
      <formula>0</formula>
    </cfRule>
  </conditionalFormatting>
  <conditionalFormatting sqref="F136:G1048576 G86:G135">
    <cfRule type="cellIs" dxfId="1527" priority="5632" operator="lessThan">
      <formula>0</formula>
    </cfRule>
  </conditionalFormatting>
  <conditionalFormatting sqref="F136:G1048576 G86:G135">
    <cfRule type="cellIs" dxfId="1526" priority="5631" operator="lessThan">
      <formula>0</formula>
    </cfRule>
  </conditionalFormatting>
  <conditionalFormatting sqref="F136:G1048576 G86:G135">
    <cfRule type="cellIs" dxfId="1525" priority="5630" operator="lessThan">
      <formula>0</formula>
    </cfRule>
  </conditionalFormatting>
  <conditionalFormatting sqref="F136:G1048576 G86:G135">
    <cfRule type="cellIs" dxfId="1524" priority="5629" operator="lessThan">
      <formula>0</formula>
    </cfRule>
  </conditionalFormatting>
  <conditionalFormatting sqref="F136:G1048576 G86:G135">
    <cfRule type="cellIs" dxfId="1523" priority="5628" operator="lessThan">
      <formula>0</formula>
    </cfRule>
  </conditionalFormatting>
  <conditionalFormatting sqref="F136:G1048576 G86:G135">
    <cfRule type="cellIs" dxfId="1522" priority="5627" operator="lessThan">
      <formula>0</formula>
    </cfRule>
  </conditionalFormatting>
  <conditionalFormatting sqref="F136:G1048576 G86:G135">
    <cfRule type="cellIs" dxfId="1521" priority="5626" operator="lessThan">
      <formula>0</formula>
    </cfRule>
  </conditionalFormatting>
  <conditionalFormatting sqref="F136:G1048576 G86:G135">
    <cfRule type="cellIs" dxfId="1520" priority="5625" operator="lessThan">
      <formula>0</formula>
    </cfRule>
  </conditionalFormatting>
  <conditionalFormatting sqref="F136:G1048576 G86:G135">
    <cfRule type="cellIs" dxfId="1519" priority="5624" operator="lessThan">
      <formula>0</formula>
    </cfRule>
  </conditionalFormatting>
  <conditionalFormatting sqref="F136:G1048576 G86:G135">
    <cfRule type="cellIs" dxfId="1518" priority="5623" operator="lessThan">
      <formula>0</formula>
    </cfRule>
  </conditionalFormatting>
  <conditionalFormatting sqref="F136:G1048576 G86:G135">
    <cfRule type="cellIs" dxfId="1517" priority="5622" operator="lessThan">
      <formula>0</formula>
    </cfRule>
  </conditionalFormatting>
  <conditionalFormatting sqref="F136:G1048576 G86:G135">
    <cfRule type="cellIs" dxfId="1516" priority="5621" operator="lessThan">
      <formula>0</formula>
    </cfRule>
  </conditionalFormatting>
  <conditionalFormatting sqref="F136:G1048576 G86:G135">
    <cfRule type="cellIs" dxfId="1515" priority="5620" operator="lessThan">
      <formula>0</formula>
    </cfRule>
  </conditionalFormatting>
  <conditionalFormatting sqref="F136:G1048576 G86:G135">
    <cfRule type="cellIs" dxfId="1514" priority="5619" operator="lessThan">
      <formula>0</formula>
    </cfRule>
  </conditionalFormatting>
  <conditionalFormatting sqref="F136:G1048576 G86:G135">
    <cfRule type="cellIs" dxfId="1513" priority="5618" operator="lessThan">
      <formula>0</formula>
    </cfRule>
  </conditionalFormatting>
  <conditionalFormatting sqref="F136:G1048576 G86:G135">
    <cfRule type="cellIs" dxfId="1512" priority="5617" operator="lessThan">
      <formula>0</formula>
    </cfRule>
  </conditionalFormatting>
  <conditionalFormatting sqref="F136:G1048576 G86:G135">
    <cfRule type="cellIs" dxfId="1511" priority="5616" operator="lessThan">
      <formula>0</formula>
    </cfRule>
  </conditionalFormatting>
  <conditionalFormatting sqref="F136:G1048576 G86:G135">
    <cfRule type="cellIs" dxfId="1510" priority="5615" operator="lessThan">
      <formula>0</formula>
    </cfRule>
  </conditionalFormatting>
  <conditionalFormatting sqref="F136:G1048576 G86:G135">
    <cfRule type="cellIs" dxfId="1509" priority="5614" operator="lessThan">
      <formula>0</formula>
    </cfRule>
  </conditionalFormatting>
  <conditionalFormatting sqref="F136:G1048576 G86:G135">
    <cfRule type="cellIs" dxfId="1508" priority="5613" operator="lessThan">
      <formula>0</formula>
    </cfRule>
  </conditionalFormatting>
  <conditionalFormatting sqref="F136:G1048576 G86:G135">
    <cfRule type="cellIs" dxfId="1507" priority="5612" operator="lessThan">
      <formula>0</formula>
    </cfRule>
  </conditionalFormatting>
  <conditionalFormatting sqref="F136:G1048576 G86:G135">
    <cfRule type="cellIs" dxfId="1506" priority="5611" operator="lessThan">
      <formula>0</formula>
    </cfRule>
  </conditionalFormatting>
  <conditionalFormatting sqref="F136:G1048576 G86:G135">
    <cfRule type="cellIs" dxfId="1505" priority="5610" operator="lessThan">
      <formula>0</formula>
    </cfRule>
  </conditionalFormatting>
  <conditionalFormatting sqref="F136:G1048576 G86:G135">
    <cfRule type="cellIs" dxfId="1504" priority="5609" operator="lessThan">
      <formula>0</formula>
    </cfRule>
  </conditionalFormatting>
  <conditionalFormatting sqref="F136:G1048576 G86:G135">
    <cfRule type="cellIs" dxfId="1503" priority="5608" operator="lessThan">
      <formula>0</formula>
    </cfRule>
  </conditionalFormatting>
  <conditionalFormatting sqref="F136:G1048576 G86:G135">
    <cfRule type="cellIs" dxfId="1502" priority="5607" operator="lessThan">
      <formula>0</formula>
    </cfRule>
  </conditionalFormatting>
  <conditionalFormatting sqref="F136:G1048576 G86:G135">
    <cfRule type="cellIs" dxfId="1501" priority="5606" operator="lessThan">
      <formula>0</formula>
    </cfRule>
  </conditionalFormatting>
  <conditionalFormatting sqref="F136:G1048576 G86:G135">
    <cfRule type="cellIs" dxfId="1500" priority="5605" operator="lessThan">
      <formula>0</formula>
    </cfRule>
  </conditionalFormatting>
  <conditionalFormatting sqref="F136:G1048576 G86:G135">
    <cfRule type="cellIs" dxfId="1499" priority="5604" operator="lessThan">
      <formula>0</formula>
    </cfRule>
  </conditionalFormatting>
  <conditionalFormatting sqref="F136:G1048576 G86:G135">
    <cfRule type="cellIs" dxfId="1498" priority="5603" operator="lessThan">
      <formula>0</formula>
    </cfRule>
  </conditionalFormatting>
  <conditionalFormatting sqref="F136:G1048576 G86:G135">
    <cfRule type="cellIs" dxfId="1497" priority="5602" operator="lessThan">
      <formula>0</formula>
    </cfRule>
  </conditionalFormatting>
  <conditionalFormatting sqref="F136:G1048576 G86:G135">
    <cfRule type="cellIs" dxfId="1496" priority="5601" operator="lessThan">
      <formula>0</formula>
    </cfRule>
  </conditionalFormatting>
  <conditionalFormatting sqref="F136:G1048576 G86:G135">
    <cfRule type="cellIs" dxfId="1495" priority="5600" operator="lessThan">
      <formula>0</formula>
    </cfRule>
  </conditionalFormatting>
  <conditionalFormatting sqref="F136:G1048576 G86:G135">
    <cfRule type="cellIs" dxfId="1494" priority="5599" operator="lessThan">
      <formula>0</formula>
    </cfRule>
  </conditionalFormatting>
  <conditionalFormatting sqref="F136:G1048576 G86:G135">
    <cfRule type="cellIs" dxfId="1493" priority="5598" operator="lessThan">
      <formula>0</formula>
    </cfRule>
  </conditionalFormatting>
  <conditionalFormatting sqref="F136:G1048576 G86:G135">
    <cfRule type="cellIs" dxfId="1492" priority="5597" operator="lessThan">
      <formula>0</formula>
    </cfRule>
  </conditionalFormatting>
  <conditionalFormatting sqref="F136:G1048576 G86:G135">
    <cfRule type="cellIs" dxfId="1491" priority="5596" operator="lessThan">
      <formula>0</formula>
    </cfRule>
  </conditionalFormatting>
  <conditionalFormatting sqref="F136:G1048576 G86:G135">
    <cfRule type="cellIs" dxfId="1490" priority="5595" operator="lessThan">
      <formula>0</formula>
    </cfRule>
  </conditionalFormatting>
  <conditionalFormatting sqref="F136:G1048576 G86:G135">
    <cfRule type="cellIs" dxfId="1489" priority="5594" operator="lessThan">
      <formula>0</formula>
    </cfRule>
  </conditionalFormatting>
  <conditionalFormatting sqref="F136:G1048576 G86:G135">
    <cfRule type="cellIs" dxfId="1488" priority="5593" operator="lessThan">
      <formula>0</formula>
    </cfRule>
  </conditionalFormatting>
  <conditionalFormatting sqref="F136:G1048576 G86:G135">
    <cfRule type="cellIs" dxfId="1487" priority="5592" operator="lessThan">
      <formula>0</formula>
    </cfRule>
  </conditionalFormatting>
  <conditionalFormatting sqref="F136:G1048576 G86:G135">
    <cfRule type="cellIs" dxfId="1486" priority="5591" operator="lessThan">
      <formula>0</formula>
    </cfRule>
  </conditionalFormatting>
  <conditionalFormatting sqref="F136:G1048576 G86:G135">
    <cfRule type="cellIs" dxfId="1485" priority="5590" operator="lessThan">
      <formula>0</formula>
    </cfRule>
  </conditionalFormatting>
  <conditionalFormatting sqref="F136:G1048576 G86:G135">
    <cfRule type="cellIs" dxfId="1484" priority="5589" operator="lessThan">
      <formula>0</formula>
    </cfRule>
  </conditionalFormatting>
  <conditionalFormatting sqref="F136:G1048576 G86:G135">
    <cfRule type="cellIs" dxfId="1483" priority="5588" operator="lessThan">
      <formula>0</formula>
    </cfRule>
  </conditionalFormatting>
  <conditionalFormatting sqref="F136:G1048576 G86:G135">
    <cfRule type="cellIs" dxfId="1482" priority="5587" operator="lessThan">
      <formula>0</formula>
    </cfRule>
  </conditionalFormatting>
  <conditionalFormatting sqref="F136:G1048576 G86:G135">
    <cfRule type="cellIs" dxfId="1481" priority="5586" operator="lessThan">
      <formula>0</formula>
    </cfRule>
  </conditionalFormatting>
  <conditionalFormatting sqref="F136:G1048576 G86:G135">
    <cfRule type="cellIs" dxfId="1480" priority="5585" operator="lessThan">
      <formula>0</formula>
    </cfRule>
  </conditionalFormatting>
  <conditionalFormatting sqref="F136:G1048576 G86:G135">
    <cfRule type="cellIs" dxfId="1479" priority="5584" operator="lessThan">
      <formula>0</formula>
    </cfRule>
  </conditionalFormatting>
  <conditionalFormatting sqref="F136:G1048576 G86:G135">
    <cfRule type="cellIs" dxfId="1478" priority="5583" operator="lessThan">
      <formula>0</formula>
    </cfRule>
  </conditionalFormatting>
  <conditionalFormatting sqref="F136:G1048576 G86:G135">
    <cfRule type="cellIs" dxfId="1477" priority="5582" operator="lessThan">
      <formula>0</formula>
    </cfRule>
  </conditionalFormatting>
  <conditionalFormatting sqref="F136:G1048576 G86:G135">
    <cfRule type="cellIs" dxfId="1476" priority="5581" operator="lessThan">
      <formula>0</formula>
    </cfRule>
  </conditionalFormatting>
  <conditionalFormatting sqref="F136:G1048576 G86:G135">
    <cfRule type="cellIs" dxfId="1475" priority="5580" operator="lessThan">
      <formula>0</formula>
    </cfRule>
  </conditionalFormatting>
  <conditionalFormatting sqref="F136:G1048576 G86:G135">
    <cfRule type="cellIs" dxfId="1474" priority="5579" operator="lessThan">
      <formula>0</formula>
    </cfRule>
  </conditionalFormatting>
  <conditionalFormatting sqref="F136:G1048576 G86:G135">
    <cfRule type="cellIs" dxfId="1473" priority="5578" operator="lessThan">
      <formula>0</formula>
    </cfRule>
  </conditionalFormatting>
  <conditionalFormatting sqref="F136:G1048576 G86:G135">
    <cfRule type="cellIs" dxfId="1472" priority="5577" operator="lessThan">
      <formula>0</formula>
    </cfRule>
  </conditionalFormatting>
  <conditionalFormatting sqref="F136:G1048576 G86:G135">
    <cfRule type="cellIs" dxfId="1471" priority="5576" operator="lessThan">
      <formula>0</formula>
    </cfRule>
  </conditionalFormatting>
  <conditionalFormatting sqref="F136:G1048576 G86:G135">
    <cfRule type="cellIs" dxfId="1470" priority="5575" operator="lessThan">
      <formula>0</formula>
    </cfRule>
  </conditionalFormatting>
  <conditionalFormatting sqref="F136:G1048576 G86:G135">
    <cfRule type="cellIs" dxfId="1469" priority="5574" operator="lessThan">
      <formula>0</formula>
    </cfRule>
  </conditionalFormatting>
  <conditionalFormatting sqref="F136:G1048576 G86:G135">
    <cfRule type="cellIs" dxfId="1468" priority="5573" operator="lessThan">
      <formula>0</formula>
    </cfRule>
  </conditionalFormatting>
  <conditionalFormatting sqref="F136:G1048576 G86:G135">
    <cfRule type="cellIs" dxfId="1467" priority="5572" operator="lessThan">
      <formula>0</formula>
    </cfRule>
  </conditionalFormatting>
  <conditionalFormatting sqref="F136:G1048576 G86:G135">
    <cfRule type="cellIs" dxfId="1466" priority="5571" operator="lessThan">
      <formula>0</formula>
    </cfRule>
  </conditionalFormatting>
  <conditionalFormatting sqref="F136:G1048576 G86:G135">
    <cfRule type="cellIs" dxfId="1465" priority="5570" operator="lessThan">
      <formula>0</formula>
    </cfRule>
  </conditionalFormatting>
  <conditionalFormatting sqref="F136:G1048576 G86:G135">
    <cfRule type="cellIs" dxfId="1464" priority="5569" operator="lessThan">
      <formula>0</formula>
    </cfRule>
  </conditionalFormatting>
  <conditionalFormatting sqref="F136:G1048576 G86:G135">
    <cfRule type="cellIs" dxfId="1463" priority="5568" operator="lessThan">
      <formula>0</formula>
    </cfRule>
  </conditionalFormatting>
  <conditionalFormatting sqref="F136:G1048576 G86:G135">
    <cfRule type="cellIs" dxfId="1462" priority="5567" operator="lessThan">
      <formula>0</formula>
    </cfRule>
  </conditionalFormatting>
  <conditionalFormatting sqref="F136:G1048576 G86:G135">
    <cfRule type="cellIs" dxfId="1461" priority="5566" operator="lessThan">
      <formula>0</formula>
    </cfRule>
  </conditionalFormatting>
  <conditionalFormatting sqref="F136:G1048576 G86:G135">
    <cfRule type="cellIs" dxfId="1460" priority="5565" operator="lessThan">
      <formula>0</formula>
    </cfRule>
  </conditionalFormatting>
  <conditionalFormatting sqref="F136:G1048576 G86:G135">
    <cfRule type="cellIs" dxfId="1459" priority="5564" operator="lessThan">
      <formula>0</formula>
    </cfRule>
  </conditionalFormatting>
  <conditionalFormatting sqref="F136:G1048576 G86:G135">
    <cfRule type="cellIs" dxfId="1458" priority="5563" operator="lessThan">
      <formula>0</formula>
    </cfRule>
  </conditionalFormatting>
  <conditionalFormatting sqref="F136:G1048576 G86:G135">
    <cfRule type="cellIs" dxfId="1457" priority="5562" operator="lessThan">
      <formula>0</formula>
    </cfRule>
  </conditionalFormatting>
  <conditionalFormatting sqref="F136:G1048576 G86:G135">
    <cfRule type="cellIs" dxfId="1456" priority="5561" operator="lessThan">
      <formula>0</formula>
    </cfRule>
  </conditionalFormatting>
  <conditionalFormatting sqref="F136:G1048576 G86:G135">
    <cfRule type="cellIs" dxfId="1455" priority="5560" operator="lessThan">
      <formula>0</formula>
    </cfRule>
  </conditionalFormatting>
  <conditionalFormatting sqref="F136:G1048576 G86:G135">
    <cfRule type="cellIs" dxfId="1454" priority="5559" operator="lessThan">
      <formula>0</formula>
    </cfRule>
  </conditionalFormatting>
  <conditionalFormatting sqref="F136:G1048576 G86:G135">
    <cfRule type="cellIs" dxfId="1453" priority="5558" operator="lessThan">
      <formula>0</formula>
    </cfRule>
  </conditionalFormatting>
  <conditionalFormatting sqref="F136:G1048576 G86:G135">
    <cfRule type="cellIs" dxfId="1452" priority="5557" operator="lessThan">
      <formula>0</formula>
    </cfRule>
  </conditionalFormatting>
  <conditionalFormatting sqref="F136:G1048576 G86:G135">
    <cfRule type="cellIs" dxfId="1451" priority="5556" operator="lessThan">
      <formula>0</formula>
    </cfRule>
  </conditionalFormatting>
  <conditionalFormatting sqref="F136:G1048576 G86:G135">
    <cfRule type="cellIs" dxfId="1450" priority="5555" operator="lessThan">
      <formula>0</formula>
    </cfRule>
  </conditionalFormatting>
  <conditionalFormatting sqref="F136:G1048576 G86:G135">
    <cfRule type="cellIs" dxfId="1449" priority="5554" operator="lessThan">
      <formula>0</formula>
    </cfRule>
  </conditionalFormatting>
  <conditionalFormatting sqref="F136:G1048576 G86:G135">
    <cfRule type="cellIs" dxfId="1448" priority="5553" operator="lessThan">
      <formula>0</formula>
    </cfRule>
  </conditionalFormatting>
  <conditionalFormatting sqref="F136:G1048576 G86:G135">
    <cfRule type="cellIs" dxfId="1447" priority="5552" operator="lessThan">
      <formula>0</formula>
    </cfRule>
  </conditionalFormatting>
  <conditionalFormatting sqref="F136:G1048576 G86:G135">
    <cfRule type="cellIs" dxfId="1446" priority="5551" operator="lessThan">
      <formula>0</formula>
    </cfRule>
  </conditionalFormatting>
  <conditionalFormatting sqref="F136:G1048576 G86:G135">
    <cfRule type="cellIs" dxfId="1445" priority="5550" operator="lessThan">
      <formula>0</formula>
    </cfRule>
  </conditionalFormatting>
  <conditionalFormatting sqref="F136:G1048576 G86:G135">
    <cfRule type="cellIs" dxfId="1444" priority="5549" operator="lessThan">
      <formula>0</formula>
    </cfRule>
  </conditionalFormatting>
  <conditionalFormatting sqref="F136:G1048576 G86:G135">
    <cfRule type="cellIs" dxfId="1443" priority="5548" operator="lessThan">
      <formula>0</formula>
    </cfRule>
  </conditionalFormatting>
  <conditionalFormatting sqref="F136:G1048576 G86:G135">
    <cfRule type="cellIs" dxfId="1442" priority="5547" operator="lessThan">
      <formula>0</formula>
    </cfRule>
  </conditionalFormatting>
  <conditionalFormatting sqref="F136:G1048576 G86:G135">
    <cfRule type="cellIs" dxfId="1441" priority="5546" operator="lessThan">
      <formula>0</formula>
    </cfRule>
  </conditionalFormatting>
  <conditionalFormatting sqref="F136:G1048576 G86:G135">
    <cfRule type="cellIs" dxfId="1440" priority="5545" operator="lessThan">
      <formula>0</formula>
    </cfRule>
  </conditionalFormatting>
  <conditionalFormatting sqref="F136:G1048576 G86:G135">
    <cfRule type="cellIs" dxfId="1439" priority="5544" operator="lessThan">
      <formula>0</formula>
    </cfRule>
  </conditionalFormatting>
  <conditionalFormatting sqref="F136:G1048576 G86:G135">
    <cfRule type="cellIs" dxfId="1438" priority="5543" operator="lessThan">
      <formula>0</formula>
    </cfRule>
  </conditionalFormatting>
  <conditionalFormatting sqref="F136:G1048576 G86:G135">
    <cfRule type="cellIs" dxfId="1437" priority="5542" operator="lessThan">
      <formula>0</formula>
    </cfRule>
  </conditionalFormatting>
  <conditionalFormatting sqref="F136:G1048576 G86:G135">
    <cfRule type="cellIs" dxfId="1436" priority="5541" operator="lessThan">
      <formula>0</formula>
    </cfRule>
  </conditionalFormatting>
  <conditionalFormatting sqref="F136:G1048576 G86:G135">
    <cfRule type="cellIs" dxfId="1435" priority="5540" operator="lessThan">
      <formula>0</formula>
    </cfRule>
  </conditionalFormatting>
  <conditionalFormatting sqref="F136:G1048576 G86:G135">
    <cfRule type="cellIs" dxfId="1434" priority="5539" operator="lessThan">
      <formula>0</formula>
    </cfRule>
  </conditionalFormatting>
  <conditionalFormatting sqref="F136:G1048576 G86:G135">
    <cfRule type="cellIs" dxfId="1433" priority="5538" operator="lessThan">
      <formula>0</formula>
    </cfRule>
  </conditionalFormatting>
  <conditionalFormatting sqref="F136:G1048576 G86:G135">
    <cfRule type="cellIs" dxfId="1432" priority="5537" operator="lessThan">
      <formula>0</formula>
    </cfRule>
  </conditionalFormatting>
  <conditionalFormatting sqref="F136:G1048576 G86:G135">
    <cfRule type="cellIs" dxfId="1431" priority="5536" operator="lessThan">
      <formula>0</formula>
    </cfRule>
  </conditionalFormatting>
  <conditionalFormatting sqref="F136:G1048576 G86:G135">
    <cfRule type="cellIs" dxfId="1430" priority="5535" operator="lessThan">
      <formula>0</formula>
    </cfRule>
  </conditionalFormatting>
  <conditionalFormatting sqref="F136:G1048576 G86:G135">
    <cfRule type="cellIs" dxfId="1429" priority="5534" operator="lessThan">
      <formula>0</formula>
    </cfRule>
  </conditionalFormatting>
  <conditionalFormatting sqref="F136:G1048576 G86:G135">
    <cfRule type="cellIs" dxfId="1428" priority="5533" operator="lessThan">
      <formula>0</formula>
    </cfRule>
  </conditionalFormatting>
  <conditionalFormatting sqref="F136:G1048576 G86:G135">
    <cfRule type="cellIs" dxfId="1427" priority="5532" operator="lessThan">
      <formula>0</formula>
    </cfRule>
  </conditionalFormatting>
  <conditionalFormatting sqref="F136:G1048576 G86:G135">
    <cfRule type="cellIs" dxfId="1426" priority="5531" operator="lessThan">
      <formula>0</formula>
    </cfRule>
  </conditionalFormatting>
  <conditionalFormatting sqref="F136:G1048576 G86:G135">
    <cfRule type="cellIs" dxfId="1425" priority="5530" operator="lessThan">
      <formula>0</formula>
    </cfRule>
  </conditionalFormatting>
  <conditionalFormatting sqref="F136:G1048576 G86:G135">
    <cfRule type="cellIs" dxfId="1424" priority="5529" operator="lessThan">
      <formula>0</formula>
    </cfRule>
  </conditionalFormatting>
  <conditionalFormatting sqref="F136:G1048576 G86:G135">
    <cfRule type="cellIs" dxfId="1423" priority="5528" operator="lessThan">
      <formula>0</formula>
    </cfRule>
  </conditionalFormatting>
  <conditionalFormatting sqref="F136:G1048576 G86:G135">
    <cfRule type="cellIs" dxfId="1422" priority="5527" operator="lessThan">
      <formula>0</formula>
    </cfRule>
  </conditionalFormatting>
  <conditionalFormatting sqref="F136:G1048576 G86:G135">
    <cfRule type="cellIs" dxfId="1421" priority="5526" operator="lessThan">
      <formula>0</formula>
    </cfRule>
  </conditionalFormatting>
  <conditionalFormatting sqref="F136:G1048576 G86:G135">
    <cfRule type="cellIs" dxfId="1420" priority="5525" operator="lessThan">
      <formula>0</formula>
    </cfRule>
  </conditionalFormatting>
  <conditionalFormatting sqref="F136:G1048576 G86:G135">
    <cfRule type="cellIs" dxfId="1419" priority="5524" operator="lessThan">
      <formula>0</formula>
    </cfRule>
  </conditionalFormatting>
  <conditionalFormatting sqref="F136:G1048576 G86:G135">
    <cfRule type="cellIs" dxfId="1418" priority="5523" operator="lessThan">
      <formula>0</formula>
    </cfRule>
  </conditionalFormatting>
  <conditionalFormatting sqref="F136:G1048576 G86:G135">
    <cfRule type="cellIs" dxfId="1417" priority="5522" operator="lessThan">
      <formula>0</formula>
    </cfRule>
  </conditionalFormatting>
  <conditionalFormatting sqref="F136:G1048576 G86:G135">
    <cfRule type="cellIs" dxfId="1416" priority="5521" operator="lessThan">
      <formula>0</formula>
    </cfRule>
  </conditionalFormatting>
  <conditionalFormatting sqref="F136:G1048576 G86:G135">
    <cfRule type="cellIs" dxfId="1415" priority="5520" operator="lessThan">
      <formula>0</formula>
    </cfRule>
  </conditionalFormatting>
  <conditionalFormatting sqref="F136:G1048576 G86:G135">
    <cfRule type="cellIs" dxfId="1414" priority="5519" operator="lessThan">
      <formula>0</formula>
    </cfRule>
  </conditionalFormatting>
  <conditionalFormatting sqref="F136:G1048576 G86:G135">
    <cfRule type="cellIs" dxfId="1413" priority="5518" operator="lessThan">
      <formula>0</formula>
    </cfRule>
  </conditionalFormatting>
  <conditionalFormatting sqref="F136:G1048576 G86:G135">
    <cfRule type="cellIs" dxfId="1412" priority="5517" operator="lessThan">
      <formula>0</formula>
    </cfRule>
  </conditionalFormatting>
  <conditionalFormatting sqref="F136:G1048576 G86:G135">
    <cfRule type="cellIs" dxfId="1411" priority="5516" operator="lessThan">
      <formula>0</formula>
    </cfRule>
  </conditionalFormatting>
  <conditionalFormatting sqref="F136:G1048576 G86:G135">
    <cfRule type="cellIs" dxfId="1410" priority="5515" operator="lessThan">
      <formula>0</formula>
    </cfRule>
  </conditionalFormatting>
  <conditionalFormatting sqref="F136:G1048576 G86:G135">
    <cfRule type="cellIs" dxfId="1409" priority="5514" operator="lessThan">
      <formula>0</formula>
    </cfRule>
  </conditionalFormatting>
  <conditionalFormatting sqref="F136:G1048576 G86:G135">
    <cfRule type="cellIs" dxfId="1408" priority="5513" operator="lessThan">
      <formula>0</formula>
    </cfRule>
  </conditionalFormatting>
  <conditionalFormatting sqref="F136:G1048576 G86:G135">
    <cfRule type="cellIs" dxfId="1407" priority="5512" operator="lessThan">
      <formula>0</formula>
    </cfRule>
  </conditionalFormatting>
  <conditionalFormatting sqref="F136:G1048576 G86:G135">
    <cfRule type="cellIs" dxfId="1406" priority="5511" operator="lessThan">
      <formula>0</formula>
    </cfRule>
  </conditionalFormatting>
  <conditionalFormatting sqref="F136:G1048576 G86:G135">
    <cfRule type="cellIs" dxfId="1405" priority="5510" operator="lessThan">
      <formula>0</formula>
    </cfRule>
  </conditionalFormatting>
  <conditionalFormatting sqref="F136:G1048576 G86:G135">
    <cfRule type="cellIs" dxfId="1404" priority="5509" operator="lessThan">
      <formula>0</formula>
    </cfRule>
  </conditionalFormatting>
  <conditionalFormatting sqref="F136:G1048576 G86:G135">
    <cfRule type="cellIs" dxfId="1403" priority="5508" operator="lessThan">
      <formula>0</formula>
    </cfRule>
  </conditionalFormatting>
  <conditionalFormatting sqref="F136:G1048576 G86:G135">
    <cfRule type="cellIs" dxfId="1402" priority="5507" operator="lessThan">
      <formula>0</formula>
    </cfRule>
  </conditionalFormatting>
  <conditionalFormatting sqref="F136:G1048576 G86:G135">
    <cfRule type="cellIs" dxfId="1401" priority="5506" operator="lessThan">
      <formula>0</formula>
    </cfRule>
  </conditionalFormatting>
  <conditionalFormatting sqref="F136:G1048576 G61:G135">
    <cfRule type="cellIs" dxfId="1400" priority="5505" operator="lessThan">
      <formula>0</formula>
    </cfRule>
  </conditionalFormatting>
  <conditionalFormatting sqref="F136:G1048576 G61:G135">
    <cfRule type="cellIs" dxfId="1399" priority="5504" operator="lessThan">
      <formula>0</formula>
    </cfRule>
  </conditionalFormatting>
  <conditionalFormatting sqref="F136:G1048576 G61:G135">
    <cfRule type="cellIs" dxfId="1398" priority="5503" operator="lessThan">
      <formula>0</formula>
    </cfRule>
  </conditionalFormatting>
  <conditionalFormatting sqref="F136:G1048576 G61:G135">
    <cfRule type="cellIs" dxfId="1397" priority="5502" operator="lessThan">
      <formula>0</formula>
    </cfRule>
  </conditionalFormatting>
  <conditionalFormatting sqref="F136:G1048576 G61:G135">
    <cfRule type="cellIs" dxfId="1396" priority="5501" operator="lessThan">
      <formula>0</formula>
    </cfRule>
  </conditionalFormatting>
  <conditionalFormatting sqref="F136:G1048576 G61:G135">
    <cfRule type="cellIs" dxfId="1395" priority="5500" operator="lessThan">
      <formula>0</formula>
    </cfRule>
  </conditionalFormatting>
  <conditionalFormatting sqref="F136:G1048576 G61:G135">
    <cfRule type="cellIs" dxfId="1394" priority="5499" operator="lessThan">
      <formula>0</formula>
    </cfRule>
  </conditionalFormatting>
  <conditionalFormatting sqref="F136:G1048576 G61:G135">
    <cfRule type="cellIs" dxfId="1393" priority="5498" operator="lessThan">
      <formula>0</formula>
    </cfRule>
  </conditionalFormatting>
  <conditionalFormatting sqref="F136:G1048576 G61:G135">
    <cfRule type="cellIs" dxfId="1392" priority="5497" operator="lessThan">
      <formula>0</formula>
    </cfRule>
  </conditionalFormatting>
  <conditionalFormatting sqref="F136:G1048576 G61:G135">
    <cfRule type="cellIs" dxfId="1391" priority="5496" operator="lessThan">
      <formula>0</formula>
    </cfRule>
  </conditionalFormatting>
  <conditionalFormatting sqref="F136:G1048576 G61:G135">
    <cfRule type="cellIs" dxfId="1390" priority="5495" operator="lessThan">
      <formula>0</formula>
    </cfRule>
  </conditionalFormatting>
  <conditionalFormatting sqref="F136:G1048576 G61:G135">
    <cfRule type="cellIs" dxfId="1389" priority="5494" operator="lessThan">
      <formula>0</formula>
    </cfRule>
  </conditionalFormatting>
  <conditionalFormatting sqref="F136:G1048576 G61:G135">
    <cfRule type="cellIs" dxfId="1388" priority="5493" operator="lessThan">
      <formula>0</formula>
    </cfRule>
  </conditionalFormatting>
  <conditionalFormatting sqref="F136:G1048576 G61:G135">
    <cfRule type="cellIs" dxfId="1387" priority="5492" operator="lessThan">
      <formula>0</formula>
    </cfRule>
  </conditionalFormatting>
  <conditionalFormatting sqref="F136:G1048576 G61:G135">
    <cfRule type="cellIs" dxfId="1386" priority="5491" operator="lessThan">
      <formula>0</formula>
    </cfRule>
  </conditionalFormatting>
  <conditionalFormatting sqref="F136:G1048576 G61:G135">
    <cfRule type="cellIs" dxfId="1385" priority="5490" operator="lessThan">
      <formula>0</formula>
    </cfRule>
  </conditionalFormatting>
  <conditionalFormatting sqref="F136:G1048576 G61:G135">
    <cfRule type="cellIs" dxfId="1384" priority="5489" operator="lessThan">
      <formula>0</formula>
    </cfRule>
  </conditionalFormatting>
  <conditionalFormatting sqref="F136:G1048576 G61:G135">
    <cfRule type="cellIs" dxfId="1383" priority="5488" operator="lessThan">
      <formula>0</formula>
    </cfRule>
  </conditionalFormatting>
  <conditionalFormatting sqref="F136:G1048576 G61:G135">
    <cfRule type="cellIs" dxfId="1382" priority="5487" operator="lessThan">
      <formula>0</formula>
    </cfRule>
  </conditionalFormatting>
  <conditionalFormatting sqref="F136:G1048576 G61:G135">
    <cfRule type="cellIs" dxfId="1381" priority="5486" operator="lessThan">
      <formula>0</formula>
    </cfRule>
  </conditionalFormatting>
  <conditionalFormatting sqref="F136:G1048576 G61:G135">
    <cfRule type="cellIs" dxfId="1380" priority="5485" operator="lessThan">
      <formula>0</formula>
    </cfRule>
  </conditionalFormatting>
  <conditionalFormatting sqref="F136:G1048576 G61:G135">
    <cfRule type="cellIs" dxfId="1379" priority="5484" operator="lessThan">
      <formula>0</formula>
    </cfRule>
  </conditionalFormatting>
  <conditionalFormatting sqref="F136:G1048576 G61:G135">
    <cfRule type="cellIs" dxfId="1378" priority="5483" operator="lessThan">
      <formula>0</formula>
    </cfRule>
  </conditionalFormatting>
  <conditionalFormatting sqref="F136:G1048576 G61:G135">
    <cfRule type="cellIs" dxfId="1377" priority="5482" operator="lessThan">
      <formula>0</formula>
    </cfRule>
  </conditionalFormatting>
  <conditionalFormatting sqref="F136:G1048576 G61:G135">
    <cfRule type="cellIs" dxfId="1376" priority="5481" operator="lessThan">
      <formula>0</formula>
    </cfRule>
  </conditionalFormatting>
  <conditionalFormatting sqref="F136:G1048576 G61:G135">
    <cfRule type="cellIs" dxfId="1375" priority="5480" operator="lessThan">
      <formula>0</formula>
    </cfRule>
  </conditionalFormatting>
  <conditionalFormatting sqref="F136:G1048576 G61:G135">
    <cfRule type="cellIs" dxfId="1374" priority="5479" operator="lessThan">
      <formula>0</formula>
    </cfRule>
  </conditionalFormatting>
  <conditionalFormatting sqref="F136:G1048576 G61:G135">
    <cfRule type="cellIs" dxfId="1373" priority="5478" operator="lessThan">
      <formula>0</formula>
    </cfRule>
  </conditionalFormatting>
  <conditionalFormatting sqref="F136:G1048576 G61:G135">
    <cfRule type="cellIs" dxfId="1372" priority="5477" operator="lessThan">
      <formula>0</formula>
    </cfRule>
  </conditionalFormatting>
  <conditionalFormatting sqref="F136:G1048576 G61:G135">
    <cfRule type="cellIs" dxfId="1371" priority="5476" operator="lessThan">
      <formula>0</formula>
    </cfRule>
  </conditionalFormatting>
  <conditionalFormatting sqref="F136:G1048576 G61:G135">
    <cfRule type="cellIs" dxfId="1370" priority="5475" operator="lessThan">
      <formula>0</formula>
    </cfRule>
  </conditionalFormatting>
  <conditionalFormatting sqref="F136:G1048576 G61:G135">
    <cfRule type="cellIs" dxfId="1369" priority="5474" operator="lessThan">
      <formula>0</formula>
    </cfRule>
  </conditionalFormatting>
  <conditionalFormatting sqref="F136:G1048576 G61:G135">
    <cfRule type="cellIs" dxfId="1368" priority="5473" operator="lessThan">
      <formula>0</formula>
    </cfRule>
  </conditionalFormatting>
  <conditionalFormatting sqref="F136:G1048576 G61:G135">
    <cfRule type="cellIs" dxfId="1367" priority="5472" operator="lessThan">
      <formula>0</formula>
    </cfRule>
  </conditionalFormatting>
  <conditionalFormatting sqref="F136:G1048576 G61:G135">
    <cfRule type="cellIs" dxfId="1366" priority="5471" operator="lessThan">
      <formula>0</formula>
    </cfRule>
  </conditionalFormatting>
  <conditionalFormatting sqref="F136:G1048576 G61:G135">
    <cfRule type="cellIs" dxfId="1365" priority="5470" operator="lessThan">
      <formula>0</formula>
    </cfRule>
  </conditionalFormatting>
  <conditionalFormatting sqref="F136:G1048576 G61:G135">
    <cfRule type="cellIs" dxfId="1364" priority="5469" operator="lessThan">
      <formula>0</formula>
    </cfRule>
  </conditionalFormatting>
  <conditionalFormatting sqref="F136:G1048576 G61:G135">
    <cfRule type="cellIs" dxfId="1363" priority="5468" operator="lessThan">
      <formula>0</formula>
    </cfRule>
  </conditionalFormatting>
  <conditionalFormatting sqref="F136:G1048576 G61:G135">
    <cfRule type="cellIs" dxfId="1362" priority="5467" operator="lessThan">
      <formula>0</formula>
    </cfRule>
  </conditionalFormatting>
  <conditionalFormatting sqref="F136:G1048576 G61:G135">
    <cfRule type="cellIs" dxfId="1361" priority="5466" operator="lessThan">
      <formula>0</formula>
    </cfRule>
  </conditionalFormatting>
  <conditionalFormatting sqref="F136:G1048576 G61:G135">
    <cfRule type="cellIs" dxfId="1360" priority="5465" operator="lessThan">
      <formula>0</formula>
    </cfRule>
  </conditionalFormatting>
  <conditionalFormatting sqref="F136:G1048576 G61:G135">
    <cfRule type="cellIs" dxfId="1359" priority="5464" operator="lessThan">
      <formula>0</formula>
    </cfRule>
  </conditionalFormatting>
  <conditionalFormatting sqref="F136:G1048576 G61:G135">
    <cfRule type="cellIs" dxfId="1358" priority="5463" operator="lessThan">
      <formula>0</formula>
    </cfRule>
  </conditionalFormatting>
  <conditionalFormatting sqref="F136:G1048576 G61:G135">
    <cfRule type="cellIs" dxfId="1357" priority="5462" operator="lessThan">
      <formula>0</formula>
    </cfRule>
  </conditionalFormatting>
  <conditionalFormatting sqref="F136:G1048576 G61:G135">
    <cfRule type="cellIs" dxfId="1356" priority="5461" operator="lessThan">
      <formula>0</formula>
    </cfRule>
  </conditionalFormatting>
  <conditionalFormatting sqref="F136:G1048576 G61:G135">
    <cfRule type="cellIs" dxfId="1355" priority="5460" operator="lessThan">
      <formula>0</formula>
    </cfRule>
  </conditionalFormatting>
  <conditionalFormatting sqref="F136:G1048576 G61:G135">
    <cfRule type="cellIs" dxfId="1354" priority="5459" operator="lessThan">
      <formula>0</formula>
    </cfRule>
  </conditionalFormatting>
  <conditionalFormatting sqref="F136:G1048576 G61:G135">
    <cfRule type="cellIs" dxfId="1353" priority="5458" operator="lessThan">
      <formula>0</formula>
    </cfRule>
  </conditionalFormatting>
  <conditionalFormatting sqref="F136:G1048576 G61:G135">
    <cfRule type="cellIs" dxfId="1352" priority="5457" operator="lessThan">
      <formula>0</formula>
    </cfRule>
  </conditionalFormatting>
  <conditionalFormatting sqref="F136:G1048576 G61:G135">
    <cfRule type="cellIs" dxfId="1351" priority="5456" operator="lessThan">
      <formula>0</formula>
    </cfRule>
  </conditionalFormatting>
  <conditionalFormatting sqref="F136:G1048576 G61:G135">
    <cfRule type="cellIs" dxfId="1350" priority="5455" operator="lessThan">
      <formula>0</formula>
    </cfRule>
  </conditionalFormatting>
  <conditionalFormatting sqref="F136:G1048576 G61:G135">
    <cfRule type="cellIs" dxfId="1349" priority="5454" operator="lessThan">
      <formula>0</formula>
    </cfRule>
  </conditionalFormatting>
  <conditionalFormatting sqref="F136:G1048576 G61:G135">
    <cfRule type="cellIs" dxfId="1348" priority="5453" operator="lessThan">
      <formula>0</formula>
    </cfRule>
  </conditionalFormatting>
  <conditionalFormatting sqref="F136:G1048576 G61:G135">
    <cfRule type="cellIs" dxfId="1347" priority="5452" operator="lessThan">
      <formula>0</formula>
    </cfRule>
  </conditionalFormatting>
  <conditionalFormatting sqref="F136:G1048576 G61:G135">
    <cfRule type="cellIs" dxfId="1346" priority="5451" operator="lessThan">
      <formula>0</formula>
    </cfRule>
  </conditionalFormatting>
  <conditionalFormatting sqref="F136:G1048576 G61:G135">
    <cfRule type="cellIs" dxfId="1345" priority="5450" operator="lessThan">
      <formula>0</formula>
    </cfRule>
  </conditionalFormatting>
  <conditionalFormatting sqref="F136:G1048576 G61:G135">
    <cfRule type="cellIs" dxfId="1344" priority="5449" operator="lessThan">
      <formula>0</formula>
    </cfRule>
  </conditionalFormatting>
  <conditionalFormatting sqref="F136:G1048576 G61:G135">
    <cfRule type="cellIs" dxfId="1343" priority="5448" operator="lessThan">
      <formula>0</formula>
    </cfRule>
  </conditionalFormatting>
  <conditionalFormatting sqref="F136:G1048576 G61:G135">
    <cfRule type="cellIs" dxfId="1342" priority="5447" operator="lessThan">
      <formula>0</formula>
    </cfRule>
  </conditionalFormatting>
  <conditionalFormatting sqref="F136:G1048576 G61:G135">
    <cfRule type="cellIs" dxfId="1341" priority="5446" operator="lessThan">
      <formula>0</formula>
    </cfRule>
  </conditionalFormatting>
  <conditionalFormatting sqref="F136:G1048576 G61:G135">
    <cfRule type="cellIs" dxfId="1340" priority="5445" operator="lessThan">
      <formula>0</formula>
    </cfRule>
  </conditionalFormatting>
  <conditionalFormatting sqref="F136:G1048576 G61:G135">
    <cfRule type="cellIs" dxfId="1339" priority="5444" operator="lessThan">
      <formula>0</formula>
    </cfRule>
  </conditionalFormatting>
  <conditionalFormatting sqref="F136:G1048576 G61:G135">
    <cfRule type="cellIs" dxfId="1338" priority="5443" operator="lessThan">
      <formula>0</formula>
    </cfRule>
  </conditionalFormatting>
  <conditionalFormatting sqref="F136:G1048576 G61:G135">
    <cfRule type="cellIs" dxfId="1337" priority="5442" operator="lessThan">
      <formula>0</formula>
    </cfRule>
  </conditionalFormatting>
  <conditionalFormatting sqref="F136:G1048576 G61:G135">
    <cfRule type="cellIs" dxfId="1336" priority="5441" operator="lessThan">
      <formula>0</formula>
    </cfRule>
  </conditionalFormatting>
  <conditionalFormatting sqref="F136:G1048576 G61:G135">
    <cfRule type="cellIs" dxfId="1335" priority="5440" operator="lessThan">
      <formula>0</formula>
    </cfRule>
  </conditionalFormatting>
  <conditionalFormatting sqref="F136:G1048576 G61:G135">
    <cfRule type="cellIs" dxfId="1334" priority="5439" operator="lessThan">
      <formula>0</formula>
    </cfRule>
  </conditionalFormatting>
  <conditionalFormatting sqref="F136:G1048576 G61:G135">
    <cfRule type="cellIs" dxfId="1333" priority="5438" operator="lessThan">
      <formula>0</formula>
    </cfRule>
  </conditionalFormatting>
  <conditionalFormatting sqref="F136:G1048576 G61:G135">
    <cfRule type="cellIs" dxfId="1332" priority="5437" operator="lessThan">
      <formula>0</formula>
    </cfRule>
  </conditionalFormatting>
  <conditionalFormatting sqref="F136:G1048576 G61:G135">
    <cfRule type="cellIs" dxfId="1331" priority="5436" operator="lessThan">
      <formula>0</formula>
    </cfRule>
  </conditionalFormatting>
  <conditionalFormatting sqref="F136:G1048576 G61:G135">
    <cfRule type="cellIs" dxfId="1330" priority="5435" operator="lessThan">
      <formula>0</formula>
    </cfRule>
  </conditionalFormatting>
  <conditionalFormatting sqref="F136:G1048576 G61:G135">
    <cfRule type="cellIs" dxfId="1329" priority="5434" operator="lessThan">
      <formula>0</formula>
    </cfRule>
  </conditionalFormatting>
  <conditionalFormatting sqref="F136:G1048576 G61:G135">
    <cfRule type="cellIs" dxfId="1328" priority="5433" operator="lessThan">
      <formula>0</formula>
    </cfRule>
  </conditionalFormatting>
  <conditionalFormatting sqref="F136:G1048576 G61:G135">
    <cfRule type="cellIs" dxfId="1327" priority="5432" operator="lessThan">
      <formula>0</formula>
    </cfRule>
  </conditionalFormatting>
  <conditionalFormatting sqref="F136:G1048576 G61:G135">
    <cfRule type="cellIs" dxfId="1326" priority="5431" operator="lessThan">
      <formula>0</formula>
    </cfRule>
  </conditionalFormatting>
  <conditionalFormatting sqref="F136:G1048576 G61:G135">
    <cfRule type="cellIs" dxfId="1325" priority="5430" operator="lessThan">
      <formula>0</formula>
    </cfRule>
  </conditionalFormatting>
  <conditionalFormatting sqref="F136:G1048576 G61:G135">
    <cfRule type="cellIs" dxfId="1324" priority="5429" operator="lessThan">
      <formula>0</formula>
    </cfRule>
  </conditionalFormatting>
  <conditionalFormatting sqref="F136:G1048576 G61:G135">
    <cfRule type="cellIs" dxfId="1323" priority="5428" operator="lessThan">
      <formula>0</formula>
    </cfRule>
  </conditionalFormatting>
  <conditionalFormatting sqref="F136:G1048576 G61:G135">
    <cfRule type="cellIs" dxfId="1322" priority="5427" operator="lessThan">
      <formula>0</formula>
    </cfRule>
  </conditionalFormatting>
  <conditionalFormatting sqref="F136:G1048576 G61:G135">
    <cfRule type="cellIs" dxfId="1321" priority="5426" operator="lessThan">
      <formula>0</formula>
    </cfRule>
  </conditionalFormatting>
  <conditionalFormatting sqref="F136:G1048576 G61:G135">
    <cfRule type="cellIs" dxfId="1320" priority="5425" operator="lessThan">
      <formula>0</formula>
    </cfRule>
  </conditionalFormatting>
  <conditionalFormatting sqref="F136:G1048576 G61:G135">
    <cfRule type="cellIs" dxfId="1319" priority="5424" operator="lessThan">
      <formula>0</formula>
    </cfRule>
  </conditionalFormatting>
  <conditionalFormatting sqref="F136:G1048576 G61:G135">
    <cfRule type="cellIs" dxfId="1318" priority="5423" operator="lessThan">
      <formula>0</formula>
    </cfRule>
  </conditionalFormatting>
  <conditionalFormatting sqref="F136:G1048576 G61:G135">
    <cfRule type="cellIs" dxfId="1317" priority="5422" operator="lessThan">
      <formula>0</formula>
    </cfRule>
  </conditionalFormatting>
  <conditionalFormatting sqref="F136:G1048576 G61:G135">
    <cfRule type="cellIs" dxfId="1316" priority="5421" operator="lessThan">
      <formula>0</formula>
    </cfRule>
  </conditionalFormatting>
  <conditionalFormatting sqref="F136:G1048576 G61:G135">
    <cfRule type="cellIs" dxfId="1315" priority="5420" operator="lessThan">
      <formula>0</formula>
    </cfRule>
  </conditionalFormatting>
  <conditionalFormatting sqref="F136:G1048576 G61:G135">
    <cfRule type="cellIs" dxfId="1314" priority="5419" operator="lessThan">
      <formula>0</formula>
    </cfRule>
  </conditionalFormatting>
  <conditionalFormatting sqref="F136:G1048576 G61:G135">
    <cfRule type="cellIs" dxfId="1313" priority="5418" operator="lessThan">
      <formula>0</formula>
    </cfRule>
  </conditionalFormatting>
  <conditionalFormatting sqref="F136:G1048576 G61:G135">
    <cfRule type="cellIs" dxfId="1312" priority="5417" operator="lessThan">
      <formula>0</formula>
    </cfRule>
  </conditionalFormatting>
  <conditionalFormatting sqref="F136:G1048576 G61:G135">
    <cfRule type="cellIs" dxfId="1311" priority="5416" operator="lessThan">
      <formula>0</formula>
    </cfRule>
  </conditionalFormatting>
  <conditionalFormatting sqref="F136:G1048576 G61:G135">
    <cfRule type="cellIs" dxfId="1310" priority="5415" operator="lessThan">
      <formula>0</formula>
    </cfRule>
  </conditionalFormatting>
  <conditionalFormatting sqref="F136:G1048576 G61:G135">
    <cfRule type="cellIs" dxfId="1309" priority="5414" operator="lessThan">
      <formula>0</formula>
    </cfRule>
  </conditionalFormatting>
  <conditionalFormatting sqref="F136:G1048576 G61:G135">
    <cfRule type="cellIs" dxfId="1308" priority="5413" operator="lessThan">
      <formula>0</formula>
    </cfRule>
  </conditionalFormatting>
  <conditionalFormatting sqref="F136:G1048576 G61:G135">
    <cfRule type="cellIs" dxfId="1307" priority="5412" operator="lessThan">
      <formula>0</formula>
    </cfRule>
  </conditionalFormatting>
  <conditionalFormatting sqref="F136:G1048576 G61:G135">
    <cfRule type="cellIs" dxfId="1306" priority="5411" operator="lessThan">
      <formula>0</formula>
    </cfRule>
  </conditionalFormatting>
  <conditionalFormatting sqref="F136:G1048576 G61:G135">
    <cfRule type="cellIs" dxfId="1305" priority="5410" operator="lessThan">
      <formula>0</formula>
    </cfRule>
  </conditionalFormatting>
  <conditionalFormatting sqref="F136:G1048576 G61:G135">
    <cfRule type="cellIs" dxfId="1304" priority="5409" operator="lessThan">
      <formula>0</formula>
    </cfRule>
  </conditionalFormatting>
  <conditionalFormatting sqref="F136:G1048576 G61:G135">
    <cfRule type="cellIs" dxfId="1303" priority="5408" operator="lessThan">
      <formula>0</formula>
    </cfRule>
  </conditionalFormatting>
  <conditionalFormatting sqref="F136:G1048576 G61:G135">
    <cfRule type="cellIs" dxfId="1302" priority="5407" operator="lessThan">
      <formula>0</formula>
    </cfRule>
  </conditionalFormatting>
  <conditionalFormatting sqref="F136:G1048576 G61:G135">
    <cfRule type="cellIs" dxfId="1301" priority="5406" operator="lessThan">
      <formula>0</formula>
    </cfRule>
  </conditionalFormatting>
  <conditionalFormatting sqref="F136:G1048576 G61:G135">
    <cfRule type="cellIs" dxfId="1300" priority="5405" operator="lessThan">
      <formula>0</formula>
    </cfRule>
  </conditionalFormatting>
  <conditionalFormatting sqref="F136:G1048576 G61:G135">
    <cfRule type="cellIs" dxfId="1299" priority="5404" operator="lessThan">
      <formula>0</formula>
    </cfRule>
  </conditionalFormatting>
  <conditionalFormatting sqref="F136:G1048576 G61:G135">
    <cfRule type="cellIs" dxfId="1298" priority="5403" operator="lessThan">
      <formula>0</formula>
    </cfRule>
  </conditionalFormatting>
  <conditionalFormatting sqref="F136:G1048576 G61:G135">
    <cfRule type="cellIs" dxfId="1297" priority="5402" operator="lessThan">
      <formula>0</formula>
    </cfRule>
  </conditionalFormatting>
  <conditionalFormatting sqref="F136:G1048576 G61:G135">
    <cfRule type="cellIs" dxfId="1296" priority="5401" operator="lessThan">
      <formula>0</formula>
    </cfRule>
  </conditionalFormatting>
  <conditionalFormatting sqref="F136:G1048576 G61:G135">
    <cfRule type="cellIs" dxfId="1295" priority="5400" operator="lessThan">
      <formula>0</formula>
    </cfRule>
  </conditionalFormatting>
  <conditionalFormatting sqref="F136:G1048576 G61:G135">
    <cfRule type="cellIs" dxfId="1294" priority="5399" operator="lessThan">
      <formula>0</formula>
    </cfRule>
  </conditionalFormatting>
  <conditionalFormatting sqref="F136:G1048576 G61:G135">
    <cfRule type="cellIs" dxfId="1293" priority="5398" operator="lessThan">
      <formula>0</formula>
    </cfRule>
  </conditionalFormatting>
  <conditionalFormatting sqref="F136:G1048576 G61:G135">
    <cfRule type="cellIs" dxfId="1292" priority="5397" operator="lessThan">
      <formula>0</formula>
    </cfRule>
  </conditionalFormatting>
  <conditionalFormatting sqref="F136:G1048576 G61:G135">
    <cfRule type="cellIs" dxfId="1291" priority="5396" operator="lessThan">
      <formula>0</formula>
    </cfRule>
  </conditionalFormatting>
  <conditionalFormatting sqref="F136:G1048576 G61:G135">
    <cfRule type="cellIs" dxfId="1290" priority="5395" operator="lessThan">
      <formula>0</formula>
    </cfRule>
  </conditionalFormatting>
  <conditionalFormatting sqref="F136:G1048576 G61:G135">
    <cfRule type="cellIs" dxfId="1289" priority="5394" operator="lessThan">
      <formula>0</formula>
    </cfRule>
  </conditionalFormatting>
  <conditionalFormatting sqref="F136:G1048576 G61:G135">
    <cfRule type="cellIs" dxfId="1288" priority="5393" operator="lessThan">
      <formula>0</formula>
    </cfRule>
  </conditionalFormatting>
  <conditionalFormatting sqref="F136:G1048576 G61:G135">
    <cfRule type="cellIs" dxfId="1287" priority="5392" operator="lessThan">
      <formula>0</formula>
    </cfRule>
  </conditionalFormatting>
  <conditionalFormatting sqref="F136:G1048576 G61:G135">
    <cfRule type="cellIs" dxfId="1286" priority="5391" operator="lessThan">
      <formula>0</formula>
    </cfRule>
  </conditionalFormatting>
  <conditionalFormatting sqref="F136:G1048576 G61:G135">
    <cfRule type="cellIs" dxfId="1285" priority="5390" operator="lessThan">
      <formula>0</formula>
    </cfRule>
  </conditionalFormatting>
  <conditionalFormatting sqref="F136:G1048576 G61:G135">
    <cfRule type="cellIs" dxfId="1284" priority="5389" operator="lessThan">
      <formula>0</formula>
    </cfRule>
  </conditionalFormatting>
  <conditionalFormatting sqref="F136:G1048576 G61:G135">
    <cfRule type="cellIs" dxfId="1283" priority="5388" operator="lessThan">
      <formula>0</formula>
    </cfRule>
  </conditionalFormatting>
  <conditionalFormatting sqref="F136:G1048576 G61:G135">
    <cfRule type="cellIs" dxfId="1282" priority="5387" operator="lessThan">
      <formula>0</formula>
    </cfRule>
  </conditionalFormatting>
  <conditionalFormatting sqref="F136:G1048576 G61:G135">
    <cfRule type="cellIs" dxfId="1281" priority="5386" operator="lessThan">
      <formula>0</formula>
    </cfRule>
  </conditionalFormatting>
  <conditionalFormatting sqref="F136:G1048576 G61:G135">
    <cfRule type="cellIs" dxfId="1280" priority="5385" operator="lessThan">
      <formula>0</formula>
    </cfRule>
  </conditionalFormatting>
  <conditionalFormatting sqref="F136:G1048576 G61:G135">
    <cfRule type="cellIs" dxfId="1279" priority="5384" operator="lessThan">
      <formula>0</formula>
    </cfRule>
  </conditionalFormatting>
  <conditionalFormatting sqref="F136:G1048576 G61:G135">
    <cfRule type="cellIs" dxfId="1278" priority="5383" operator="lessThan">
      <formula>0</formula>
    </cfRule>
  </conditionalFormatting>
  <conditionalFormatting sqref="F136:G1048576 G61:G135">
    <cfRule type="cellIs" dxfId="1277" priority="5382" operator="lessThan">
      <formula>0</formula>
    </cfRule>
  </conditionalFormatting>
  <conditionalFormatting sqref="F136:G1048576 G61:G135">
    <cfRule type="cellIs" dxfId="1276" priority="5381" operator="lessThan">
      <formula>0</formula>
    </cfRule>
  </conditionalFormatting>
  <conditionalFormatting sqref="F136:G1048576 G61:G135">
    <cfRule type="cellIs" dxfId="1275" priority="5380" operator="lessThan">
      <formula>0</formula>
    </cfRule>
  </conditionalFormatting>
  <conditionalFormatting sqref="F136:G1048576 G61:G135">
    <cfRule type="cellIs" dxfId="1274" priority="5379" operator="lessThan">
      <formula>0</formula>
    </cfRule>
  </conditionalFormatting>
  <conditionalFormatting sqref="F136:G1048576 G61:G135">
    <cfRule type="cellIs" dxfId="1273" priority="5378" operator="lessThan">
      <formula>0</formula>
    </cfRule>
  </conditionalFormatting>
  <conditionalFormatting sqref="F136:G1048576 G61:G135">
    <cfRule type="cellIs" dxfId="1272" priority="5377" operator="lessThan">
      <formula>0</formula>
    </cfRule>
  </conditionalFormatting>
  <conditionalFormatting sqref="F136:G1048576 G61:G135">
    <cfRule type="cellIs" dxfId="1271" priority="5376" operator="lessThan">
      <formula>0</formula>
    </cfRule>
  </conditionalFormatting>
  <conditionalFormatting sqref="F136:G1048576 G61:G135">
    <cfRule type="cellIs" dxfId="1270" priority="5375" operator="lessThan">
      <formula>0</formula>
    </cfRule>
  </conditionalFormatting>
  <conditionalFormatting sqref="F136:G1048576 G61:G135">
    <cfRule type="cellIs" dxfId="1269" priority="5374" operator="lessThan">
      <formula>0</formula>
    </cfRule>
  </conditionalFormatting>
  <conditionalFormatting sqref="F136:G1048576 G61:G135">
    <cfRule type="cellIs" dxfId="1268" priority="5373" operator="lessThan">
      <formula>0</formula>
    </cfRule>
  </conditionalFormatting>
  <conditionalFormatting sqref="F136:G1048576 G61:G135">
    <cfRule type="cellIs" dxfId="1267" priority="5372" operator="lessThan">
      <formula>0</formula>
    </cfRule>
  </conditionalFormatting>
  <conditionalFormatting sqref="F136:G1048576 G61:G135">
    <cfRule type="cellIs" dxfId="1266" priority="5371" operator="lessThan">
      <formula>0</formula>
    </cfRule>
  </conditionalFormatting>
  <conditionalFormatting sqref="F136:G1048576 G61:G135">
    <cfRule type="cellIs" dxfId="1265" priority="5370" operator="lessThan">
      <formula>0</formula>
    </cfRule>
  </conditionalFormatting>
  <conditionalFormatting sqref="F136:G1048576 G61:G135">
    <cfRule type="cellIs" dxfId="1264" priority="5369" operator="lessThan">
      <formula>0</formula>
    </cfRule>
  </conditionalFormatting>
  <conditionalFormatting sqref="F136:G1048576 G61:G135">
    <cfRule type="cellIs" dxfId="1263" priority="5368" operator="lessThan">
      <formula>0</formula>
    </cfRule>
  </conditionalFormatting>
  <conditionalFormatting sqref="F136:G1048576 G61:G135">
    <cfRule type="cellIs" dxfId="1262" priority="5367" operator="lessThan">
      <formula>0</formula>
    </cfRule>
  </conditionalFormatting>
  <conditionalFormatting sqref="F136:G1048576 G61:G135">
    <cfRule type="cellIs" dxfId="1261" priority="5366" operator="lessThan">
      <formula>0</formula>
    </cfRule>
  </conditionalFormatting>
  <conditionalFormatting sqref="F136:G1048576 G61:G135">
    <cfRule type="cellIs" dxfId="1260" priority="5365" operator="lessThan">
      <formula>0</formula>
    </cfRule>
  </conditionalFormatting>
  <conditionalFormatting sqref="F136:G1048576 G61:G135">
    <cfRule type="cellIs" dxfId="1259" priority="5364" operator="lessThan">
      <formula>0</formula>
    </cfRule>
  </conditionalFormatting>
  <conditionalFormatting sqref="F136:G1048576 G61:G135">
    <cfRule type="cellIs" dxfId="1258" priority="5363" operator="lessThan">
      <formula>0</formula>
    </cfRule>
  </conditionalFormatting>
  <conditionalFormatting sqref="F136:G1048576 G61:G135">
    <cfRule type="cellIs" dxfId="1257" priority="5362" operator="lessThan">
      <formula>0</formula>
    </cfRule>
  </conditionalFormatting>
  <conditionalFormatting sqref="F136:G1048576 G61:G135">
    <cfRule type="cellIs" dxfId="1256" priority="5361" operator="lessThan">
      <formula>0</formula>
    </cfRule>
  </conditionalFormatting>
  <conditionalFormatting sqref="F136:G1048576 G61:G135">
    <cfRule type="cellIs" dxfId="1255" priority="5360" operator="lessThan">
      <formula>0</formula>
    </cfRule>
  </conditionalFormatting>
  <conditionalFormatting sqref="F136:G1048576 G61:G135">
    <cfRule type="cellIs" dxfId="1254" priority="5359" operator="lessThan">
      <formula>0</formula>
    </cfRule>
  </conditionalFormatting>
  <conditionalFormatting sqref="F136:G1048576 G61:G135">
    <cfRule type="cellIs" dxfId="1253" priority="5358" operator="lessThan">
      <formula>0</formula>
    </cfRule>
  </conditionalFormatting>
  <conditionalFormatting sqref="F136:G1048576 G61:G135">
    <cfRule type="cellIs" dxfId="1252" priority="5357" operator="lessThan">
      <formula>0</formula>
    </cfRule>
  </conditionalFormatting>
  <conditionalFormatting sqref="F136:G1048576 G61:G135">
    <cfRule type="cellIs" dxfId="1251" priority="5356" operator="lessThan">
      <formula>0</formula>
    </cfRule>
  </conditionalFormatting>
  <conditionalFormatting sqref="F136:G1048576 G61:G135">
    <cfRule type="cellIs" dxfId="1250" priority="5355" operator="lessThan">
      <formula>0</formula>
    </cfRule>
  </conditionalFormatting>
  <conditionalFormatting sqref="F136:G1048576 G61:G135">
    <cfRule type="cellIs" dxfId="1249" priority="5354" operator="lessThan">
      <formula>0</formula>
    </cfRule>
  </conditionalFormatting>
  <conditionalFormatting sqref="F136:G1048576 G61:G135">
    <cfRule type="cellIs" dxfId="1248" priority="5353" operator="lessThan">
      <formula>0</formula>
    </cfRule>
  </conditionalFormatting>
  <conditionalFormatting sqref="F136:G1048576 G61:G135">
    <cfRule type="cellIs" dxfId="1247" priority="5352" operator="lessThan">
      <formula>0</formula>
    </cfRule>
  </conditionalFormatting>
  <conditionalFormatting sqref="F136:G1048576 G61:G135">
    <cfRule type="cellIs" dxfId="1246" priority="5351" operator="lessThan">
      <formula>0</formula>
    </cfRule>
  </conditionalFormatting>
  <conditionalFormatting sqref="F136:G1048576 G61:G135">
    <cfRule type="cellIs" dxfId="1245" priority="5350" operator="lessThan">
      <formula>0</formula>
    </cfRule>
  </conditionalFormatting>
  <conditionalFormatting sqref="F136:G1048576 G61:G135">
    <cfRule type="cellIs" dxfId="1244" priority="5349" operator="lessThan">
      <formula>0</formula>
    </cfRule>
  </conditionalFormatting>
  <conditionalFormatting sqref="F136:G1048576 G61:G135">
    <cfRule type="cellIs" dxfId="1243" priority="5348" operator="lessThan">
      <formula>0</formula>
    </cfRule>
  </conditionalFormatting>
  <conditionalFormatting sqref="F136:G1048576 G61:G135">
    <cfRule type="cellIs" dxfId="1242" priority="5347" operator="lessThan">
      <formula>0</formula>
    </cfRule>
  </conditionalFormatting>
  <conditionalFormatting sqref="F136:G1048576 G61:G135">
    <cfRule type="cellIs" dxfId="1241" priority="5346" operator="lessThan">
      <formula>0</formula>
    </cfRule>
  </conditionalFormatting>
  <conditionalFormatting sqref="F136:G1048576 G61:G135">
    <cfRule type="cellIs" dxfId="1240" priority="5345" operator="lessThan">
      <formula>0</formula>
    </cfRule>
  </conditionalFormatting>
  <conditionalFormatting sqref="G42">
    <cfRule type="cellIs" dxfId="1239" priority="4642" operator="lessThan">
      <formula>0</formula>
    </cfRule>
  </conditionalFormatting>
  <conditionalFormatting sqref="G42">
    <cfRule type="cellIs" dxfId="1238" priority="4641" operator="lessThan">
      <formula>0</formula>
    </cfRule>
  </conditionalFormatting>
  <conditionalFormatting sqref="G42">
    <cfRule type="cellIs" dxfId="1237" priority="4640" operator="lessThan">
      <formula>0</formula>
    </cfRule>
  </conditionalFormatting>
  <conditionalFormatting sqref="G42">
    <cfRule type="cellIs" dxfId="1236" priority="4639" operator="lessThan">
      <formula>0</formula>
    </cfRule>
  </conditionalFormatting>
  <conditionalFormatting sqref="G42">
    <cfRule type="cellIs" dxfId="1235" priority="4638" operator="lessThan">
      <formula>0</formula>
    </cfRule>
  </conditionalFormatting>
  <conditionalFormatting sqref="G42">
    <cfRule type="cellIs" dxfId="1234" priority="4637" operator="lessThan">
      <formula>0</formula>
    </cfRule>
  </conditionalFormatting>
  <conditionalFormatting sqref="G42">
    <cfRule type="cellIs" dxfId="1233" priority="4636" operator="lessThan">
      <formula>0</formula>
    </cfRule>
  </conditionalFormatting>
  <conditionalFormatting sqref="G42">
    <cfRule type="cellIs" dxfId="1232" priority="4635" operator="lessThan">
      <formula>0</formula>
    </cfRule>
  </conditionalFormatting>
  <conditionalFormatting sqref="G42">
    <cfRule type="cellIs" dxfId="1231" priority="4634" operator="lessThan">
      <formula>0</formula>
    </cfRule>
  </conditionalFormatting>
  <conditionalFormatting sqref="G42">
    <cfRule type="cellIs" dxfId="1230" priority="4633" operator="lessThan">
      <formula>0</formula>
    </cfRule>
  </conditionalFormatting>
  <conditionalFormatting sqref="G42">
    <cfRule type="cellIs" dxfId="1229" priority="4632" operator="lessThan">
      <formula>0</formula>
    </cfRule>
  </conditionalFormatting>
  <conditionalFormatting sqref="G42">
    <cfRule type="cellIs" dxfId="1228" priority="4631" operator="lessThan">
      <formula>0</formula>
    </cfRule>
  </conditionalFormatting>
  <conditionalFormatting sqref="G42">
    <cfRule type="cellIs" dxfId="1227" priority="4630" operator="lessThan">
      <formula>0</formula>
    </cfRule>
  </conditionalFormatting>
  <conditionalFormatting sqref="G42">
    <cfRule type="cellIs" dxfId="1226" priority="4629" operator="lessThan">
      <formula>0</formula>
    </cfRule>
  </conditionalFormatting>
  <conditionalFormatting sqref="G42">
    <cfRule type="cellIs" dxfId="1225" priority="4628" operator="lessThan">
      <formula>0</formula>
    </cfRule>
  </conditionalFormatting>
  <conditionalFormatting sqref="G42">
    <cfRule type="cellIs" dxfId="1224" priority="4627" operator="lessThan">
      <formula>0</formula>
    </cfRule>
  </conditionalFormatting>
  <conditionalFormatting sqref="G42">
    <cfRule type="cellIs" dxfId="1223" priority="4626" operator="lessThan">
      <formula>0</formula>
    </cfRule>
  </conditionalFormatting>
  <conditionalFormatting sqref="G42">
    <cfRule type="cellIs" dxfId="1222" priority="4625" operator="lessThan">
      <formula>0</formula>
    </cfRule>
  </conditionalFormatting>
  <conditionalFormatting sqref="G42">
    <cfRule type="cellIs" dxfId="1221" priority="4624" operator="lessThan">
      <formula>0</formula>
    </cfRule>
  </conditionalFormatting>
  <conditionalFormatting pivot="1" sqref="F13:F46">
    <cfRule type="cellIs" dxfId="1220" priority="3569" operator="lessThan">
      <formula>0</formula>
    </cfRule>
  </conditionalFormatting>
  <conditionalFormatting sqref="H86:H1048576">
    <cfRule type="cellIs" dxfId="1219" priority="3365" operator="lessThan">
      <formula>0</formula>
    </cfRule>
  </conditionalFormatting>
  <conditionalFormatting sqref="H86:H1048576">
    <cfRule type="cellIs" dxfId="1218" priority="3364" operator="lessThan">
      <formula>0</formula>
    </cfRule>
  </conditionalFormatting>
  <conditionalFormatting sqref="H86:H1048576">
    <cfRule type="cellIs" dxfId="1217" priority="3363" operator="lessThan">
      <formula>0</formula>
    </cfRule>
  </conditionalFormatting>
  <conditionalFormatting sqref="H86:H1048576">
    <cfRule type="cellIs" dxfId="1216" priority="3362" operator="lessThan">
      <formula>0</formula>
    </cfRule>
  </conditionalFormatting>
  <conditionalFormatting sqref="H86:H1048576">
    <cfRule type="cellIs" dxfId="1215" priority="3361" operator="lessThan">
      <formula>0</formula>
    </cfRule>
  </conditionalFormatting>
  <conditionalFormatting sqref="H86:H1048576">
    <cfRule type="cellIs" dxfId="1214" priority="3360" operator="lessThan">
      <formula>0</formula>
    </cfRule>
  </conditionalFormatting>
  <conditionalFormatting sqref="H86:H1048576">
    <cfRule type="cellIs" dxfId="1213" priority="3359" operator="lessThan">
      <formula>0</formula>
    </cfRule>
  </conditionalFormatting>
  <conditionalFormatting sqref="H86:H1048576">
    <cfRule type="cellIs" dxfId="1212" priority="3358" operator="lessThan">
      <formula>0</formula>
    </cfRule>
  </conditionalFormatting>
  <conditionalFormatting sqref="H86:H1048576">
    <cfRule type="cellIs" dxfId="1211" priority="3357" operator="lessThan">
      <formula>0</formula>
    </cfRule>
  </conditionalFormatting>
  <conditionalFormatting sqref="H86:H1048576">
    <cfRule type="cellIs" dxfId="1210" priority="3356" operator="lessThan">
      <formula>0</formula>
    </cfRule>
  </conditionalFormatting>
  <conditionalFormatting sqref="H86:H1048576">
    <cfRule type="cellIs" dxfId="1209" priority="3355" operator="lessThan">
      <formula>0</formula>
    </cfRule>
  </conditionalFormatting>
  <conditionalFormatting sqref="H86:H1048576">
    <cfRule type="cellIs" dxfId="1208" priority="3354" operator="lessThan">
      <formula>0</formula>
    </cfRule>
  </conditionalFormatting>
  <conditionalFormatting sqref="H86:H1048576">
    <cfRule type="cellIs" dxfId="1207" priority="3353" operator="lessThan">
      <formula>0</formula>
    </cfRule>
  </conditionalFormatting>
  <conditionalFormatting sqref="H86:H1048576">
    <cfRule type="cellIs" dxfId="1206" priority="3352" operator="lessThan">
      <formula>0</formula>
    </cfRule>
  </conditionalFormatting>
  <conditionalFormatting sqref="H86:H1048576">
    <cfRule type="cellIs" dxfId="1205" priority="3351" operator="lessThan">
      <formula>0</formula>
    </cfRule>
  </conditionalFormatting>
  <conditionalFormatting sqref="H86:H1048576">
    <cfRule type="cellIs" dxfId="1204" priority="3350" operator="lessThan">
      <formula>0</formula>
    </cfRule>
  </conditionalFormatting>
  <conditionalFormatting sqref="H86:H1048576">
    <cfRule type="cellIs" dxfId="1203" priority="3349" operator="lessThan">
      <formula>0</formula>
    </cfRule>
  </conditionalFormatting>
  <conditionalFormatting sqref="H86:H1048576">
    <cfRule type="cellIs" dxfId="1202" priority="3348" operator="lessThan">
      <formula>0</formula>
    </cfRule>
  </conditionalFormatting>
  <conditionalFormatting sqref="H86:H1048576">
    <cfRule type="cellIs" dxfId="1201" priority="3347" operator="lessThan">
      <formula>0</formula>
    </cfRule>
  </conditionalFormatting>
  <conditionalFormatting sqref="H86:H1048576">
    <cfRule type="cellIs" dxfId="1200" priority="3346" operator="lessThan">
      <formula>0</formula>
    </cfRule>
  </conditionalFormatting>
  <conditionalFormatting sqref="H86:H1048576">
    <cfRule type="cellIs" dxfId="1199" priority="3345" operator="lessThan">
      <formula>0</formula>
    </cfRule>
  </conditionalFormatting>
  <conditionalFormatting sqref="H86:H1048576">
    <cfRule type="cellIs" dxfId="1198" priority="3344" operator="lessThan">
      <formula>0</formula>
    </cfRule>
  </conditionalFormatting>
  <conditionalFormatting sqref="H86:H1048576">
    <cfRule type="cellIs" dxfId="1197" priority="3343" operator="lessThan">
      <formula>0</formula>
    </cfRule>
  </conditionalFormatting>
  <conditionalFormatting sqref="H86:H1048576">
    <cfRule type="cellIs" dxfId="1196" priority="3342" operator="lessThan">
      <formula>0</formula>
    </cfRule>
  </conditionalFormatting>
  <conditionalFormatting sqref="H86:H1048576">
    <cfRule type="cellIs" dxfId="1195" priority="3341" operator="lessThan">
      <formula>0</formula>
    </cfRule>
  </conditionalFormatting>
  <conditionalFormatting sqref="H86:H1048576">
    <cfRule type="cellIs" dxfId="1194" priority="3340" operator="lessThan">
      <formula>0</formula>
    </cfRule>
  </conditionalFormatting>
  <conditionalFormatting sqref="H86:H1048576">
    <cfRule type="cellIs" dxfId="1193" priority="3339" operator="lessThan">
      <formula>0</formula>
    </cfRule>
  </conditionalFormatting>
  <conditionalFormatting sqref="H86:H1048576">
    <cfRule type="cellIs" dxfId="1192" priority="3338" operator="lessThan">
      <formula>0</formula>
    </cfRule>
  </conditionalFormatting>
  <conditionalFormatting sqref="H86:H1048576">
    <cfRule type="cellIs" dxfId="1191" priority="3337" operator="lessThan">
      <formula>0</formula>
    </cfRule>
  </conditionalFormatting>
  <conditionalFormatting sqref="H86:H1048576">
    <cfRule type="cellIs" dxfId="1190" priority="3336" operator="lessThan">
      <formula>0</formula>
    </cfRule>
  </conditionalFormatting>
  <conditionalFormatting sqref="H86:H1048576">
    <cfRule type="cellIs" dxfId="1189" priority="3335" operator="lessThan">
      <formula>0</formula>
    </cfRule>
  </conditionalFormatting>
  <conditionalFormatting sqref="H86:H1048576">
    <cfRule type="cellIs" dxfId="1188" priority="3334" operator="lessThan">
      <formula>0</formula>
    </cfRule>
  </conditionalFormatting>
  <conditionalFormatting sqref="H86:H1048576">
    <cfRule type="cellIs" dxfId="1187" priority="3333" operator="lessThan">
      <formula>0</formula>
    </cfRule>
  </conditionalFormatting>
  <conditionalFormatting sqref="H86:H1048576">
    <cfRule type="cellIs" dxfId="1186" priority="3332" operator="lessThan">
      <formula>0</formula>
    </cfRule>
  </conditionalFormatting>
  <conditionalFormatting sqref="H86:H1048576">
    <cfRule type="cellIs" dxfId="1185" priority="3331" operator="lessThan">
      <formula>0</formula>
    </cfRule>
  </conditionalFormatting>
  <conditionalFormatting sqref="H86:H1048576">
    <cfRule type="cellIs" dxfId="1184" priority="3330" operator="lessThan">
      <formula>0</formula>
    </cfRule>
  </conditionalFormatting>
  <conditionalFormatting sqref="H86:H1048576">
    <cfRule type="cellIs" dxfId="1183" priority="3329" operator="lessThan">
      <formula>0</formula>
    </cfRule>
  </conditionalFormatting>
  <conditionalFormatting sqref="H86:H1048576">
    <cfRule type="cellIs" dxfId="1182" priority="3328" operator="lessThan">
      <formula>0</formula>
    </cfRule>
  </conditionalFormatting>
  <conditionalFormatting sqref="H86:H1048576">
    <cfRule type="cellIs" dxfId="1181" priority="3327" operator="lessThan">
      <formula>0</formula>
    </cfRule>
  </conditionalFormatting>
  <conditionalFormatting sqref="H86:H1048576">
    <cfRule type="cellIs" dxfId="1180" priority="3326" operator="lessThan">
      <formula>0</formula>
    </cfRule>
  </conditionalFormatting>
  <conditionalFormatting sqref="H86:H1048576">
    <cfRule type="cellIs" dxfId="1179" priority="3325" operator="lessThan">
      <formula>0</formula>
    </cfRule>
  </conditionalFormatting>
  <conditionalFormatting sqref="H86:H1048576">
    <cfRule type="cellIs" dxfId="1178" priority="3324" operator="lessThan">
      <formula>0</formula>
    </cfRule>
  </conditionalFormatting>
  <conditionalFormatting sqref="H86:H1048576">
    <cfRule type="cellIs" dxfId="1177" priority="3323" operator="lessThan">
      <formula>0</formula>
    </cfRule>
  </conditionalFormatting>
  <conditionalFormatting sqref="H86:H1048576">
    <cfRule type="cellIs" dxfId="1176" priority="3322" operator="lessThan">
      <formula>0</formula>
    </cfRule>
  </conditionalFormatting>
  <conditionalFormatting sqref="H86:H1048576">
    <cfRule type="cellIs" dxfId="1175" priority="3321" operator="lessThan">
      <formula>0</formula>
    </cfRule>
  </conditionalFormatting>
  <conditionalFormatting sqref="H86:H1048576">
    <cfRule type="cellIs" dxfId="1174" priority="3320" operator="lessThan">
      <formula>0</formula>
    </cfRule>
  </conditionalFormatting>
  <conditionalFormatting sqref="H86:H1048576">
    <cfRule type="cellIs" dxfId="1173" priority="3319" operator="lessThan">
      <formula>0</formula>
    </cfRule>
  </conditionalFormatting>
  <conditionalFormatting sqref="H86:H1048576">
    <cfRule type="cellIs" dxfId="1172" priority="3318" operator="lessThan">
      <formula>0</formula>
    </cfRule>
  </conditionalFormatting>
  <conditionalFormatting sqref="H86:H1048576">
    <cfRule type="cellIs" dxfId="1171" priority="3317" operator="lessThan">
      <formula>0</formula>
    </cfRule>
  </conditionalFormatting>
  <conditionalFormatting sqref="H86:H1048576">
    <cfRule type="cellIs" dxfId="1170" priority="3316" operator="lessThan">
      <formula>0</formula>
    </cfRule>
  </conditionalFormatting>
  <conditionalFormatting sqref="H86:H1048576">
    <cfRule type="cellIs" dxfId="1169" priority="3315" operator="lessThan">
      <formula>0</formula>
    </cfRule>
  </conditionalFormatting>
  <conditionalFormatting sqref="H86:H1048576">
    <cfRule type="cellIs" dxfId="1168" priority="3314" operator="lessThan">
      <formula>0</formula>
    </cfRule>
  </conditionalFormatting>
  <conditionalFormatting sqref="H86:H1048576">
    <cfRule type="cellIs" dxfId="1167" priority="3313" operator="lessThan">
      <formula>0</formula>
    </cfRule>
  </conditionalFormatting>
  <conditionalFormatting sqref="H86:H1048576">
    <cfRule type="cellIs" dxfId="1166" priority="3312" operator="lessThan">
      <formula>0</formula>
    </cfRule>
  </conditionalFormatting>
  <conditionalFormatting sqref="H86:H1048576">
    <cfRule type="cellIs" dxfId="1165" priority="3311" operator="lessThan">
      <formula>0</formula>
    </cfRule>
  </conditionalFormatting>
  <conditionalFormatting sqref="H86:H1048576">
    <cfRule type="cellIs" dxfId="1164" priority="3310" operator="lessThan">
      <formula>0</formula>
    </cfRule>
  </conditionalFormatting>
  <conditionalFormatting sqref="H86:H1048576">
    <cfRule type="cellIs" dxfId="1163" priority="3309" operator="lessThan">
      <formula>0</formula>
    </cfRule>
  </conditionalFormatting>
  <conditionalFormatting sqref="H86:H1048576">
    <cfRule type="cellIs" dxfId="1162" priority="3308" operator="lessThan">
      <formula>0</formula>
    </cfRule>
  </conditionalFormatting>
  <conditionalFormatting sqref="H86:H1048576">
    <cfRule type="cellIs" dxfId="1161" priority="3307" operator="lessThan">
      <formula>0</formula>
    </cfRule>
  </conditionalFormatting>
  <conditionalFormatting sqref="H86:H1048576">
    <cfRule type="cellIs" dxfId="1160" priority="3306" operator="lessThan">
      <formula>0</formula>
    </cfRule>
  </conditionalFormatting>
  <conditionalFormatting sqref="H86:H1048576">
    <cfRule type="cellIs" dxfId="1159" priority="3305" operator="lessThan">
      <formula>0</formula>
    </cfRule>
  </conditionalFormatting>
  <conditionalFormatting sqref="H86:H1048576">
    <cfRule type="cellIs" dxfId="1158" priority="3304" operator="lessThan">
      <formula>0</formula>
    </cfRule>
  </conditionalFormatting>
  <conditionalFormatting sqref="H86:H1048576">
    <cfRule type="cellIs" dxfId="1157" priority="3303" operator="lessThan">
      <formula>0</formula>
    </cfRule>
  </conditionalFormatting>
  <conditionalFormatting sqref="H86:H1048576">
    <cfRule type="cellIs" dxfId="1156" priority="3302" operator="lessThan">
      <formula>0</formula>
    </cfRule>
  </conditionalFormatting>
  <conditionalFormatting sqref="H86:H1048576">
    <cfRule type="cellIs" dxfId="1155" priority="3301" operator="lessThan">
      <formula>0</formula>
    </cfRule>
  </conditionalFormatting>
  <conditionalFormatting sqref="H86:H1048576">
    <cfRule type="cellIs" dxfId="1154" priority="3300" operator="lessThan">
      <formula>0</formula>
    </cfRule>
  </conditionalFormatting>
  <conditionalFormatting sqref="H86:H1048576">
    <cfRule type="cellIs" dxfId="1153" priority="3299" operator="lessThan">
      <formula>0</formula>
    </cfRule>
  </conditionalFormatting>
  <conditionalFormatting sqref="H86:H1048576">
    <cfRule type="cellIs" dxfId="1152" priority="3298" operator="lessThan">
      <formula>0</formula>
    </cfRule>
  </conditionalFormatting>
  <conditionalFormatting sqref="H86:H1048576">
    <cfRule type="cellIs" dxfId="1151" priority="3297" operator="lessThan">
      <formula>0</formula>
    </cfRule>
  </conditionalFormatting>
  <conditionalFormatting sqref="H86:H1048576">
    <cfRule type="cellIs" dxfId="1150" priority="3296" operator="lessThan">
      <formula>0</formula>
    </cfRule>
  </conditionalFormatting>
  <conditionalFormatting sqref="H86:H1048576">
    <cfRule type="cellIs" dxfId="1149" priority="3295" operator="lessThan">
      <formula>0</formula>
    </cfRule>
  </conditionalFormatting>
  <conditionalFormatting sqref="H86:H1048576">
    <cfRule type="cellIs" dxfId="1148" priority="3294" operator="lessThan">
      <formula>0</formula>
    </cfRule>
  </conditionalFormatting>
  <conditionalFormatting sqref="H86:H1048576">
    <cfRule type="cellIs" dxfId="1147" priority="3293" operator="lessThan">
      <formula>0</formula>
    </cfRule>
  </conditionalFormatting>
  <conditionalFormatting sqref="H86:H1048576">
    <cfRule type="cellIs" dxfId="1146" priority="3292" operator="lessThan">
      <formula>0</formula>
    </cfRule>
  </conditionalFormatting>
  <conditionalFormatting sqref="H86:H1048576">
    <cfRule type="cellIs" dxfId="1145" priority="3291" operator="lessThan">
      <formula>0</formula>
    </cfRule>
  </conditionalFormatting>
  <conditionalFormatting sqref="H86:H1048576">
    <cfRule type="cellIs" dxfId="1144" priority="3290" operator="lessThan">
      <formula>0</formula>
    </cfRule>
  </conditionalFormatting>
  <conditionalFormatting sqref="H86:H1048576">
    <cfRule type="cellIs" dxfId="1143" priority="3289" operator="lessThan">
      <formula>0</formula>
    </cfRule>
  </conditionalFormatting>
  <conditionalFormatting sqref="H86:H1048576">
    <cfRule type="cellIs" dxfId="1142" priority="3288" operator="lessThan">
      <formula>0</formula>
    </cfRule>
  </conditionalFormatting>
  <conditionalFormatting sqref="H86:H1048576">
    <cfRule type="cellIs" dxfId="1141" priority="3287" operator="lessThan">
      <formula>0</formula>
    </cfRule>
  </conditionalFormatting>
  <conditionalFormatting sqref="H86:H1048576">
    <cfRule type="cellIs" dxfId="1140" priority="3286" operator="lessThan">
      <formula>0</formula>
    </cfRule>
  </conditionalFormatting>
  <conditionalFormatting sqref="H86:H1048576">
    <cfRule type="cellIs" dxfId="1139" priority="3285" operator="lessThan">
      <formula>0</formula>
    </cfRule>
  </conditionalFormatting>
  <conditionalFormatting sqref="H86:H1048576">
    <cfRule type="cellIs" dxfId="1138" priority="3284" operator="lessThan">
      <formula>0</formula>
    </cfRule>
  </conditionalFormatting>
  <conditionalFormatting sqref="H86:H1048576">
    <cfRule type="cellIs" dxfId="1137" priority="3283" operator="lessThan">
      <formula>0</formula>
    </cfRule>
  </conditionalFormatting>
  <conditionalFormatting sqref="H86:H1048576">
    <cfRule type="cellIs" dxfId="1136" priority="3282" operator="lessThan">
      <formula>0</formula>
    </cfRule>
  </conditionalFormatting>
  <conditionalFormatting sqref="H86:H1048576">
    <cfRule type="cellIs" dxfId="1135" priority="3281" operator="lessThan">
      <formula>0</formula>
    </cfRule>
  </conditionalFormatting>
  <conditionalFormatting sqref="H86:H1048576">
    <cfRule type="cellIs" dxfId="1134" priority="3280" operator="lessThan">
      <formula>0</formula>
    </cfRule>
  </conditionalFormatting>
  <conditionalFormatting sqref="H86:H1048576">
    <cfRule type="cellIs" dxfId="1133" priority="3279" operator="lessThan">
      <formula>0</formula>
    </cfRule>
  </conditionalFormatting>
  <conditionalFormatting sqref="H86:H1048576">
    <cfRule type="cellIs" dxfId="1132" priority="3278" operator="lessThan">
      <formula>0</formula>
    </cfRule>
  </conditionalFormatting>
  <conditionalFormatting sqref="H86:H1048576">
    <cfRule type="cellIs" dxfId="1131" priority="3277" operator="lessThan">
      <formula>0</formula>
    </cfRule>
  </conditionalFormatting>
  <conditionalFormatting sqref="H86:H1048576">
    <cfRule type="cellIs" dxfId="1130" priority="3276" operator="lessThan">
      <formula>0</formula>
    </cfRule>
  </conditionalFormatting>
  <conditionalFormatting sqref="H86:H1048576">
    <cfRule type="cellIs" dxfId="1129" priority="3275" operator="lessThan">
      <formula>0</formula>
    </cfRule>
  </conditionalFormatting>
  <conditionalFormatting sqref="H86:H1048576">
    <cfRule type="cellIs" dxfId="1128" priority="3274" operator="lessThan">
      <formula>0</formula>
    </cfRule>
  </conditionalFormatting>
  <conditionalFormatting sqref="H86:H1048576">
    <cfRule type="cellIs" dxfId="1127" priority="3273" operator="lessThan">
      <formula>0</formula>
    </cfRule>
  </conditionalFormatting>
  <conditionalFormatting sqref="H86:H1048576">
    <cfRule type="cellIs" dxfId="1126" priority="3272" operator="lessThan">
      <formula>0</formula>
    </cfRule>
  </conditionalFormatting>
  <conditionalFormatting sqref="H86:H1048576">
    <cfRule type="cellIs" dxfId="1125" priority="3271" operator="lessThan">
      <formula>0</formula>
    </cfRule>
  </conditionalFormatting>
  <conditionalFormatting sqref="H86:H1048576">
    <cfRule type="cellIs" dxfId="1124" priority="3270" operator="lessThan">
      <formula>0</formula>
    </cfRule>
  </conditionalFormatting>
  <conditionalFormatting sqref="H86:H1048576">
    <cfRule type="cellIs" dxfId="1123" priority="3269" operator="lessThan">
      <formula>0</formula>
    </cfRule>
  </conditionalFormatting>
  <conditionalFormatting sqref="H86:H1048576">
    <cfRule type="cellIs" dxfId="1122" priority="3268" operator="lessThan">
      <formula>0</formula>
    </cfRule>
  </conditionalFormatting>
  <conditionalFormatting sqref="H86:H1048576">
    <cfRule type="cellIs" dxfId="1121" priority="3267" operator="lessThan">
      <formula>0</formula>
    </cfRule>
  </conditionalFormatting>
  <conditionalFormatting sqref="H86:H1048576">
    <cfRule type="cellIs" dxfId="1120" priority="3266" operator="lessThan">
      <formula>0</formula>
    </cfRule>
  </conditionalFormatting>
  <conditionalFormatting sqref="H86:H1048576">
    <cfRule type="cellIs" dxfId="1119" priority="3265" operator="lessThan">
      <formula>0</formula>
    </cfRule>
  </conditionalFormatting>
  <conditionalFormatting sqref="H86:H1048576">
    <cfRule type="cellIs" dxfId="1118" priority="3264" operator="lessThan">
      <formula>0</formula>
    </cfRule>
  </conditionalFormatting>
  <conditionalFormatting sqref="H86:H1048576">
    <cfRule type="cellIs" dxfId="1117" priority="3263" operator="lessThan">
      <formula>0</formula>
    </cfRule>
  </conditionalFormatting>
  <conditionalFormatting sqref="H86:H1048576">
    <cfRule type="cellIs" dxfId="1116" priority="3262" operator="lessThan">
      <formula>0</formula>
    </cfRule>
  </conditionalFormatting>
  <conditionalFormatting sqref="H86:H1048576">
    <cfRule type="cellIs" dxfId="1115" priority="3261" operator="lessThan">
      <formula>0</formula>
    </cfRule>
  </conditionalFormatting>
  <conditionalFormatting sqref="H86:H1048576">
    <cfRule type="cellIs" dxfId="1114" priority="3260" operator="lessThan">
      <formula>0</formula>
    </cfRule>
  </conditionalFormatting>
  <conditionalFormatting sqref="H86:H1048576">
    <cfRule type="cellIs" dxfId="1113" priority="3259" operator="lessThan">
      <formula>0</formula>
    </cfRule>
  </conditionalFormatting>
  <conditionalFormatting sqref="H86:H1048576">
    <cfRule type="cellIs" dxfId="1112" priority="3258" operator="lessThan">
      <formula>0</formula>
    </cfRule>
  </conditionalFormatting>
  <conditionalFormatting sqref="H86:H1048576">
    <cfRule type="cellIs" dxfId="1111" priority="3257" operator="lessThan">
      <formula>0</formula>
    </cfRule>
  </conditionalFormatting>
  <conditionalFormatting sqref="H86:H1048576">
    <cfRule type="cellIs" dxfId="1110" priority="3256" operator="lessThan">
      <formula>0</formula>
    </cfRule>
  </conditionalFormatting>
  <conditionalFormatting sqref="H86:H1048576">
    <cfRule type="cellIs" dxfId="1109" priority="3255" operator="lessThan">
      <formula>0</formula>
    </cfRule>
  </conditionalFormatting>
  <conditionalFormatting sqref="H86:H1048576">
    <cfRule type="cellIs" dxfId="1108" priority="3254" operator="lessThan">
      <formula>0</formula>
    </cfRule>
  </conditionalFormatting>
  <conditionalFormatting sqref="H86:H1048576">
    <cfRule type="cellIs" dxfId="1107" priority="3253" operator="lessThan">
      <formula>0</formula>
    </cfRule>
  </conditionalFormatting>
  <conditionalFormatting sqref="H86:H1048576">
    <cfRule type="cellIs" dxfId="1106" priority="3252" operator="lessThan">
      <formula>0</formula>
    </cfRule>
  </conditionalFormatting>
  <conditionalFormatting sqref="H86:H1048576">
    <cfRule type="cellIs" dxfId="1105" priority="3251" operator="lessThan">
      <formula>0</formula>
    </cfRule>
  </conditionalFormatting>
  <conditionalFormatting sqref="H86:H1048576">
    <cfRule type="cellIs" dxfId="1104" priority="3250" operator="lessThan">
      <formula>0</formula>
    </cfRule>
  </conditionalFormatting>
  <conditionalFormatting sqref="H86:H1048576">
    <cfRule type="cellIs" dxfId="1103" priority="3249" operator="lessThan">
      <formula>0</formula>
    </cfRule>
  </conditionalFormatting>
  <conditionalFormatting sqref="H86:H1048576">
    <cfRule type="cellIs" dxfId="1102" priority="3248" operator="lessThan">
      <formula>0</formula>
    </cfRule>
  </conditionalFormatting>
  <conditionalFormatting sqref="H86:H1048576">
    <cfRule type="cellIs" dxfId="1101" priority="3247" operator="lessThan">
      <formula>0</formula>
    </cfRule>
  </conditionalFormatting>
  <conditionalFormatting sqref="H86:H1048576">
    <cfRule type="cellIs" dxfId="1100" priority="3246" operator="lessThan">
      <formula>0</formula>
    </cfRule>
  </conditionalFormatting>
  <conditionalFormatting sqref="H86:H1048576">
    <cfRule type="cellIs" dxfId="1099" priority="3245" operator="lessThan">
      <formula>0</formula>
    </cfRule>
  </conditionalFormatting>
  <conditionalFormatting sqref="H86:H1048576">
    <cfRule type="cellIs" dxfId="1098" priority="3244" operator="lessThan">
      <formula>0</formula>
    </cfRule>
  </conditionalFormatting>
  <conditionalFormatting sqref="H86:H1048576">
    <cfRule type="cellIs" dxfId="1097" priority="3243" operator="lessThan">
      <formula>0</formula>
    </cfRule>
  </conditionalFormatting>
  <conditionalFormatting sqref="H86:H1048576">
    <cfRule type="cellIs" dxfId="1096" priority="3242" operator="lessThan">
      <formula>0</formula>
    </cfRule>
  </conditionalFormatting>
  <conditionalFormatting sqref="H86:H1048576">
    <cfRule type="cellIs" dxfId="1095" priority="3241" operator="lessThan">
      <formula>0</formula>
    </cfRule>
  </conditionalFormatting>
  <conditionalFormatting sqref="H86:H1048576">
    <cfRule type="cellIs" dxfId="1094" priority="3240" operator="lessThan">
      <formula>0</formula>
    </cfRule>
  </conditionalFormatting>
  <conditionalFormatting sqref="H86:H1048576">
    <cfRule type="cellIs" dxfId="1093" priority="3239" operator="lessThan">
      <formula>0</formula>
    </cfRule>
  </conditionalFormatting>
  <conditionalFormatting sqref="H86:H1048576">
    <cfRule type="cellIs" dxfId="1092" priority="3238" operator="lessThan">
      <formula>0</formula>
    </cfRule>
  </conditionalFormatting>
  <conditionalFormatting sqref="H86:H1048576">
    <cfRule type="cellIs" dxfId="1091" priority="3237" operator="lessThan">
      <formula>0</formula>
    </cfRule>
  </conditionalFormatting>
  <conditionalFormatting sqref="H86:H1048576">
    <cfRule type="cellIs" dxfId="1090" priority="3236" operator="lessThan">
      <formula>0</formula>
    </cfRule>
  </conditionalFormatting>
  <conditionalFormatting sqref="H86:H1048576">
    <cfRule type="cellIs" dxfId="1089" priority="3235" operator="lessThan">
      <formula>0</formula>
    </cfRule>
  </conditionalFormatting>
  <conditionalFormatting sqref="H86:H1048576">
    <cfRule type="cellIs" dxfId="1088" priority="3234" operator="lessThan">
      <formula>0</formula>
    </cfRule>
  </conditionalFormatting>
  <conditionalFormatting sqref="H86:H1048576">
    <cfRule type="cellIs" dxfId="1087" priority="3233" operator="lessThan">
      <formula>0</formula>
    </cfRule>
  </conditionalFormatting>
  <conditionalFormatting sqref="H86:H1048576">
    <cfRule type="cellIs" dxfId="1086" priority="3232" operator="lessThan">
      <formula>0</formula>
    </cfRule>
  </conditionalFormatting>
  <conditionalFormatting sqref="H86:H1048576">
    <cfRule type="cellIs" dxfId="1085" priority="3231" operator="lessThan">
      <formula>0</formula>
    </cfRule>
  </conditionalFormatting>
  <conditionalFormatting sqref="H86:H1048576">
    <cfRule type="cellIs" dxfId="1084" priority="3230" operator="lessThan">
      <formula>0</formula>
    </cfRule>
  </conditionalFormatting>
  <conditionalFormatting sqref="H86:H1048576">
    <cfRule type="cellIs" dxfId="1083" priority="3229" operator="lessThan">
      <formula>0</formula>
    </cfRule>
  </conditionalFormatting>
  <conditionalFormatting sqref="H86:H1048576">
    <cfRule type="cellIs" dxfId="1082" priority="3228" operator="lessThan">
      <formula>0</formula>
    </cfRule>
  </conditionalFormatting>
  <conditionalFormatting sqref="H86:H1048576">
    <cfRule type="cellIs" dxfId="1081" priority="3227" operator="lessThan">
      <formula>0</formula>
    </cfRule>
  </conditionalFormatting>
  <conditionalFormatting sqref="H86:H1048576">
    <cfRule type="cellIs" dxfId="1080" priority="3226" operator="lessThan">
      <formula>0</formula>
    </cfRule>
  </conditionalFormatting>
  <conditionalFormatting sqref="H86:H1048576">
    <cfRule type="cellIs" dxfId="1079" priority="3225" operator="lessThan">
      <formula>0</formula>
    </cfRule>
  </conditionalFormatting>
  <conditionalFormatting sqref="H86:H1048576">
    <cfRule type="cellIs" dxfId="1078" priority="3224" operator="lessThan">
      <formula>0</formula>
    </cfRule>
  </conditionalFormatting>
  <conditionalFormatting sqref="H86:H1048576">
    <cfRule type="cellIs" dxfId="1077" priority="3223" operator="lessThan">
      <formula>0</formula>
    </cfRule>
  </conditionalFormatting>
  <conditionalFormatting sqref="H86:H1048576">
    <cfRule type="cellIs" dxfId="1076" priority="3222" operator="lessThan">
      <formula>0</formula>
    </cfRule>
  </conditionalFormatting>
  <conditionalFormatting sqref="H86:H1048576">
    <cfRule type="cellIs" dxfId="1075" priority="3221" operator="lessThan">
      <formula>0</formula>
    </cfRule>
  </conditionalFormatting>
  <conditionalFormatting sqref="H86:H1048576">
    <cfRule type="cellIs" dxfId="1074" priority="3220" operator="lessThan">
      <formula>0</formula>
    </cfRule>
  </conditionalFormatting>
  <conditionalFormatting sqref="H86:H1048576">
    <cfRule type="cellIs" dxfId="1073" priority="3219" operator="lessThan">
      <formula>0</formula>
    </cfRule>
  </conditionalFormatting>
  <conditionalFormatting sqref="H86:H1048576">
    <cfRule type="cellIs" dxfId="1072" priority="3218" operator="lessThan">
      <formula>0</formula>
    </cfRule>
  </conditionalFormatting>
  <conditionalFormatting sqref="H86:H1048576">
    <cfRule type="cellIs" dxfId="1071" priority="3217" operator="lessThan">
      <formula>0</formula>
    </cfRule>
  </conditionalFormatting>
  <conditionalFormatting sqref="H86:H1048576">
    <cfRule type="cellIs" dxfId="1070" priority="3216" operator="lessThan">
      <formula>0</formula>
    </cfRule>
  </conditionalFormatting>
  <conditionalFormatting sqref="H86:H1048576">
    <cfRule type="cellIs" dxfId="1069" priority="3215" operator="lessThan">
      <formula>0</formula>
    </cfRule>
  </conditionalFormatting>
  <conditionalFormatting sqref="H86:H1048576">
    <cfRule type="cellIs" dxfId="1068" priority="3214" operator="lessThan">
      <formula>0</formula>
    </cfRule>
  </conditionalFormatting>
  <conditionalFormatting sqref="H86:H1048576">
    <cfRule type="cellIs" dxfId="1067" priority="3213" operator="lessThan">
      <formula>0</formula>
    </cfRule>
  </conditionalFormatting>
  <conditionalFormatting sqref="H86:H1048576">
    <cfRule type="cellIs" dxfId="1066" priority="3212" operator="lessThan">
      <formula>0</formula>
    </cfRule>
  </conditionalFormatting>
  <conditionalFormatting sqref="H86:H1048576">
    <cfRule type="cellIs" dxfId="1065" priority="3211" operator="lessThan">
      <formula>0</formula>
    </cfRule>
  </conditionalFormatting>
  <conditionalFormatting sqref="H86:H1048576">
    <cfRule type="cellIs" dxfId="1064" priority="3210" operator="lessThan">
      <formula>0</formula>
    </cfRule>
  </conditionalFormatting>
  <conditionalFormatting sqref="H86:H1048576">
    <cfRule type="cellIs" dxfId="1063" priority="3209" operator="lessThan">
      <formula>0</formula>
    </cfRule>
  </conditionalFormatting>
  <conditionalFormatting sqref="H86:H1048576">
    <cfRule type="cellIs" dxfId="1062" priority="3208" operator="lessThan">
      <formula>0</formula>
    </cfRule>
  </conditionalFormatting>
  <conditionalFormatting sqref="H86:H1048576">
    <cfRule type="cellIs" dxfId="1061" priority="3207" operator="lessThan">
      <formula>0</formula>
    </cfRule>
  </conditionalFormatting>
  <conditionalFormatting sqref="H86:H1048576">
    <cfRule type="cellIs" dxfId="1060" priority="3206" operator="lessThan">
      <formula>0</formula>
    </cfRule>
  </conditionalFormatting>
  <conditionalFormatting sqref="H86:H1048576">
    <cfRule type="cellIs" dxfId="1059" priority="3205" operator="lessThan">
      <formula>0</formula>
    </cfRule>
  </conditionalFormatting>
  <conditionalFormatting sqref="H86:H1048576">
    <cfRule type="cellIs" dxfId="1058" priority="3204" operator="lessThan">
      <formula>0</formula>
    </cfRule>
  </conditionalFormatting>
  <conditionalFormatting sqref="H86:H1048576">
    <cfRule type="cellIs" dxfId="1057" priority="3203" operator="lessThan">
      <formula>0</formula>
    </cfRule>
  </conditionalFormatting>
  <conditionalFormatting sqref="H86:H1048576">
    <cfRule type="cellIs" dxfId="1056" priority="3202" operator="lessThan">
      <formula>0</formula>
    </cfRule>
  </conditionalFormatting>
  <conditionalFormatting sqref="H86:H1048576">
    <cfRule type="cellIs" dxfId="1055" priority="3201" operator="lessThan">
      <formula>0</formula>
    </cfRule>
  </conditionalFormatting>
  <conditionalFormatting sqref="H86:H1048576">
    <cfRule type="cellIs" dxfId="1054" priority="3200" operator="lessThan">
      <formula>0</formula>
    </cfRule>
  </conditionalFormatting>
  <conditionalFormatting sqref="H86:H1048576">
    <cfRule type="cellIs" dxfId="1053" priority="3199" operator="lessThan">
      <formula>0</formula>
    </cfRule>
  </conditionalFormatting>
  <conditionalFormatting sqref="H86:H1048576">
    <cfRule type="cellIs" dxfId="1052" priority="3198" operator="lessThan">
      <formula>0</formula>
    </cfRule>
  </conditionalFormatting>
  <conditionalFormatting sqref="H86:H1048576">
    <cfRule type="cellIs" dxfId="1051" priority="3197" operator="lessThan">
      <formula>0</formula>
    </cfRule>
  </conditionalFormatting>
  <conditionalFormatting sqref="H86:H1048576">
    <cfRule type="cellIs" dxfId="1050" priority="3196" operator="lessThan">
      <formula>0</formula>
    </cfRule>
  </conditionalFormatting>
  <conditionalFormatting sqref="H86:H1048576">
    <cfRule type="cellIs" dxfId="1049" priority="3195" operator="lessThan">
      <formula>0</formula>
    </cfRule>
  </conditionalFormatting>
  <conditionalFormatting sqref="H86:H1048576">
    <cfRule type="cellIs" dxfId="1048" priority="3194" operator="lessThan">
      <formula>0</formula>
    </cfRule>
  </conditionalFormatting>
  <conditionalFormatting sqref="H86:H1048576">
    <cfRule type="cellIs" dxfId="1047" priority="3193" operator="lessThan">
      <formula>0</formula>
    </cfRule>
  </conditionalFormatting>
  <conditionalFormatting sqref="H86:H1048576">
    <cfRule type="cellIs" dxfId="1046" priority="3192" operator="lessThan">
      <formula>0</formula>
    </cfRule>
  </conditionalFormatting>
  <conditionalFormatting sqref="H86:H1048576">
    <cfRule type="cellIs" dxfId="1045" priority="3191" operator="lessThan">
      <formula>0</formula>
    </cfRule>
  </conditionalFormatting>
  <conditionalFormatting sqref="H86:H1048576">
    <cfRule type="cellIs" dxfId="1044" priority="3190" operator="lessThan">
      <formula>0</formula>
    </cfRule>
  </conditionalFormatting>
  <conditionalFormatting sqref="H86:H1048576">
    <cfRule type="cellIs" dxfId="1043" priority="3189" operator="lessThan">
      <formula>0</formula>
    </cfRule>
  </conditionalFormatting>
  <conditionalFormatting sqref="H86:H1048576">
    <cfRule type="cellIs" dxfId="1042" priority="3188" operator="lessThan">
      <formula>0</formula>
    </cfRule>
  </conditionalFormatting>
  <conditionalFormatting sqref="H86:H1048576">
    <cfRule type="cellIs" dxfId="1041" priority="3187" operator="lessThan">
      <formula>0</formula>
    </cfRule>
  </conditionalFormatting>
  <conditionalFormatting sqref="H86:H1048576">
    <cfRule type="cellIs" dxfId="1040" priority="3186" operator="lessThan">
      <formula>0</formula>
    </cfRule>
  </conditionalFormatting>
  <conditionalFormatting sqref="H86:H1048576">
    <cfRule type="cellIs" dxfId="1039" priority="3185" operator="lessThan">
      <formula>0</formula>
    </cfRule>
  </conditionalFormatting>
  <conditionalFormatting sqref="H86:H1048576">
    <cfRule type="cellIs" dxfId="1038" priority="3184" operator="lessThan">
      <formula>0</formula>
    </cfRule>
  </conditionalFormatting>
  <conditionalFormatting sqref="H86:H1048576">
    <cfRule type="cellIs" dxfId="1037" priority="3183" operator="lessThan">
      <formula>0</formula>
    </cfRule>
  </conditionalFormatting>
  <conditionalFormatting sqref="H86:H1048576">
    <cfRule type="cellIs" dxfId="1036" priority="3182" operator="lessThan">
      <formula>0</formula>
    </cfRule>
  </conditionalFormatting>
  <conditionalFormatting sqref="H86:H1048576">
    <cfRule type="cellIs" dxfId="1035" priority="3181" operator="lessThan">
      <formula>0</formula>
    </cfRule>
  </conditionalFormatting>
  <conditionalFormatting sqref="H86:H1048576">
    <cfRule type="cellIs" dxfId="1034" priority="3180" operator="lessThan">
      <formula>0</formula>
    </cfRule>
  </conditionalFormatting>
  <conditionalFormatting sqref="H86:H1048576">
    <cfRule type="cellIs" dxfId="1033" priority="3179" operator="lessThan">
      <formula>0</formula>
    </cfRule>
  </conditionalFormatting>
  <conditionalFormatting sqref="H86:H1048576">
    <cfRule type="cellIs" dxfId="1032" priority="3178" operator="lessThan">
      <formula>0</formula>
    </cfRule>
  </conditionalFormatting>
  <conditionalFormatting sqref="H86:H1048576">
    <cfRule type="cellIs" dxfId="1031" priority="3177" operator="lessThan">
      <formula>0</formula>
    </cfRule>
  </conditionalFormatting>
  <conditionalFormatting sqref="H86:H1048576">
    <cfRule type="cellIs" dxfId="1030" priority="3176" operator="lessThan">
      <formula>0</formula>
    </cfRule>
  </conditionalFormatting>
  <conditionalFormatting sqref="H86:H1048576">
    <cfRule type="cellIs" dxfId="1029" priority="3175" operator="lessThan">
      <formula>0</formula>
    </cfRule>
  </conditionalFormatting>
  <conditionalFormatting sqref="H86:H1048576">
    <cfRule type="cellIs" dxfId="1028" priority="3174" operator="lessThan">
      <formula>0</formula>
    </cfRule>
  </conditionalFormatting>
  <conditionalFormatting sqref="H86:H1048576">
    <cfRule type="cellIs" dxfId="1027" priority="3173" operator="lessThan">
      <formula>0</formula>
    </cfRule>
  </conditionalFormatting>
  <conditionalFormatting sqref="H86:H1048576">
    <cfRule type="cellIs" dxfId="1026" priority="3172" operator="lessThan">
      <formula>0</formula>
    </cfRule>
  </conditionalFormatting>
  <conditionalFormatting sqref="H86:H1048576">
    <cfRule type="cellIs" dxfId="1025" priority="3171" operator="lessThan">
      <formula>0</formula>
    </cfRule>
  </conditionalFormatting>
  <conditionalFormatting sqref="H86:H1048576">
    <cfRule type="cellIs" dxfId="1024" priority="3170" operator="lessThan">
      <formula>0</formula>
    </cfRule>
  </conditionalFormatting>
  <conditionalFormatting sqref="H86:H1048576">
    <cfRule type="cellIs" dxfId="1023" priority="3169" operator="lessThan">
      <formula>0</formula>
    </cfRule>
  </conditionalFormatting>
  <conditionalFormatting sqref="H86:H1048576">
    <cfRule type="cellIs" dxfId="1022" priority="3168" operator="lessThan">
      <formula>0</formula>
    </cfRule>
  </conditionalFormatting>
  <conditionalFormatting sqref="H86:H1048576">
    <cfRule type="cellIs" dxfId="1021" priority="3167" operator="lessThan">
      <formula>0</formula>
    </cfRule>
  </conditionalFormatting>
  <conditionalFormatting sqref="H86:H1048576">
    <cfRule type="cellIs" dxfId="1020" priority="3166" operator="lessThan">
      <formula>0</formula>
    </cfRule>
  </conditionalFormatting>
  <conditionalFormatting sqref="H86:H1048576">
    <cfRule type="cellIs" dxfId="1019" priority="3165" operator="lessThan">
      <formula>0</formula>
    </cfRule>
  </conditionalFormatting>
  <conditionalFormatting sqref="H86:H1048576">
    <cfRule type="cellIs" dxfId="1018" priority="3164" operator="lessThan">
      <formula>0</formula>
    </cfRule>
  </conditionalFormatting>
  <conditionalFormatting sqref="H86:H1048576">
    <cfRule type="cellIs" dxfId="1017" priority="3163" operator="lessThan">
      <formula>0</formula>
    </cfRule>
  </conditionalFormatting>
  <conditionalFormatting sqref="H86:H1048576">
    <cfRule type="cellIs" dxfId="1016" priority="3162" operator="lessThan">
      <formula>0</formula>
    </cfRule>
  </conditionalFormatting>
  <conditionalFormatting sqref="H86:H1048576">
    <cfRule type="cellIs" dxfId="1015" priority="3161" operator="lessThan">
      <formula>0</formula>
    </cfRule>
  </conditionalFormatting>
  <conditionalFormatting sqref="H86:H1048576">
    <cfRule type="cellIs" dxfId="1014" priority="3160" operator="lessThan">
      <formula>0</formula>
    </cfRule>
  </conditionalFormatting>
  <conditionalFormatting sqref="H86:H1048576">
    <cfRule type="cellIs" dxfId="1013" priority="3159" operator="lessThan">
      <formula>0</formula>
    </cfRule>
  </conditionalFormatting>
  <conditionalFormatting sqref="H86:H1048576">
    <cfRule type="cellIs" dxfId="1012" priority="3158" operator="lessThan">
      <formula>0</formula>
    </cfRule>
  </conditionalFormatting>
  <conditionalFormatting sqref="H86:H1048576">
    <cfRule type="cellIs" dxfId="1011" priority="3157" operator="lessThan">
      <formula>0</formula>
    </cfRule>
  </conditionalFormatting>
  <conditionalFormatting sqref="H86:H1048576">
    <cfRule type="cellIs" dxfId="1010" priority="3156" operator="lessThan">
      <formula>0</formula>
    </cfRule>
  </conditionalFormatting>
  <conditionalFormatting sqref="H86:H1048576">
    <cfRule type="cellIs" dxfId="1009" priority="3155" operator="lessThan">
      <formula>0</formula>
    </cfRule>
  </conditionalFormatting>
  <conditionalFormatting sqref="H86:H1048576">
    <cfRule type="cellIs" dxfId="1008" priority="3154" operator="lessThan">
      <formula>0</formula>
    </cfRule>
  </conditionalFormatting>
  <conditionalFormatting sqref="H86:H1048576">
    <cfRule type="cellIs" dxfId="1007" priority="3153" operator="lessThan">
      <formula>0</formula>
    </cfRule>
  </conditionalFormatting>
  <conditionalFormatting sqref="H86:H1048576">
    <cfRule type="cellIs" dxfId="1006" priority="3152" operator="lessThan">
      <formula>0</formula>
    </cfRule>
  </conditionalFormatting>
  <conditionalFormatting sqref="H86:H1048576">
    <cfRule type="cellIs" dxfId="1005" priority="3151" operator="lessThan">
      <formula>0</formula>
    </cfRule>
  </conditionalFormatting>
  <conditionalFormatting sqref="H86:H1048576">
    <cfRule type="cellIs" dxfId="1004" priority="3150" operator="lessThan">
      <formula>0</formula>
    </cfRule>
  </conditionalFormatting>
  <conditionalFormatting sqref="H86:H1048576">
    <cfRule type="cellIs" dxfId="1003" priority="3149" operator="lessThan">
      <formula>0</formula>
    </cfRule>
  </conditionalFormatting>
  <conditionalFormatting sqref="H86:H1048576">
    <cfRule type="cellIs" dxfId="1002" priority="3148" operator="lessThan">
      <formula>0</formula>
    </cfRule>
  </conditionalFormatting>
  <conditionalFormatting sqref="H86:H1048576">
    <cfRule type="cellIs" dxfId="1001" priority="3147" operator="lessThan">
      <formula>0</formula>
    </cfRule>
  </conditionalFormatting>
  <conditionalFormatting sqref="H86:H1048576">
    <cfRule type="cellIs" dxfId="1000" priority="3146" operator="lessThan">
      <formula>0</formula>
    </cfRule>
  </conditionalFormatting>
  <conditionalFormatting sqref="H86:H1048576">
    <cfRule type="cellIs" dxfId="999" priority="3145" operator="lessThan">
      <formula>0</formula>
    </cfRule>
  </conditionalFormatting>
  <conditionalFormatting sqref="H86:H1048576">
    <cfRule type="cellIs" dxfId="998" priority="3144" operator="lessThan">
      <formula>0</formula>
    </cfRule>
  </conditionalFormatting>
  <conditionalFormatting sqref="H86:H1048576">
    <cfRule type="cellIs" dxfId="997" priority="3143" operator="lessThan">
      <formula>0</formula>
    </cfRule>
  </conditionalFormatting>
  <conditionalFormatting sqref="H86:H1048576">
    <cfRule type="cellIs" dxfId="996" priority="3142" operator="lessThan">
      <formula>0</formula>
    </cfRule>
  </conditionalFormatting>
  <conditionalFormatting sqref="H86:H1048576">
    <cfRule type="cellIs" dxfId="995" priority="3141" operator="lessThan">
      <formula>0</formula>
    </cfRule>
  </conditionalFormatting>
  <conditionalFormatting sqref="H86:H1048576">
    <cfRule type="cellIs" dxfId="994" priority="3140" operator="lessThan">
      <formula>0</formula>
    </cfRule>
  </conditionalFormatting>
  <conditionalFormatting sqref="H86:H1048576">
    <cfRule type="cellIs" dxfId="993" priority="3139" operator="lessThan">
      <formula>0</formula>
    </cfRule>
  </conditionalFormatting>
  <conditionalFormatting sqref="H86:H1048576">
    <cfRule type="cellIs" dxfId="992" priority="3138" operator="lessThan">
      <formula>0</formula>
    </cfRule>
  </conditionalFormatting>
  <conditionalFormatting sqref="H86:H1048576">
    <cfRule type="cellIs" dxfId="991" priority="3137" operator="lessThan">
      <formula>0</formula>
    </cfRule>
  </conditionalFormatting>
  <conditionalFormatting sqref="H86:H1048576">
    <cfRule type="cellIs" dxfId="990" priority="3136" operator="lessThan">
      <formula>0</formula>
    </cfRule>
  </conditionalFormatting>
  <conditionalFormatting sqref="H86:H1048576">
    <cfRule type="cellIs" dxfId="989" priority="3135" operator="lessThan">
      <formula>0</formula>
    </cfRule>
  </conditionalFormatting>
  <conditionalFormatting sqref="H86:H1048576">
    <cfRule type="cellIs" dxfId="988" priority="3134" operator="lessThan">
      <formula>0</formula>
    </cfRule>
  </conditionalFormatting>
  <conditionalFormatting sqref="H86:H1048576">
    <cfRule type="cellIs" dxfId="987" priority="3133" operator="lessThan">
      <formula>0</formula>
    </cfRule>
  </conditionalFormatting>
  <conditionalFormatting sqref="H86:H1048576">
    <cfRule type="cellIs" dxfId="986" priority="3132" operator="lessThan">
      <formula>0</formula>
    </cfRule>
  </conditionalFormatting>
  <conditionalFormatting sqref="H86:H1048576">
    <cfRule type="cellIs" dxfId="985" priority="3131" operator="lessThan">
      <formula>0</formula>
    </cfRule>
  </conditionalFormatting>
  <conditionalFormatting sqref="H86:H1048576">
    <cfRule type="cellIs" dxfId="984" priority="3130" operator="lessThan">
      <formula>0</formula>
    </cfRule>
  </conditionalFormatting>
  <conditionalFormatting sqref="H86:H1048576">
    <cfRule type="cellIs" dxfId="983" priority="3129" operator="lessThan">
      <formula>0</formula>
    </cfRule>
  </conditionalFormatting>
  <conditionalFormatting sqref="H86:H1048576">
    <cfRule type="cellIs" dxfId="982" priority="3128" operator="lessThan">
      <formula>0</formula>
    </cfRule>
  </conditionalFormatting>
  <conditionalFormatting sqref="H86:H1048576">
    <cfRule type="cellIs" dxfId="981" priority="3127" operator="lessThan">
      <formula>0</formula>
    </cfRule>
  </conditionalFormatting>
  <conditionalFormatting sqref="H86:H1048576">
    <cfRule type="cellIs" dxfId="980" priority="3126" operator="lessThan">
      <formula>0</formula>
    </cfRule>
  </conditionalFormatting>
  <conditionalFormatting sqref="H86:H1048576">
    <cfRule type="cellIs" dxfId="979" priority="3125" operator="lessThan">
      <formula>0</formula>
    </cfRule>
  </conditionalFormatting>
  <conditionalFormatting sqref="H86:H1048576">
    <cfRule type="cellIs" dxfId="978" priority="3124" operator="lessThan">
      <formula>0</formula>
    </cfRule>
  </conditionalFormatting>
  <conditionalFormatting sqref="H86:H1048576">
    <cfRule type="cellIs" dxfId="977" priority="3123" operator="lessThan">
      <formula>0</formula>
    </cfRule>
  </conditionalFormatting>
  <conditionalFormatting sqref="H86:H1048576">
    <cfRule type="cellIs" dxfId="976" priority="3122" operator="lessThan">
      <formula>0</formula>
    </cfRule>
  </conditionalFormatting>
  <conditionalFormatting sqref="H86:H1048576">
    <cfRule type="cellIs" dxfId="975" priority="3121" operator="lessThan">
      <formula>0</formula>
    </cfRule>
  </conditionalFormatting>
  <conditionalFormatting sqref="H86:H1048576">
    <cfRule type="cellIs" dxfId="974" priority="3120" operator="lessThan">
      <formula>0</formula>
    </cfRule>
  </conditionalFormatting>
  <conditionalFormatting sqref="H86:H1048576">
    <cfRule type="cellIs" dxfId="973" priority="3119" operator="lessThan">
      <formula>0</formula>
    </cfRule>
  </conditionalFormatting>
  <conditionalFormatting sqref="H86:H1048576">
    <cfRule type="cellIs" dxfId="972" priority="3118" operator="lessThan">
      <formula>0</formula>
    </cfRule>
  </conditionalFormatting>
  <conditionalFormatting sqref="H86:H1048576">
    <cfRule type="cellIs" dxfId="971" priority="3117" operator="lessThan">
      <formula>0</formula>
    </cfRule>
  </conditionalFormatting>
  <conditionalFormatting sqref="H86:H1048576">
    <cfRule type="cellIs" dxfId="970" priority="3116" operator="lessThan">
      <formula>0</formula>
    </cfRule>
  </conditionalFormatting>
  <conditionalFormatting sqref="H86:H1048576">
    <cfRule type="cellIs" dxfId="969" priority="3115" operator="lessThan">
      <formula>0</formula>
    </cfRule>
  </conditionalFormatting>
  <conditionalFormatting sqref="H86:H1048576">
    <cfRule type="cellIs" dxfId="968" priority="3114" operator="lessThan">
      <formula>0</formula>
    </cfRule>
  </conditionalFormatting>
  <conditionalFormatting sqref="H86:H1048576">
    <cfRule type="cellIs" dxfId="967" priority="3113" operator="lessThan">
      <formula>0</formula>
    </cfRule>
  </conditionalFormatting>
  <conditionalFormatting sqref="H10:H1048576">
    <cfRule type="cellIs" dxfId="966" priority="3112" operator="lessThan">
      <formula>0</formula>
    </cfRule>
  </conditionalFormatting>
  <conditionalFormatting sqref="H10:H1048576">
    <cfRule type="cellIs" dxfId="965" priority="3111" operator="lessThan">
      <formula>0</formula>
    </cfRule>
  </conditionalFormatting>
  <conditionalFormatting sqref="H10:H1048576">
    <cfRule type="cellIs" dxfId="964" priority="3110" operator="lessThan">
      <formula>0</formula>
    </cfRule>
  </conditionalFormatting>
  <conditionalFormatting sqref="H10:H1048576">
    <cfRule type="cellIs" dxfId="963" priority="3109" operator="lessThan">
      <formula>0</formula>
    </cfRule>
  </conditionalFormatting>
  <conditionalFormatting sqref="H10:H1048576">
    <cfRule type="cellIs" dxfId="962" priority="3108" operator="lessThan">
      <formula>0</formula>
    </cfRule>
  </conditionalFormatting>
  <conditionalFormatting sqref="H10:H1048576">
    <cfRule type="cellIs" dxfId="961" priority="3107" operator="lessThan">
      <formula>0</formula>
    </cfRule>
  </conditionalFormatting>
  <conditionalFormatting sqref="H10:H1048576">
    <cfRule type="cellIs" dxfId="960" priority="3106" operator="lessThan">
      <formula>0</formula>
    </cfRule>
  </conditionalFormatting>
  <conditionalFormatting sqref="H10:H1048576">
    <cfRule type="cellIs" dxfId="959" priority="3105" operator="lessThan">
      <formula>0</formula>
    </cfRule>
  </conditionalFormatting>
  <conditionalFormatting sqref="H10:H1048576">
    <cfRule type="cellIs" dxfId="958" priority="3104" operator="lessThan">
      <formula>0</formula>
    </cfRule>
  </conditionalFormatting>
  <conditionalFormatting sqref="H10:H1048576">
    <cfRule type="cellIs" dxfId="957" priority="3103" operator="lessThan">
      <formula>0</formula>
    </cfRule>
  </conditionalFormatting>
  <conditionalFormatting sqref="H10:H1048576">
    <cfRule type="cellIs" dxfId="956" priority="3102" operator="lessThan">
      <formula>0</formula>
    </cfRule>
  </conditionalFormatting>
  <conditionalFormatting sqref="H10:H1048576">
    <cfRule type="cellIs" dxfId="955" priority="3101" operator="lessThan">
      <formula>0</formula>
    </cfRule>
  </conditionalFormatting>
  <conditionalFormatting sqref="H10:H1048576">
    <cfRule type="cellIs" dxfId="954" priority="3100" operator="lessThan">
      <formula>0</formula>
    </cfRule>
  </conditionalFormatting>
  <conditionalFormatting sqref="H10:H1048576">
    <cfRule type="cellIs" dxfId="953" priority="3099" operator="lessThan">
      <formula>0</formula>
    </cfRule>
  </conditionalFormatting>
  <conditionalFormatting sqref="H10:H1048576">
    <cfRule type="cellIs" dxfId="952" priority="3098" operator="lessThan">
      <formula>0</formula>
    </cfRule>
  </conditionalFormatting>
  <conditionalFormatting sqref="H10:H1048576">
    <cfRule type="cellIs" dxfId="951" priority="3097" operator="lessThan">
      <formula>0</formula>
    </cfRule>
  </conditionalFormatting>
  <conditionalFormatting sqref="H10:H1048576">
    <cfRule type="cellIs" dxfId="950" priority="3096" operator="lessThan">
      <formula>0</formula>
    </cfRule>
  </conditionalFormatting>
  <conditionalFormatting sqref="H10:H1048576">
    <cfRule type="cellIs" dxfId="949" priority="3095" operator="lessThan">
      <formula>0</formula>
    </cfRule>
  </conditionalFormatting>
  <conditionalFormatting sqref="H10:H1048576">
    <cfRule type="cellIs" dxfId="948" priority="3094" operator="lessThan">
      <formula>0</formula>
    </cfRule>
  </conditionalFormatting>
  <conditionalFormatting sqref="H10:H1048576">
    <cfRule type="cellIs" dxfId="947" priority="3093" operator="lessThan">
      <formula>0</formula>
    </cfRule>
  </conditionalFormatting>
  <conditionalFormatting sqref="H10:H1048576">
    <cfRule type="cellIs" dxfId="946" priority="3092" operator="lessThan">
      <formula>0</formula>
    </cfRule>
  </conditionalFormatting>
  <conditionalFormatting sqref="H10:H1048576">
    <cfRule type="cellIs" dxfId="945" priority="3091" operator="lessThan">
      <formula>0</formula>
    </cfRule>
  </conditionalFormatting>
  <conditionalFormatting sqref="H10:H1048576">
    <cfRule type="cellIs" dxfId="944" priority="3090" operator="lessThan">
      <formula>0</formula>
    </cfRule>
  </conditionalFormatting>
  <conditionalFormatting sqref="H10:H1048576">
    <cfRule type="cellIs" dxfId="943" priority="3089" operator="lessThan">
      <formula>0</formula>
    </cfRule>
  </conditionalFormatting>
  <conditionalFormatting sqref="H10:H1048576">
    <cfRule type="cellIs" dxfId="942" priority="3088" operator="lessThan">
      <formula>0</formula>
    </cfRule>
  </conditionalFormatting>
  <conditionalFormatting sqref="H10:H1048576">
    <cfRule type="cellIs" dxfId="941" priority="3087" operator="lessThan">
      <formula>0</formula>
    </cfRule>
  </conditionalFormatting>
  <conditionalFormatting sqref="H10:H1048576">
    <cfRule type="cellIs" dxfId="940" priority="3086" operator="lessThan">
      <formula>0</formula>
    </cfRule>
  </conditionalFormatting>
  <conditionalFormatting sqref="H10:H1048576">
    <cfRule type="cellIs" dxfId="939" priority="3085" operator="lessThan">
      <formula>0</formula>
    </cfRule>
  </conditionalFormatting>
  <conditionalFormatting sqref="H10:H1048576">
    <cfRule type="cellIs" dxfId="938" priority="3084" operator="lessThan">
      <formula>0</formula>
    </cfRule>
  </conditionalFormatting>
  <conditionalFormatting sqref="H10:H1048576">
    <cfRule type="cellIs" dxfId="937" priority="3083" operator="lessThan">
      <formula>0</formula>
    </cfRule>
  </conditionalFormatting>
  <conditionalFormatting sqref="H10:H1048576">
    <cfRule type="cellIs" dxfId="936" priority="3082" operator="lessThan">
      <formula>0</formula>
    </cfRule>
  </conditionalFormatting>
  <conditionalFormatting sqref="H10:H1048576">
    <cfRule type="cellIs" dxfId="935" priority="3081" operator="lessThan">
      <formula>0</formula>
    </cfRule>
  </conditionalFormatting>
  <conditionalFormatting sqref="H10:H1048576">
    <cfRule type="cellIs" dxfId="934" priority="3080" operator="lessThan">
      <formula>0</formula>
    </cfRule>
  </conditionalFormatting>
  <conditionalFormatting sqref="H10:H1048576">
    <cfRule type="cellIs" dxfId="933" priority="3079" operator="lessThan">
      <formula>0</formula>
    </cfRule>
  </conditionalFormatting>
  <conditionalFormatting sqref="H10:H1048576">
    <cfRule type="cellIs" dxfId="932" priority="3078" operator="lessThan">
      <formula>0</formula>
    </cfRule>
  </conditionalFormatting>
  <conditionalFormatting sqref="H10:H1048576">
    <cfRule type="cellIs" dxfId="931" priority="3077" operator="lessThan">
      <formula>0</formula>
    </cfRule>
  </conditionalFormatting>
  <conditionalFormatting sqref="H10:H1048576">
    <cfRule type="cellIs" dxfId="930" priority="3076" operator="lessThan">
      <formula>0</formula>
    </cfRule>
  </conditionalFormatting>
  <conditionalFormatting sqref="H10:H1048576">
    <cfRule type="cellIs" dxfId="929" priority="3075" operator="lessThan">
      <formula>0</formula>
    </cfRule>
  </conditionalFormatting>
  <conditionalFormatting sqref="H10:H1048576">
    <cfRule type="cellIs" dxfId="928" priority="3074" operator="lessThan">
      <formula>0</formula>
    </cfRule>
  </conditionalFormatting>
  <conditionalFormatting sqref="H10:H1048576">
    <cfRule type="cellIs" dxfId="927" priority="3073" operator="lessThan">
      <formula>0</formula>
    </cfRule>
  </conditionalFormatting>
  <conditionalFormatting sqref="H10:H1048576">
    <cfRule type="cellIs" dxfId="926" priority="3072" operator="lessThan">
      <formula>0</formula>
    </cfRule>
  </conditionalFormatting>
  <conditionalFormatting sqref="H10:H1048576">
    <cfRule type="cellIs" dxfId="925" priority="3071" operator="lessThan">
      <formula>0</formula>
    </cfRule>
  </conditionalFormatting>
  <conditionalFormatting sqref="H10:H1048576">
    <cfRule type="cellIs" dxfId="924" priority="3070" operator="lessThan">
      <formula>0</formula>
    </cfRule>
  </conditionalFormatting>
  <conditionalFormatting sqref="H10:H1048576">
    <cfRule type="cellIs" dxfId="923" priority="3069" operator="lessThan">
      <formula>0</formula>
    </cfRule>
  </conditionalFormatting>
  <conditionalFormatting sqref="H10:H1048576">
    <cfRule type="cellIs" dxfId="922" priority="3068" operator="lessThan">
      <formula>0</formula>
    </cfRule>
  </conditionalFormatting>
  <conditionalFormatting sqref="H10:H1048576">
    <cfRule type="cellIs" dxfId="921" priority="3067" operator="lessThan">
      <formula>0</formula>
    </cfRule>
  </conditionalFormatting>
  <conditionalFormatting sqref="H10:H1048576">
    <cfRule type="cellIs" dxfId="920" priority="3066" operator="lessThan">
      <formula>0</formula>
    </cfRule>
  </conditionalFormatting>
  <conditionalFormatting sqref="H10:H1048576">
    <cfRule type="cellIs" dxfId="919" priority="3065" operator="lessThan">
      <formula>0</formula>
    </cfRule>
  </conditionalFormatting>
  <conditionalFormatting sqref="H10:H1048576">
    <cfRule type="cellIs" dxfId="918" priority="3064" operator="lessThan">
      <formula>0</formula>
    </cfRule>
  </conditionalFormatting>
  <conditionalFormatting sqref="H10:H1048576">
    <cfRule type="cellIs" dxfId="917" priority="3063" operator="lessThan">
      <formula>0</formula>
    </cfRule>
  </conditionalFormatting>
  <conditionalFormatting sqref="H10:H1048576">
    <cfRule type="cellIs" dxfId="916" priority="3062" operator="lessThan">
      <formula>0</formula>
    </cfRule>
  </conditionalFormatting>
  <conditionalFormatting sqref="H10:H1048576">
    <cfRule type="cellIs" dxfId="915" priority="3061" operator="lessThan">
      <formula>0</formula>
    </cfRule>
  </conditionalFormatting>
  <conditionalFormatting sqref="H10:H1048576">
    <cfRule type="cellIs" dxfId="914" priority="3060" operator="lessThan">
      <formula>0</formula>
    </cfRule>
  </conditionalFormatting>
  <conditionalFormatting sqref="H10:H1048576">
    <cfRule type="cellIs" dxfId="913" priority="3059" operator="lessThan">
      <formula>0</formula>
    </cfRule>
  </conditionalFormatting>
  <conditionalFormatting sqref="H10:H1048576">
    <cfRule type="cellIs" dxfId="912" priority="3058" operator="lessThan">
      <formula>0</formula>
    </cfRule>
  </conditionalFormatting>
  <conditionalFormatting sqref="H10:H1048576">
    <cfRule type="cellIs" dxfId="911" priority="3057" operator="lessThan">
      <formula>0</formula>
    </cfRule>
  </conditionalFormatting>
  <conditionalFormatting sqref="H10:H1048576">
    <cfRule type="cellIs" dxfId="910" priority="3056" operator="lessThan">
      <formula>0</formula>
    </cfRule>
  </conditionalFormatting>
  <conditionalFormatting sqref="H10:H1048576">
    <cfRule type="cellIs" dxfId="909" priority="3055" operator="lessThan">
      <formula>0</formula>
    </cfRule>
  </conditionalFormatting>
  <conditionalFormatting sqref="H10:H1048576">
    <cfRule type="cellIs" dxfId="908" priority="3054" operator="lessThan">
      <formula>0</formula>
    </cfRule>
  </conditionalFormatting>
  <conditionalFormatting sqref="H10:H1048576">
    <cfRule type="cellIs" dxfId="907" priority="3053" operator="lessThan">
      <formula>0</formula>
    </cfRule>
  </conditionalFormatting>
  <conditionalFormatting sqref="H10:H1048576">
    <cfRule type="cellIs" dxfId="906" priority="3052" operator="lessThan">
      <formula>0</formula>
    </cfRule>
  </conditionalFormatting>
  <conditionalFormatting sqref="H10:H1048576">
    <cfRule type="cellIs" dxfId="905" priority="3051" operator="lessThan">
      <formula>0</formula>
    </cfRule>
  </conditionalFormatting>
  <conditionalFormatting sqref="H10:H1048576">
    <cfRule type="cellIs" dxfId="904" priority="3050" operator="lessThan">
      <formula>0</formula>
    </cfRule>
  </conditionalFormatting>
  <conditionalFormatting sqref="H10:H1048576">
    <cfRule type="cellIs" dxfId="903" priority="3049" operator="lessThan">
      <formula>0</formula>
    </cfRule>
  </conditionalFormatting>
  <conditionalFormatting sqref="H10:H1048576">
    <cfRule type="cellIs" dxfId="902" priority="3048" operator="lessThan">
      <formula>0</formula>
    </cfRule>
  </conditionalFormatting>
  <conditionalFormatting sqref="H10:H1048576">
    <cfRule type="cellIs" dxfId="901" priority="3047" operator="lessThan">
      <formula>0</formula>
    </cfRule>
  </conditionalFormatting>
  <conditionalFormatting sqref="H10:H1048576">
    <cfRule type="cellIs" dxfId="900" priority="3046" operator="lessThan">
      <formula>0</formula>
    </cfRule>
  </conditionalFormatting>
  <conditionalFormatting sqref="H10:H1048576">
    <cfRule type="cellIs" dxfId="899" priority="3045" operator="lessThan">
      <formula>0</formula>
    </cfRule>
  </conditionalFormatting>
  <conditionalFormatting sqref="H10:H1048576">
    <cfRule type="cellIs" dxfId="898" priority="3044" operator="lessThan">
      <formula>0</formula>
    </cfRule>
  </conditionalFormatting>
  <conditionalFormatting sqref="H10:H1048576">
    <cfRule type="cellIs" dxfId="897" priority="3043" operator="lessThan">
      <formula>0</formula>
    </cfRule>
  </conditionalFormatting>
  <conditionalFormatting sqref="H10:H1048576">
    <cfRule type="cellIs" dxfId="896" priority="3042" operator="lessThan">
      <formula>0</formula>
    </cfRule>
  </conditionalFormatting>
  <conditionalFormatting sqref="H10:H1048576">
    <cfRule type="cellIs" dxfId="895" priority="3041" operator="lessThan">
      <formula>0</formula>
    </cfRule>
  </conditionalFormatting>
  <conditionalFormatting sqref="H10:H1048576">
    <cfRule type="cellIs" dxfId="894" priority="3040" operator="lessThan">
      <formula>0</formula>
    </cfRule>
  </conditionalFormatting>
  <conditionalFormatting sqref="H10:H1048576">
    <cfRule type="cellIs" dxfId="893" priority="3039" operator="lessThan">
      <formula>0</formula>
    </cfRule>
  </conditionalFormatting>
  <conditionalFormatting sqref="H10:H1048576">
    <cfRule type="cellIs" dxfId="892" priority="3038" operator="lessThan">
      <formula>0</formula>
    </cfRule>
  </conditionalFormatting>
  <conditionalFormatting sqref="H10:H1048576">
    <cfRule type="cellIs" dxfId="891" priority="3037" operator="lessThan">
      <formula>0</formula>
    </cfRule>
  </conditionalFormatting>
  <conditionalFormatting sqref="H10:H1048576">
    <cfRule type="cellIs" dxfId="890" priority="3036" operator="lessThan">
      <formula>0</formula>
    </cfRule>
  </conditionalFormatting>
  <conditionalFormatting sqref="H10:H1048576">
    <cfRule type="cellIs" dxfId="889" priority="3035" operator="lessThan">
      <formula>0</formula>
    </cfRule>
  </conditionalFormatting>
  <conditionalFormatting sqref="H10:H1048576">
    <cfRule type="cellIs" dxfId="888" priority="3034" operator="lessThan">
      <formula>0</formula>
    </cfRule>
  </conditionalFormatting>
  <conditionalFormatting sqref="H10:H1048576">
    <cfRule type="cellIs" dxfId="887" priority="3033" operator="lessThan">
      <formula>0</formula>
    </cfRule>
  </conditionalFormatting>
  <conditionalFormatting sqref="H10:H1048576">
    <cfRule type="cellIs" dxfId="886" priority="3032" operator="lessThan">
      <formula>0</formula>
    </cfRule>
  </conditionalFormatting>
  <conditionalFormatting sqref="H10:H1048576">
    <cfRule type="cellIs" dxfId="885" priority="3031" operator="lessThan">
      <formula>0</formula>
    </cfRule>
  </conditionalFormatting>
  <conditionalFormatting sqref="H10:H1048576">
    <cfRule type="cellIs" dxfId="884" priority="3030" operator="lessThan">
      <formula>0</formula>
    </cfRule>
  </conditionalFormatting>
  <conditionalFormatting sqref="H10:H1048576">
    <cfRule type="cellIs" dxfId="883" priority="3029" operator="lessThan">
      <formula>0</formula>
    </cfRule>
  </conditionalFormatting>
  <conditionalFormatting sqref="H10:H1048576">
    <cfRule type="cellIs" dxfId="882" priority="3028" operator="lessThan">
      <formula>0</formula>
    </cfRule>
  </conditionalFormatting>
  <conditionalFormatting sqref="H10:H1048576">
    <cfRule type="cellIs" dxfId="881" priority="3027" operator="lessThan">
      <formula>0</formula>
    </cfRule>
  </conditionalFormatting>
  <conditionalFormatting sqref="H10:H1048576">
    <cfRule type="cellIs" dxfId="880" priority="3026" operator="lessThan">
      <formula>0</formula>
    </cfRule>
  </conditionalFormatting>
  <conditionalFormatting sqref="H10:H1048576">
    <cfRule type="cellIs" dxfId="879" priority="3025" operator="lessThan">
      <formula>0</formula>
    </cfRule>
  </conditionalFormatting>
  <conditionalFormatting sqref="H10:H1048576">
    <cfRule type="cellIs" dxfId="878" priority="3024" operator="lessThan">
      <formula>0</formula>
    </cfRule>
  </conditionalFormatting>
  <conditionalFormatting sqref="H10:H1048576">
    <cfRule type="cellIs" dxfId="877" priority="3023" operator="lessThan">
      <formula>0</formula>
    </cfRule>
  </conditionalFormatting>
  <conditionalFormatting sqref="H10:H1048576">
    <cfRule type="cellIs" dxfId="876" priority="3022" operator="lessThan">
      <formula>0</formula>
    </cfRule>
  </conditionalFormatting>
  <conditionalFormatting sqref="H10:H1048576">
    <cfRule type="cellIs" dxfId="875" priority="3021" operator="lessThan">
      <formula>0</formula>
    </cfRule>
  </conditionalFormatting>
  <conditionalFormatting sqref="H10:H1048576">
    <cfRule type="cellIs" dxfId="874" priority="3020" operator="lessThan">
      <formula>0</formula>
    </cfRule>
  </conditionalFormatting>
  <conditionalFormatting sqref="H10:H1048576">
    <cfRule type="cellIs" dxfId="873" priority="3019" operator="lessThan">
      <formula>0</formula>
    </cfRule>
  </conditionalFormatting>
  <conditionalFormatting sqref="H10:H1048576">
    <cfRule type="cellIs" dxfId="872" priority="3018" operator="lessThan">
      <formula>0</formula>
    </cfRule>
  </conditionalFormatting>
  <conditionalFormatting sqref="H10:H1048576">
    <cfRule type="cellIs" dxfId="871" priority="3017" operator="lessThan">
      <formula>0</formula>
    </cfRule>
  </conditionalFormatting>
  <conditionalFormatting sqref="H10:H1048576">
    <cfRule type="cellIs" dxfId="870" priority="3016" operator="lessThan">
      <formula>0</formula>
    </cfRule>
  </conditionalFormatting>
  <conditionalFormatting sqref="H10:H1048576">
    <cfRule type="cellIs" dxfId="869" priority="3015" operator="lessThan">
      <formula>0</formula>
    </cfRule>
  </conditionalFormatting>
  <conditionalFormatting sqref="H10:H1048576">
    <cfRule type="cellIs" dxfId="868" priority="3014" operator="lessThan">
      <formula>0</formula>
    </cfRule>
  </conditionalFormatting>
  <conditionalFormatting sqref="H10:H1048576">
    <cfRule type="cellIs" dxfId="867" priority="3013" operator="lessThan">
      <formula>0</formula>
    </cfRule>
  </conditionalFormatting>
  <conditionalFormatting sqref="H10:H1048576">
    <cfRule type="cellIs" dxfId="866" priority="3012" operator="lessThan">
      <formula>0</formula>
    </cfRule>
  </conditionalFormatting>
  <conditionalFormatting sqref="H10:H1048576">
    <cfRule type="cellIs" dxfId="865" priority="3011" operator="lessThan">
      <formula>0</formula>
    </cfRule>
  </conditionalFormatting>
  <conditionalFormatting sqref="H10:H1048576">
    <cfRule type="cellIs" dxfId="864" priority="3010" operator="lessThan">
      <formula>0</formula>
    </cfRule>
  </conditionalFormatting>
  <conditionalFormatting sqref="H10:H1048576">
    <cfRule type="cellIs" dxfId="863" priority="3009" operator="lessThan">
      <formula>0</formula>
    </cfRule>
  </conditionalFormatting>
  <conditionalFormatting sqref="H10:H1048576">
    <cfRule type="cellIs" dxfId="862" priority="3008" operator="lessThan">
      <formula>0</formula>
    </cfRule>
  </conditionalFormatting>
  <conditionalFormatting sqref="H10:H1048576">
    <cfRule type="cellIs" dxfId="861" priority="3007" operator="lessThan">
      <formula>0</formula>
    </cfRule>
  </conditionalFormatting>
  <conditionalFormatting sqref="H10:H1048576">
    <cfRule type="cellIs" dxfId="860" priority="3006" operator="lessThan">
      <formula>0</formula>
    </cfRule>
  </conditionalFormatting>
  <conditionalFormatting sqref="H10:H1048576">
    <cfRule type="cellIs" dxfId="859" priority="3005" operator="lessThan">
      <formula>0</formula>
    </cfRule>
  </conditionalFormatting>
  <conditionalFormatting sqref="H10:H1048576">
    <cfRule type="cellIs" dxfId="858" priority="3004" operator="lessThan">
      <formula>0</formula>
    </cfRule>
  </conditionalFormatting>
  <conditionalFormatting sqref="H10:H1048576">
    <cfRule type="cellIs" dxfId="857" priority="3003" operator="lessThan">
      <formula>0</formula>
    </cfRule>
  </conditionalFormatting>
  <conditionalFormatting sqref="H10:H1048576">
    <cfRule type="cellIs" dxfId="856" priority="3002" operator="lessThan">
      <formula>0</formula>
    </cfRule>
  </conditionalFormatting>
  <conditionalFormatting sqref="H10:H1048576">
    <cfRule type="cellIs" dxfId="855" priority="3001" operator="lessThan">
      <formula>0</formula>
    </cfRule>
  </conditionalFormatting>
  <conditionalFormatting sqref="H10:H1048576">
    <cfRule type="cellIs" dxfId="854" priority="3000" operator="lessThan">
      <formula>0</formula>
    </cfRule>
  </conditionalFormatting>
  <conditionalFormatting sqref="H10:H1048576">
    <cfRule type="cellIs" dxfId="853" priority="2999" operator="lessThan">
      <formula>0</formula>
    </cfRule>
  </conditionalFormatting>
  <conditionalFormatting sqref="H10:H1048576">
    <cfRule type="cellIs" dxfId="852" priority="2998" operator="lessThan">
      <formula>0</formula>
    </cfRule>
  </conditionalFormatting>
  <conditionalFormatting sqref="H10:H1048576">
    <cfRule type="cellIs" dxfId="851" priority="2997" operator="lessThan">
      <formula>0</formula>
    </cfRule>
  </conditionalFormatting>
  <conditionalFormatting sqref="H10:H1048576">
    <cfRule type="cellIs" dxfId="850" priority="2996" operator="lessThan">
      <formula>0</formula>
    </cfRule>
  </conditionalFormatting>
  <conditionalFormatting sqref="H10:H1048576">
    <cfRule type="cellIs" dxfId="849" priority="2995" operator="lessThan">
      <formula>0</formula>
    </cfRule>
  </conditionalFormatting>
  <conditionalFormatting sqref="H10:H1048576">
    <cfRule type="cellIs" dxfId="848" priority="2994" operator="lessThan">
      <formula>0</formula>
    </cfRule>
  </conditionalFormatting>
  <conditionalFormatting sqref="H10:H1048576">
    <cfRule type="cellIs" dxfId="847" priority="2993" operator="lessThan">
      <formula>0</formula>
    </cfRule>
  </conditionalFormatting>
  <conditionalFormatting sqref="H10:H1048576">
    <cfRule type="cellIs" dxfId="846" priority="2992" operator="lessThan">
      <formula>0</formula>
    </cfRule>
  </conditionalFormatting>
  <conditionalFormatting sqref="H10:H1048576">
    <cfRule type="cellIs" dxfId="845" priority="2991" operator="lessThan">
      <formula>0</formula>
    </cfRule>
  </conditionalFormatting>
  <conditionalFormatting sqref="H10:H1048576">
    <cfRule type="cellIs" dxfId="844" priority="2990" operator="lessThan">
      <formula>0</formula>
    </cfRule>
  </conditionalFormatting>
  <conditionalFormatting sqref="H10:H1048576">
    <cfRule type="cellIs" dxfId="843" priority="2989" operator="lessThan">
      <formula>0</formula>
    </cfRule>
  </conditionalFormatting>
  <conditionalFormatting sqref="H10:H1048576">
    <cfRule type="cellIs" dxfId="842" priority="2988" operator="lessThan">
      <formula>0</formula>
    </cfRule>
  </conditionalFormatting>
  <conditionalFormatting sqref="H10:H1048576">
    <cfRule type="cellIs" dxfId="841" priority="2987" operator="lessThan">
      <formula>0</formula>
    </cfRule>
  </conditionalFormatting>
  <conditionalFormatting sqref="H10:H1048576">
    <cfRule type="cellIs" dxfId="840" priority="2986" operator="lessThan">
      <formula>0</formula>
    </cfRule>
  </conditionalFormatting>
  <conditionalFormatting sqref="H10:H1048576">
    <cfRule type="cellIs" dxfId="839" priority="2985" operator="lessThan">
      <formula>0</formula>
    </cfRule>
  </conditionalFormatting>
  <conditionalFormatting sqref="H10:H1048576">
    <cfRule type="cellIs" dxfId="838" priority="2984" operator="lessThan">
      <formula>0</formula>
    </cfRule>
  </conditionalFormatting>
  <conditionalFormatting sqref="H10:H1048576">
    <cfRule type="cellIs" dxfId="837" priority="2983" operator="lessThan">
      <formula>0</formula>
    </cfRule>
  </conditionalFormatting>
  <conditionalFormatting sqref="H10:H1048576">
    <cfRule type="cellIs" dxfId="836" priority="2982" operator="lessThan">
      <formula>0</formula>
    </cfRule>
  </conditionalFormatting>
  <conditionalFormatting sqref="H10:H1048576">
    <cfRule type="cellIs" dxfId="835" priority="2981" operator="lessThan">
      <formula>0</formula>
    </cfRule>
  </conditionalFormatting>
  <conditionalFormatting sqref="H10:H1048576">
    <cfRule type="cellIs" dxfId="834" priority="2980" operator="lessThan">
      <formula>0</formula>
    </cfRule>
  </conditionalFormatting>
  <conditionalFormatting sqref="H10:H1048576">
    <cfRule type="cellIs" dxfId="833" priority="2979" operator="lessThan">
      <formula>0</formula>
    </cfRule>
  </conditionalFormatting>
  <conditionalFormatting sqref="H10:H1048576">
    <cfRule type="cellIs" dxfId="832" priority="2978" operator="lessThan">
      <formula>0</formula>
    </cfRule>
  </conditionalFormatting>
  <conditionalFormatting sqref="H10:H1048576">
    <cfRule type="cellIs" dxfId="831" priority="2977" operator="lessThan">
      <formula>0</formula>
    </cfRule>
  </conditionalFormatting>
  <conditionalFormatting sqref="H10:H1048576">
    <cfRule type="cellIs" dxfId="830" priority="2976" operator="lessThan">
      <formula>0</formula>
    </cfRule>
  </conditionalFormatting>
  <conditionalFormatting sqref="H10:H1048576">
    <cfRule type="cellIs" dxfId="829" priority="2975" operator="lessThan">
      <formula>0</formula>
    </cfRule>
  </conditionalFormatting>
  <conditionalFormatting sqref="H10:H1048576">
    <cfRule type="cellIs" dxfId="828" priority="2974" operator="lessThan">
      <formula>0</formula>
    </cfRule>
  </conditionalFormatting>
  <conditionalFormatting sqref="H10:H1048576">
    <cfRule type="cellIs" dxfId="827" priority="2973" operator="lessThan">
      <formula>0</formula>
    </cfRule>
  </conditionalFormatting>
  <conditionalFormatting sqref="H10:H1048576">
    <cfRule type="cellIs" dxfId="826" priority="2972" operator="lessThan">
      <formula>0</formula>
    </cfRule>
  </conditionalFormatting>
  <conditionalFormatting sqref="H10:H1048576">
    <cfRule type="cellIs" dxfId="825" priority="2971" operator="lessThan">
      <formula>0</formula>
    </cfRule>
  </conditionalFormatting>
  <conditionalFormatting sqref="H10:H1048576">
    <cfRule type="cellIs" dxfId="824" priority="2970" operator="lessThan">
      <formula>0</formula>
    </cfRule>
  </conditionalFormatting>
  <conditionalFormatting sqref="H10:H1048576">
    <cfRule type="cellIs" dxfId="823" priority="2969" operator="lessThan">
      <formula>0</formula>
    </cfRule>
  </conditionalFormatting>
  <conditionalFormatting sqref="H10:H1048576">
    <cfRule type="cellIs" dxfId="822" priority="2968" operator="lessThan">
      <formula>0</formula>
    </cfRule>
  </conditionalFormatting>
  <conditionalFormatting sqref="H10:H1048576">
    <cfRule type="cellIs" dxfId="821" priority="2967" operator="lessThan">
      <formula>0</formula>
    </cfRule>
  </conditionalFormatting>
  <conditionalFormatting sqref="H10:H1048576">
    <cfRule type="cellIs" dxfId="820" priority="2966" operator="lessThan">
      <formula>0</formula>
    </cfRule>
  </conditionalFormatting>
  <conditionalFormatting sqref="H10:H1048576">
    <cfRule type="cellIs" dxfId="819" priority="2965" operator="lessThan">
      <formula>0</formula>
    </cfRule>
  </conditionalFormatting>
  <conditionalFormatting sqref="H10:H1048576">
    <cfRule type="cellIs" dxfId="818" priority="2964" operator="lessThan">
      <formula>0</formula>
    </cfRule>
  </conditionalFormatting>
  <conditionalFormatting sqref="H10:H1048576">
    <cfRule type="cellIs" dxfId="817" priority="2963" operator="lessThan">
      <formula>0</formula>
    </cfRule>
  </conditionalFormatting>
  <conditionalFormatting sqref="H10:H1048576">
    <cfRule type="cellIs" dxfId="816" priority="2962" operator="lessThan">
      <formula>0</formula>
    </cfRule>
  </conditionalFormatting>
  <conditionalFormatting sqref="H10:H1048576">
    <cfRule type="cellIs" dxfId="815" priority="2961" operator="lessThan">
      <formula>0</formula>
    </cfRule>
  </conditionalFormatting>
  <conditionalFormatting sqref="H10:H1048576">
    <cfRule type="cellIs" dxfId="814" priority="2960" operator="lessThan">
      <formula>0</formula>
    </cfRule>
  </conditionalFormatting>
  <conditionalFormatting sqref="H10:H1048576">
    <cfRule type="cellIs" dxfId="813" priority="2959" operator="lessThan">
      <formula>0</formula>
    </cfRule>
  </conditionalFormatting>
  <conditionalFormatting sqref="H10:H1048576">
    <cfRule type="cellIs" dxfId="812" priority="2958" operator="lessThan">
      <formula>0</formula>
    </cfRule>
  </conditionalFormatting>
  <conditionalFormatting sqref="H10:H1048576">
    <cfRule type="cellIs" dxfId="811" priority="2957" operator="lessThan">
      <formula>0</formula>
    </cfRule>
  </conditionalFormatting>
  <conditionalFormatting sqref="H10:H1048576">
    <cfRule type="cellIs" dxfId="810" priority="2956" operator="lessThan">
      <formula>0</formula>
    </cfRule>
  </conditionalFormatting>
  <conditionalFormatting sqref="H10:H1048576">
    <cfRule type="cellIs" dxfId="809" priority="2955" operator="lessThan">
      <formula>0</formula>
    </cfRule>
  </conditionalFormatting>
  <conditionalFormatting sqref="H10:H1048576">
    <cfRule type="cellIs" dxfId="808" priority="2954" operator="lessThan">
      <formula>0</formula>
    </cfRule>
  </conditionalFormatting>
  <conditionalFormatting sqref="H10:H1048576">
    <cfRule type="cellIs" dxfId="807" priority="2953" operator="lessThan">
      <formula>0</formula>
    </cfRule>
  </conditionalFormatting>
  <conditionalFormatting sqref="H10:H1048576">
    <cfRule type="cellIs" dxfId="806" priority="2952" operator="lessThan">
      <formula>0</formula>
    </cfRule>
  </conditionalFormatting>
  <conditionalFormatting sqref="H10:H1048576">
    <cfRule type="cellIs" dxfId="805" priority="2951" operator="lessThan">
      <formula>0</formula>
    </cfRule>
  </conditionalFormatting>
  <conditionalFormatting sqref="H10:H1048576">
    <cfRule type="cellIs" dxfId="804" priority="2950" operator="lessThan">
      <formula>0</formula>
    </cfRule>
  </conditionalFormatting>
  <conditionalFormatting sqref="H10:H1048576">
    <cfRule type="cellIs" dxfId="803" priority="2949" operator="lessThan">
      <formula>0</formula>
    </cfRule>
  </conditionalFormatting>
  <conditionalFormatting sqref="H10:H1048576">
    <cfRule type="cellIs" dxfId="802" priority="2948" operator="lessThan">
      <formula>0</formula>
    </cfRule>
  </conditionalFormatting>
  <conditionalFormatting sqref="H10:H1048576">
    <cfRule type="cellIs" dxfId="801" priority="2947" operator="lessThan">
      <formula>0</formula>
    </cfRule>
  </conditionalFormatting>
  <conditionalFormatting sqref="H10:H1048576">
    <cfRule type="cellIs" dxfId="800" priority="2946" operator="lessThan">
      <formula>0</formula>
    </cfRule>
  </conditionalFormatting>
  <conditionalFormatting sqref="H10:H1048576">
    <cfRule type="cellIs" dxfId="799" priority="2945" operator="lessThan">
      <formula>0</formula>
    </cfRule>
  </conditionalFormatting>
  <conditionalFormatting sqref="H10:H1048576">
    <cfRule type="cellIs" dxfId="798" priority="2944" operator="lessThan">
      <formula>0</formula>
    </cfRule>
  </conditionalFormatting>
  <conditionalFormatting sqref="H10:H1048576">
    <cfRule type="cellIs" dxfId="797" priority="2943" operator="lessThan">
      <formula>0</formula>
    </cfRule>
  </conditionalFormatting>
  <conditionalFormatting sqref="H10:H1048576">
    <cfRule type="cellIs" dxfId="796" priority="2942" operator="lessThan">
      <formula>0</formula>
    </cfRule>
  </conditionalFormatting>
  <conditionalFormatting sqref="H10:H1048576">
    <cfRule type="cellIs" dxfId="795" priority="2941" operator="lessThan">
      <formula>0</formula>
    </cfRule>
  </conditionalFormatting>
  <conditionalFormatting sqref="H10:H1048576">
    <cfRule type="cellIs" dxfId="794" priority="2940" operator="lessThan">
      <formula>0</formula>
    </cfRule>
  </conditionalFormatting>
  <conditionalFormatting sqref="H10:H1048576">
    <cfRule type="cellIs" dxfId="793" priority="2939" operator="lessThan">
      <formula>0</formula>
    </cfRule>
  </conditionalFormatting>
  <conditionalFormatting sqref="H10:H1048576">
    <cfRule type="cellIs" dxfId="792" priority="2938" operator="lessThan">
      <formula>0</formula>
    </cfRule>
  </conditionalFormatting>
  <conditionalFormatting sqref="H10:H1048576">
    <cfRule type="cellIs" dxfId="791" priority="2937" operator="lessThan">
      <formula>0</formula>
    </cfRule>
  </conditionalFormatting>
  <conditionalFormatting sqref="H10:H1048576">
    <cfRule type="cellIs" dxfId="790" priority="2936" operator="lessThan">
      <formula>0</formula>
    </cfRule>
  </conditionalFormatting>
  <conditionalFormatting sqref="H10:H1048576">
    <cfRule type="cellIs" dxfId="789" priority="2935" operator="lessThan">
      <formula>0</formula>
    </cfRule>
  </conditionalFormatting>
  <conditionalFormatting sqref="H10:H1048576">
    <cfRule type="cellIs" dxfId="788" priority="2934" operator="lessThan">
      <formula>0</formula>
    </cfRule>
  </conditionalFormatting>
  <conditionalFormatting sqref="H10:H1048576">
    <cfRule type="cellIs" dxfId="787" priority="2933" operator="lessThan">
      <formula>0</formula>
    </cfRule>
  </conditionalFormatting>
  <conditionalFormatting sqref="H10:H1048576">
    <cfRule type="cellIs" dxfId="786" priority="2932" operator="lessThan">
      <formula>0</formula>
    </cfRule>
  </conditionalFormatting>
  <conditionalFormatting sqref="H10:H1048576">
    <cfRule type="cellIs" dxfId="785" priority="2931" operator="lessThan">
      <formula>0</formula>
    </cfRule>
  </conditionalFormatting>
  <conditionalFormatting sqref="H10:H1048576">
    <cfRule type="cellIs" dxfId="784" priority="2930" operator="lessThan">
      <formula>0</formula>
    </cfRule>
  </conditionalFormatting>
  <conditionalFormatting sqref="H10:H1048576">
    <cfRule type="cellIs" dxfId="783" priority="2929" operator="lessThan">
      <formula>0</formula>
    </cfRule>
  </conditionalFormatting>
  <conditionalFormatting sqref="H10:H1048576">
    <cfRule type="cellIs" dxfId="782" priority="2928" operator="lessThan">
      <formula>0</formula>
    </cfRule>
  </conditionalFormatting>
  <conditionalFormatting sqref="H10:H1048576">
    <cfRule type="cellIs" dxfId="781" priority="2927" operator="lessThan">
      <formula>0</formula>
    </cfRule>
  </conditionalFormatting>
  <conditionalFormatting sqref="H10:H1048576">
    <cfRule type="cellIs" dxfId="780" priority="2926" operator="lessThan">
      <formula>0</formula>
    </cfRule>
  </conditionalFormatting>
  <conditionalFormatting sqref="H10:H1048576">
    <cfRule type="cellIs" dxfId="779" priority="2925" operator="lessThan">
      <formula>0</formula>
    </cfRule>
  </conditionalFormatting>
  <conditionalFormatting sqref="H10:H1048576">
    <cfRule type="cellIs" dxfId="778" priority="2924" operator="lessThan">
      <formula>0</formula>
    </cfRule>
  </conditionalFormatting>
  <conditionalFormatting sqref="H10:H1048576">
    <cfRule type="cellIs" dxfId="777" priority="2923" operator="lessThan">
      <formula>0</formula>
    </cfRule>
  </conditionalFormatting>
  <conditionalFormatting sqref="H10:H1048576">
    <cfRule type="cellIs" dxfId="776" priority="2922" operator="lessThan">
      <formula>0</formula>
    </cfRule>
  </conditionalFormatting>
  <conditionalFormatting sqref="H10:H1048576">
    <cfRule type="cellIs" dxfId="775" priority="2921" operator="lessThan">
      <formula>0</formula>
    </cfRule>
  </conditionalFormatting>
  <conditionalFormatting sqref="H10:H1048576">
    <cfRule type="cellIs" dxfId="774" priority="2920" operator="lessThan">
      <formula>0</formula>
    </cfRule>
  </conditionalFormatting>
  <conditionalFormatting sqref="H10:H1048576">
    <cfRule type="cellIs" dxfId="773" priority="2919" operator="lessThan">
      <formula>0</formula>
    </cfRule>
  </conditionalFormatting>
  <conditionalFormatting sqref="H10:H1048576">
    <cfRule type="cellIs" dxfId="772" priority="2918" operator="lessThan">
      <formula>0</formula>
    </cfRule>
  </conditionalFormatting>
  <conditionalFormatting sqref="H10:H1048576">
    <cfRule type="cellIs" dxfId="771" priority="2917" operator="lessThan">
      <formula>0</formula>
    </cfRule>
  </conditionalFormatting>
  <conditionalFormatting sqref="H10:H1048576">
    <cfRule type="cellIs" dxfId="770" priority="2916" operator="lessThan">
      <formula>0</formula>
    </cfRule>
  </conditionalFormatting>
  <conditionalFormatting sqref="H10:H1048576">
    <cfRule type="cellIs" dxfId="769" priority="2915" operator="lessThan">
      <formula>0</formula>
    </cfRule>
  </conditionalFormatting>
  <conditionalFormatting sqref="H10:H1048576">
    <cfRule type="cellIs" dxfId="768" priority="2914" operator="lessThan">
      <formula>0</formula>
    </cfRule>
  </conditionalFormatting>
  <conditionalFormatting sqref="H10:H1048576">
    <cfRule type="cellIs" dxfId="767" priority="2913" operator="lessThan">
      <formula>0</formula>
    </cfRule>
  </conditionalFormatting>
  <conditionalFormatting sqref="H10:H1048576">
    <cfRule type="cellIs" dxfId="766" priority="2912" operator="lessThan">
      <formula>0</formula>
    </cfRule>
  </conditionalFormatting>
  <conditionalFormatting sqref="H10:H1048576">
    <cfRule type="cellIs" dxfId="765" priority="2911" operator="lessThan">
      <formula>0</formula>
    </cfRule>
  </conditionalFormatting>
  <conditionalFormatting sqref="H10:H1048576">
    <cfRule type="cellIs" dxfId="764" priority="2910" operator="lessThan">
      <formula>0</formula>
    </cfRule>
  </conditionalFormatting>
  <conditionalFormatting sqref="H10:H1048576">
    <cfRule type="cellIs" dxfId="763" priority="2909" operator="lessThan">
      <formula>0</formula>
    </cfRule>
  </conditionalFormatting>
  <conditionalFormatting sqref="H10:H1048576">
    <cfRule type="cellIs" dxfId="762" priority="2908" operator="lessThan">
      <formula>0</formula>
    </cfRule>
  </conditionalFormatting>
  <conditionalFormatting sqref="H10:H1048576">
    <cfRule type="cellIs" dxfId="761" priority="2907" operator="lessThan">
      <formula>0</formula>
    </cfRule>
  </conditionalFormatting>
  <conditionalFormatting sqref="H10:H1048576">
    <cfRule type="cellIs" dxfId="760" priority="2906" operator="lessThan">
      <formula>0</formula>
    </cfRule>
  </conditionalFormatting>
  <conditionalFormatting sqref="H10:H1048576">
    <cfRule type="cellIs" dxfId="759" priority="2905" operator="lessThan">
      <formula>0</formula>
    </cfRule>
  </conditionalFormatting>
  <conditionalFormatting sqref="H10:H1048576">
    <cfRule type="cellIs" dxfId="758" priority="2904" operator="lessThan">
      <formula>0</formula>
    </cfRule>
  </conditionalFormatting>
  <conditionalFormatting sqref="H10:H1048576">
    <cfRule type="cellIs" dxfId="757" priority="2903" operator="lessThan">
      <formula>0</formula>
    </cfRule>
  </conditionalFormatting>
  <conditionalFormatting sqref="H10:H1048576">
    <cfRule type="cellIs" dxfId="756" priority="2902" operator="lessThan">
      <formula>0</formula>
    </cfRule>
  </conditionalFormatting>
  <conditionalFormatting sqref="H10:H1048576">
    <cfRule type="cellIs" dxfId="755" priority="2901" operator="lessThan">
      <formula>0</formula>
    </cfRule>
  </conditionalFormatting>
  <conditionalFormatting sqref="H10:H1048576">
    <cfRule type="cellIs" dxfId="754" priority="2900" operator="lessThan">
      <formula>0</formula>
    </cfRule>
  </conditionalFormatting>
  <conditionalFormatting sqref="H10:H1048576">
    <cfRule type="cellIs" dxfId="753" priority="2899" operator="lessThan">
      <formula>0</formula>
    </cfRule>
  </conditionalFormatting>
  <conditionalFormatting sqref="H10:H1048576">
    <cfRule type="cellIs" dxfId="752" priority="2898" operator="lessThan">
      <formula>0</formula>
    </cfRule>
  </conditionalFormatting>
  <conditionalFormatting sqref="H10:H1048576">
    <cfRule type="cellIs" dxfId="751" priority="2897" operator="lessThan">
      <formula>0</formula>
    </cfRule>
  </conditionalFormatting>
  <conditionalFormatting sqref="H10:H1048576">
    <cfRule type="cellIs" dxfId="750" priority="2896" operator="lessThan">
      <formula>0</formula>
    </cfRule>
  </conditionalFormatting>
  <conditionalFormatting sqref="H10:H1048576">
    <cfRule type="cellIs" dxfId="749" priority="2895" operator="lessThan">
      <formula>0</formula>
    </cfRule>
  </conditionalFormatting>
  <conditionalFormatting sqref="H10:H1048576">
    <cfRule type="cellIs" dxfId="748" priority="2894" operator="lessThan">
      <formula>0</formula>
    </cfRule>
  </conditionalFormatting>
  <conditionalFormatting sqref="H10:H1048576">
    <cfRule type="cellIs" dxfId="747" priority="2893" operator="lessThan">
      <formula>0</formula>
    </cfRule>
  </conditionalFormatting>
  <conditionalFormatting sqref="H10:H1048576">
    <cfRule type="cellIs" dxfId="746" priority="2892" operator="lessThan">
      <formula>0</formula>
    </cfRule>
  </conditionalFormatting>
  <conditionalFormatting sqref="H10:H1048576">
    <cfRule type="cellIs" dxfId="745" priority="2891" operator="lessThan">
      <formula>0</formula>
    </cfRule>
  </conditionalFormatting>
  <conditionalFormatting sqref="H10:H1048576">
    <cfRule type="cellIs" dxfId="744" priority="2890" operator="lessThan">
      <formula>0</formula>
    </cfRule>
  </conditionalFormatting>
  <conditionalFormatting sqref="H10:H1048576">
    <cfRule type="cellIs" dxfId="743" priority="2889" operator="lessThan">
      <formula>0</formula>
    </cfRule>
  </conditionalFormatting>
  <conditionalFormatting sqref="H10:H1048576">
    <cfRule type="cellIs" dxfId="742" priority="2888" operator="lessThan">
      <formula>0</formula>
    </cfRule>
  </conditionalFormatting>
  <conditionalFormatting sqref="H10:H1048576">
    <cfRule type="cellIs" dxfId="741" priority="2887" operator="lessThan">
      <formula>0</formula>
    </cfRule>
  </conditionalFormatting>
  <conditionalFormatting sqref="H10:H1048576">
    <cfRule type="cellIs" dxfId="740" priority="2886" operator="lessThan">
      <formula>0</formula>
    </cfRule>
  </conditionalFormatting>
  <conditionalFormatting sqref="H10:H1048576">
    <cfRule type="cellIs" dxfId="739" priority="2885" operator="lessThan">
      <formula>0</formula>
    </cfRule>
  </conditionalFormatting>
  <conditionalFormatting sqref="H10:H1048576">
    <cfRule type="cellIs" dxfId="738" priority="2884" operator="lessThan">
      <formula>0</formula>
    </cfRule>
  </conditionalFormatting>
  <conditionalFormatting sqref="H10:H1048576">
    <cfRule type="cellIs" dxfId="737" priority="2883" operator="lessThan">
      <formula>0</formula>
    </cfRule>
  </conditionalFormatting>
  <conditionalFormatting sqref="H10:H1048576">
    <cfRule type="cellIs" dxfId="736" priority="2882" operator="lessThan">
      <formula>0</formula>
    </cfRule>
  </conditionalFormatting>
  <conditionalFormatting sqref="H10:H1048576">
    <cfRule type="cellIs" dxfId="735" priority="2881" operator="lessThan">
      <formula>0</formula>
    </cfRule>
  </conditionalFormatting>
  <conditionalFormatting sqref="H10:H1048576">
    <cfRule type="cellIs" dxfId="734" priority="2880" operator="lessThan">
      <formula>0</formula>
    </cfRule>
  </conditionalFormatting>
  <conditionalFormatting sqref="H10:H1048576">
    <cfRule type="cellIs" dxfId="733" priority="2879" operator="lessThan">
      <formula>0</formula>
    </cfRule>
  </conditionalFormatting>
  <conditionalFormatting sqref="H10:H1048576">
    <cfRule type="cellIs" dxfId="732" priority="2878" operator="lessThan">
      <formula>0</formula>
    </cfRule>
  </conditionalFormatting>
  <conditionalFormatting sqref="H10:H1048576">
    <cfRule type="cellIs" dxfId="731" priority="2877" operator="lessThan">
      <formula>0</formula>
    </cfRule>
  </conditionalFormatting>
  <conditionalFormatting sqref="H10:H1048576">
    <cfRule type="cellIs" dxfId="730" priority="2876" operator="lessThan">
      <formula>0</formula>
    </cfRule>
  </conditionalFormatting>
  <conditionalFormatting sqref="H10:H1048576">
    <cfRule type="cellIs" dxfId="729" priority="2875" operator="lessThan">
      <formula>0</formula>
    </cfRule>
  </conditionalFormatting>
  <conditionalFormatting sqref="H10:H1048576">
    <cfRule type="cellIs" dxfId="728" priority="2874" operator="lessThan">
      <formula>0</formula>
    </cfRule>
  </conditionalFormatting>
  <conditionalFormatting sqref="H10:H1048576">
    <cfRule type="cellIs" dxfId="727" priority="2873" operator="lessThan">
      <formula>0</formula>
    </cfRule>
  </conditionalFormatting>
  <conditionalFormatting sqref="H10:H1048576">
    <cfRule type="cellIs" dxfId="726" priority="2872" operator="lessThan">
      <formula>0</formula>
    </cfRule>
  </conditionalFormatting>
  <conditionalFormatting sqref="H10:H1048576">
    <cfRule type="cellIs" dxfId="725" priority="2871" operator="lessThan">
      <formula>0</formula>
    </cfRule>
  </conditionalFormatting>
  <conditionalFormatting sqref="H10:H1048576">
    <cfRule type="cellIs" dxfId="724" priority="2870" operator="lessThan">
      <formula>0</formula>
    </cfRule>
  </conditionalFormatting>
  <conditionalFormatting sqref="H10:H1048576">
    <cfRule type="cellIs" dxfId="723" priority="2869" operator="lessThan">
      <formula>0</formula>
    </cfRule>
  </conditionalFormatting>
  <conditionalFormatting sqref="H10:H1048576">
    <cfRule type="cellIs" dxfId="722" priority="2868" operator="lessThan">
      <formula>0</formula>
    </cfRule>
  </conditionalFormatting>
  <conditionalFormatting sqref="H10:H1048576">
    <cfRule type="cellIs" dxfId="721" priority="2867" operator="lessThan">
      <formula>0</formula>
    </cfRule>
  </conditionalFormatting>
  <conditionalFormatting sqref="H10:H1048576">
    <cfRule type="cellIs" dxfId="720" priority="2866" operator="lessThan">
      <formula>0</formula>
    </cfRule>
  </conditionalFormatting>
  <conditionalFormatting sqref="H10:H1048576">
    <cfRule type="cellIs" dxfId="719" priority="2865" operator="lessThan">
      <formula>0</formula>
    </cfRule>
  </conditionalFormatting>
  <conditionalFormatting sqref="H10:H1048576">
    <cfRule type="cellIs" dxfId="718" priority="2864" operator="lessThan">
      <formula>0</formula>
    </cfRule>
  </conditionalFormatting>
  <conditionalFormatting sqref="H10:H1048576">
    <cfRule type="cellIs" dxfId="717" priority="2863" operator="lessThan">
      <formula>0</formula>
    </cfRule>
  </conditionalFormatting>
  <conditionalFormatting sqref="H10:H1048576">
    <cfRule type="cellIs" dxfId="716" priority="2862" operator="lessThan">
      <formula>0</formula>
    </cfRule>
  </conditionalFormatting>
  <conditionalFormatting sqref="H10:H1048576">
    <cfRule type="cellIs" dxfId="715" priority="2861" operator="lessThan">
      <formula>0</formula>
    </cfRule>
  </conditionalFormatting>
  <conditionalFormatting sqref="H10:H1048576">
    <cfRule type="cellIs" dxfId="714" priority="2860" operator="lessThan">
      <formula>0</formula>
    </cfRule>
  </conditionalFormatting>
  <conditionalFormatting sqref="H10:H1048576">
    <cfRule type="cellIs" dxfId="713" priority="2859" operator="lessThan">
      <formula>0</formula>
    </cfRule>
  </conditionalFormatting>
  <conditionalFormatting sqref="H10:H1048576">
    <cfRule type="cellIs" dxfId="712" priority="2858" operator="lessThan">
      <formula>0</formula>
    </cfRule>
  </conditionalFormatting>
  <conditionalFormatting sqref="H10:H1048576">
    <cfRule type="cellIs" dxfId="711" priority="2857" operator="lessThan">
      <formula>0</formula>
    </cfRule>
  </conditionalFormatting>
  <conditionalFormatting sqref="H10:H1048576">
    <cfRule type="cellIs" dxfId="710" priority="2856" operator="lessThan">
      <formula>0</formula>
    </cfRule>
  </conditionalFormatting>
  <conditionalFormatting sqref="H10:H1048576">
    <cfRule type="cellIs" dxfId="709" priority="2855" operator="lessThan">
      <formula>0</formula>
    </cfRule>
  </conditionalFormatting>
  <conditionalFormatting sqref="H10:H1048576">
    <cfRule type="cellIs" dxfId="708" priority="2854" operator="lessThan">
      <formula>0</formula>
    </cfRule>
  </conditionalFormatting>
  <conditionalFormatting sqref="H10:H1048576">
    <cfRule type="cellIs" dxfId="707" priority="2853" operator="lessThan">
      <formula>0</formula>
    </cfRule>
  </conditionalFormatting>
  <conditionalFormatting sqref="H10:H1048576">
    <cfRule type="cellIs" dxfId="706" priority="2852" operator="lessThan">
      <formula>0</formula>
    </cfRule>
  </conditionalFormatting>
  <conditionalFormatting sqref="H10:H1048576">
    <cfRule type="cellIs" dxfId="705" priority="2851" operator="lessThan">
      <formula>0</formula>
    </cfRule>
  </conditionalFormatting>
  <conditionalFormatting sqref="H10:H1048576">
    <cfRule type="cellIs" dxfId="704" priority="2850" operator="lessThan">
      <formula>0</formula>
    </cfRule>
  </conditionalFormatting>
  <conditionalFormatting sqref="H10:H1048576">
    <cfRule type="cellIs" dxfId="703" priority="2849" operator="lessThan">
      <formula>0</formula>
    </cfRule>
  </conditionalFormatting>
  <conditionalFormatting sqref="H10:H1048576">
    <cfRule type="cellIs" dxfId="702" priority="2848" operator="lessThan">
      <formula>0</formula>
    </cfRule>
  </conditionalFormatting>
  <conditionalFormatting sqref="H10:H1048576">
    <cfRule type="cellIs" dxfId="701" priority="2847" operator="lessThan">
      <formula>0</formula>
    </cfRule>
  </conditionalFormatting>
  <conditionalFormatting sqref="H10:H1048576">
    <cfRule type="cellIs" dxfId="700" priority="2846" operator="lessThan">
      <formula>0</formula>
    </cfRule>
  </conditionalFormatting>
  <conditionalFormatting sqref="H10:H1048576">
    <cfRule type="cellIs" dxfId="699" priority="2845" operator="lessThan">
      <formula>0</formula>
    </cfRule>
  </conditionalFormatting>
  <conditionalFormatting sqref="H10:H1048576">
    <cfRule type="cellIs" dxfId="698" priority="2844" operator="lessThan">
      <formula>0</formula>
    </cfRule>
  </conditionalFormatting>
  <conditionalFormatting sqref="H10:H1048576">
    <cfRule type="cellIs" dxfId="697" priority="2843" operator="lessThan">
      <formula>0</formula>
    </cfRule>
  </conditionalFormatting>
  <conditionalFormatting sqref="H10:H1048576">
    <cfRule type="cellIs" dxfId="696" priority="2842" operator="lessThan">
      <formula>0</formula>
    </cfRule>
  </conditionalFormatting>
  <conditionalFormatting sqref="H10:H1048576">
    <cfRule type="cellIs" dxfId="695" priority="2841" operator="lessThan">
      <formula>0</formula>
    </cfRule>
  </conditionalFormatting>
  <conditionalFormatting sqref="H10:H1048576">
    <cfRule type="cellIs" dxfId="694" priority="2840" operator="lessThan">
      <formula>0</formula>
    </cfRule>
  </conditionalFormatting>
  <conditionalFormatting sqref="H10:H1048576">
    <cfRule type="cellIs" dxfId="693" priority="2839" operator="lessThan">
      <formula>0</formula>
    </cfRule>
  </conditionalFormatting>
  <conditionalFormatting sqref="H10:H1048576">
    <cfRule type="cellIs" dxfId="692" priority="2838" operator="lessThan">
      <formula>0</formula>
    </cfRule>
  </conditionalFormatting>
  <conditionalFormatting sqref="H10:H1048576">
    <cfRule type="cellIs" dxfId="691" priority="2837" operator="lessThan">
      <formula>0</formula>
    </cfRule>
  </conditionalFormatting>
  <conditionalFormatting sqref="H10:H1048576">
    <cfRule type="cellIs" dxfId="690" priority="2836" operator="lessThan">
      <formula>0</formula>
    </cfRule>
  </conditionalFormatting>
  <conditionalFormatting sqref="H10:H1048576">
    <cfRule type="cellIs" dxfId="689" priority="2835" operator="lessThan">
      <formula>0</formula>
    </cfRule>
  </conditionalFormatting>
  <conditionalFormatting sqref="H10:H1048576">
    <cfRule type="cellIs" dxfId="688" priority="2834" operator="lessThan">
      <formula>0</formula>
    </cfRule>
  </conditionalFormatting>
  <conditionalFormatting sqref="H10:H1048576">
    <cfRule type="cellIs" dxfId="687" priority="2833" operator="lessThan">
      <formula>0</formula>
    </cfRule>
  </conditionalFormatting>
  <conditionalFormatting sqref="H10:H1048576">
    <cfRule type="cellIs" dxfId="686" priority="2832" operator="lessThan">
      <formula>0</formula>
    </cfRule>
  </conditionalFormatting>
  <conditionalFormatting sqref="H10:H1048576">
    <cfRule type="cellIs" dxfId="685" priority="2831" operator="lessThan">
      <formula>0</formula>
    </cfRule>
  </conditionalFormatting>
  <conditionalFormatting sqref="H10:H1048576">
    <cfRule type="cellIs" dxfId="684" priority="2830" operator="lessThan">
      <formula>0</formula>
    </cfRule>
  </conditionalFormatting>
  <conditionalFormatting sqref="H10:H1048576">
    <cfRule type="cellIs" dxfId="683" priority="2829" operator="lessThan">
      <formula>0</formula>
    </cfRule>
  </conditionalFormatting>
  <conditionalFormatting sqref="H10:H1048576">
    <cfRule type="cellIs" dxfId="682" priority="2828" operator="lessThan">
      <formula>0</formula>
    </cfRule>
  </conditionalFormatting>
  <conditionalFormatting sqref="H10:H1048576">
    <cfRule type="cellIs" dxfId="681" priority="2827" operator="lessThan">
      <formula>0</formula>
    </cfRule>
  </conditionalFormatting>
  <conditionalFormatting sqref="H10:H1048576">
    <cfRule type="cellIs" dxfId="680" priority="2826" operator="lessThan">
      <formula>0</formula>
    </cfRule>
  </conditionalFormatting>
  <conditionalFormatting sqref="H10:H1048576">
    <cfRule type="cellIs" dxfId="679" priority="2825" operator="lessThan">
      <formula>0</formula>
    </cfRule>
  </conditionalFormatting>
  <conditionalFormatting sqref="H10:H1048576">
    <cfRule type="cellIs" dxfId="678" priority="2824" operator="lessThan">
      <formula>0</formula>
    </cfRule>
  </conditionalFormatting>
  <conditionalFormatting sqref="H10:H1048576">
    <cfRule type="cellIs" dxfId="677" priority="2823" operator="lessThan">
      <formula>0</formula>
    </cfRule>
  </conditionalFormatting>
  <conditionalFormatting sqref="H10:H1048576">
    <cfRule type="cellIs" dxfId="676" priority="2822" operator="lessThan">
      <formula>0</formula>
    </cfRule>
  </conditionalFormatting>
  <conditionalFormatting sqref="H10:H1048576">
    <cfRule type="cellIs" dxfId="675" priority="2821" operator="lessThan">
      <formula>0</formula>
    </cfRule>
  </conditionalFormatting>
  <conditionalFormatting sqref="H10:H1048576">
    <cfRule type="cellIs" dxfId="674" priority="2820" operator="lessThan">
      <formula>0</formula>
    </cfRule>
  </conditionalFormatting>
  <conditionalFormatting sqref="H10:H1048576">
    <cfRule type="cellIs" dxfId="673" priority="2819" operator="lessThan">
      <formula>0</formula>
    </cfRule>
  </conditionalFormatting>
  <conditionalFormatting sqref="H10:H1048576">
    <cfRule type="cellIs" dxfId="672" priority="2818" operator="lessThan">
      <formula>0</formula>
    </cfRule>
  </conditionalFormatting>
  <conditionalFormatting sqref="H10:H1048576">
    <cfRule type="cellIs" dxfId="671" priority="2817" operator="lessThan">
      <formula>0</formula>
    </cfRule>
  </conditionalFormatting>
  <conditionalFormatting sqref="H10:H1048576">
    <cfRule type="cellIs" dxfId="670" priority="2816" operator="lessThan">
      <formula>0</formula>
    </cfRule>
  </conditionalFormatting>
  <conditionalFormatting sqref="H10:H1048576">
    <cfRule type="cellIs" dxfId="669" priority="2815" operator="lessThan">
      <formula>0</formula>
    </cfRule>
  </conditionalFormatting>
  <conditionalFormatting sqref="H10:H1048576">
    <cfRule type="cellIs" dxfId="668" priority="2814" operator="lessThan">
      <formula>0</formula>
    </cfRule>
  </conditionalFormatting>
  <conditionalFormatting sqref="H10:H1048576">
    <cfRule type="cellIs" dxfId="667" priority="2813" operator="lessThan">
      <formula>0</formula>
    </cfRule>
  </conditionalFormatting>
  <conditionalFormatting sqref="H10:H1048576">
    <cfRule type="cellIs" dxfId="666" priority="2812" operator="lessThan">
      <formula>0</formula>
    </cfRule>
  </conditionalFormatting>
  <conditionalFormatting sqref="H10:H1048576">
    <cfRule type="cellIs" dxfId="665" priority="2811" operator="lessThan">
      <formula>0</formula>
    </cfRule>
  </conditionalFormatting>
  <conditionalFormatting sqref="H10:H1048576">
    <cfRule type="cellIs" dxfId="664" priority="2810" operator="lessThan">
      <formula>0</formula>
    </cfRule>
  </conditionalFormatting>
  <conditionalFormatting sqref="H10:H1048576">
    <cfRule type="cellIs" dxfId="663" priority="2809" operator="lessThan">
      <formula>0</formula>
    </cfRule>
  </conditionalFormatting>
  <conditionalFormatting sqref="H10:H1048576">
    <cfRule type="cellIs" dxfId="662" priority="2808" operator="lessThan">
      <formula>0</formula>
    </cfRule>
  </conditionalFormatting>
  <conditionalFormatting sqref="H10:H1048576">
    <cfRule type="cellIs" dxfId="661" priority="2807" operator="lessThan">
      <formula>0</formula>
    </cfRule>
  </conditionalFormatting>
  <conditionalFormatting sqref="H10:H1048576">
    <cfRule type="cellIs" dxfId="660" priority="2806" operator="lessThan">
      <formula>0</formula>
    </cfRule>
  </conditionalFormatting>
  <conditionalFormatting sqref="H10:H1048576">
    <cfRule type="cellIs" dxfId="659" priority="2805" operator="lessThan">
      <formula>0</formula>
    </cfRule>
  </conditionalFormatting>
  <conditionalFormatting sqref="H10:H1048576">
    <cfRule type="cellIs" dxfId="658" priority="2804" operator="lessThan">
      <formula>0</formula>
    </cfRule>
  </conditionalFormatting>
  <conditionalFormatting sqref="H10:H1048576">
    <cfRule type="cellIs" dxfId="657" priority="2803" operator="lessThan">
      <formula>0</formula>
    </cfRule>
  </conditionalFormatting>
  <conditionalFormatting sqref="H10:H1048576">
    <cfRule type="cellIs" dxfId="656" priority="2802" operator="lessThan">
      <formula>0</formula>
    </cfRule>
  </conditionalFormatting>
  <conditionalFormatting sqref="H10:H1048576">
    <cfRule type="cellIs" dxfId="655" priority="2801" operator="lessThan">
      <formula>0</formula>
    </cfRule>
  </conditionalFormatting>
  <conditionalFormatting sqref="H10:H1048576">
    <cfRule type="cellIs" dxfId="654" priority="2800" operator="lessThan">
      <formula>0</formula>
    </cfRule>
  </conditionalFormatting>
  <conditionalFormatting sqref="H10:H1048576">
    <cfRule type="cellIs" dxfId="653" priority="2799" operator="lessThan">
      <formula>0</formula>
    </cfRule>
  </conditionalFormatting>
  <conditionalFormatting sqref="H10:H1048576">
    <cfRule type="cellIs" dxfId="652" priority="2798" operator="lessThan">
      <formula>0</formula>
    </cfRule>
  </conditionalFormatting>
  <conditionalFormatting sqref="H10:H1048576">
    <cfRule type="cellIs" dxfId="651" priority="2797" operator="lessThan">
      <formula>0</formula>
    </cfRule>
  </conditionalFormatting>
  <conditionalFormatting sqref="H10:H1048576">
    <cfRule type="cellIs" dxfId="650" priority="2796" operator="lessThan">
      <formula>0</formula>
    </cfRule>
  </conditionalFormatting>
  <conditionalFormatting sqref="H10:H1048576">
    <cfRule type="cellIs" dxfId="649" priority="2795" operator="lessThan">
      <formula>0</formula>
    </cfRule>
  </conditionalFormatting>
  <conditionalFormatting sqref="H10:H1048576">
    <cfRule type="cellIs" dxfId="648" priority="2794" operator="lessThan">
      <formula>0</formula>
    </cfRule>
  </conditionalFormatting>
  <conditionalFormatting sqref="H10:H1048576">
    <cfRule type="cellIs" dxfId="647" priority="2793" operator="lessThan">
      <formula>0</formula>
    </cfRule>
  </conditionalFormatting>
  <conditionalFormatting sqref="H10:H1048576">
    <cfRule type="cellIs" dxfId="646" priority="2792" operator="lessThan">
      <formula>0</formula>
    </cfRule>
  </conditionalFormatting>
  <conditionalFormatting sqref="H10:H1048576">
    <cfRule type="cellIs" dxfId="645" priority="2791" operator="lessThan">
      <formula>0</formula>
    </cfRule>
  </conditionalFormatting>
  <conditionalFormatting sqref="H10:H1048576">
    <cfRule type="cellIs" dxfId="644" priority="2790" operator="lessThan">
      <formula>0</formula>
    </cfRule>
  </conditionalFormatting>
  <conditionalFormatting sqref="H10:H1048576">
    <cfRule type="cellIs" dxfId="643" priority="2789" operator="lessThan">
      <formula>0</formula>
    </cfRule>
  </conditionalFormatting>
  <conditionalFormatting sqref="H10:H1048576">
    <cfRule type="cellIs" dxfId="642" priority="2788" operator="lessThan">
      <formula>0</formula>
    </cfRule>
  </conditionalFormatting>
  <conditionalFormatting sqref="H10:H1048576">
    <cfRule type="cellIs" dxfId="641" priority="2787" operator="lessThan">
      <formula>0</formula>
    </cfRule>
  </conditionalFormatting>
  <conditionalFormatting sqref="H10:H1048576">
    <cfRule type="cellIs" dxfId="640" priority="2786" operator="lessThan">
      <formula>0</formula>
    </cfRule>
  </conditionalFormatting>
  <conditionalFormatting sqref="H10:H1048576">
    <cfRule type="cellIs" dxfId="639" priority="2785" operator="lessThan">
      <formula>0</formula>
    </cfRule>
  </conditionalFormatting>
  <conditionalFormatting sqref="H10:H1048576">
    <cfRule type="cellIs" dxfId="638" priority="2784" operator="lessThan">
      <formula>0</formula>
    </cfRule>
  </conditionalFormatting>
  <conditionalFormatting sqref="H10:H1048576">
    <cfRule type="cellIs" dxfId="637" priority="2783" operator="lessThan">
      <formula>0</formula>
    </cfRule>
  </conditionalFormatting>
  <conditionalFormatting sqref="H10:H1048576">
    <cfRule type="cellIs" dxfId="636" priority="2782" operator="lessThan">
      <formula>0</formula>
    </cfRule>
  </conditionalFormatting>
  <conditionalFormatting sqref="H10:H1048576">
    <cfRule type="cellIs" dxfId="635" priority="2781" operator="lessThan">
      <formula>0</formula>
    </cfRule>
  </conditionalFormatting>
  <conditionalFormatting sqref="H10:H1048576">
    <cfRule type="cellIs" dxfId="634" priority="2780" operator="lessThan">
      <formula>0</formula>
    </cfRule>
  </conditionalFormatting>
  <conditionalFormatting sqref="H10:H1048576">
    <cfRule type="cellIs" dxfId="633" priority="2779" operator="lessThan">
      <formula>0</formula>
    </cfRule>
  </conditionalFormatting>
  <conditionalFormatting sqref="H10:H1048576">
    <cfRule type="cellIs" dxfId="632" priority="2778" operator="lessThan">
      <formula>0</formula>
    </cfRule>
  </conditionalFormatting>
  <conditionalFormatting sqref="H10:H1048576">
    <cfRule type="cellIs" dxfId="631" priority="2777" operator="lessThan">
      <formula>0</formula>
    </cfRule>
  </conditionalFormatting>
  <conditionalFormatting sqref="H10:H1048576">
    <cfRule type="cellIs" dxfId="630" priority="2776" operator="lessThan">
      <formula>0</formula>
    </cfRule>
  </conditionalFormatting>
  <conditionalFormatting sqref="H10:H1048576">
    <cfRule type="cellIs" dxfId="629" priority="2775" operator="lessThan">
      <formula>0</formula>
    </cfRule>
  </conditionalFormatting>
  <conditionalFormatting sqref="H10:H1048576">
    <cfRule type="cellIs" dxfId="628" priority="2774" operator="lessThan">
      <formula>0</formula>
    </cfRule>
  </conditionalFormatting>
  <conditionalFormatting sqref="H10:H1048576">
    <cfRule type="cellIs" dxfId="627" priority="2773" operator="lessThan">
      <formula>0</formula>
    </cfRule>
  </conditionalFormatting>
  <conditionalFormatting sqref="H10:H1048576">
    <cfRule type="cellIs" dxfId="626" priority="2772" operator="lessThan">
      <formula>0</formula>
    </cfRule>
  </conditionalFormatting>
  <conditionalFormatting sqref="H10:H1048576">
    <cfRule type="cellIs" dxfId="625" priority="2771" operator="lessThan">
      <formula>0</formula>
    </cfRule>
  </conditionalFormatting>
  <conditionalFormatting sqref="H10:H1048576">
    <cfRule type="cellIs" dxfId="624" priority="2770" operator="lessThan">
      <formula>0</formula>
    </cfRule>
  </conditionalFormatting>
  <conditionalFormatting sqref="H10:H1048576">
    <cfRule type="cellIs" dxfId="623" priority="2769" operator="lessThan">
      <formula>0</formula>
    </cfRule>
  </conditionalFormatting>
  <conditionalFormatting sqref="H10:H1048576">
    <cfRule type="cellIs" dxfId="622" priority="2768" operator="lessThan">
      <formula>0</formula>
    </cfRule>
  </conditionalFormatting>
  <conditionalFormatting sqref="H10:H1048576">
    <cfRule type="cellIs" dxfId="621" priority="2767" operator="lessThan">
      <formula>0</formula>
    </cfRule>
  </conditionalFormatting>
  <conditionalFormatting sqref="H10:H1048576">
    <cfRule type="cellIs" dxfId="620" priority="2766" operator="lessThan">
      <formula>0</formula>
    </cfRule>
  </conditionalFormatting>
  <conditionalFormatting sqref="H10:H1048576">
    <cfRule type="cellIs" dxfId="619" priority="2765" operator="lessThan">
      <formula>0</formula>
    </cfRule>
  </conditionalFormatting>
  <conditionalFormatting sqref="H10:H1048576">
    <cfRule type="cellIs" dxfId="618" priority="2764" operator="lessThan">
      <formula>0</formula>
    </cfRule>
  </conditionalFormatting>
  <conditionalFormatting sqref="H10:H1048576">
    <cfRule type="cellIs" dxfId="617" priority="2763" operator="lessThan">
      <formula>0</formula>
    </cfRule>
  </conditionalFormatting>
  <conditionalFormatting sqref="H10:H1048576">
    <cfRule type="cellIs" dxfId="616" priority="2762" operator="lessThan">
      <formula>0</formula>
    </cfRule>
  </conditionalFormatting>
  <conditionalFormatting sqref="H10:H1048576">
    <cfRule type="cellIs" dxfId="615" priority="2761" operator="lessThan">
      <formula>0</formula>
    </cfRule>
  </conditionalFormatting>
  <conditionalFormatting sqref="H10:H1048576">
    <cfRule type="cellIs" dxfId="614" priority="2760" operator="lessThan">
      <formula>0</formula>
    </cfRule>
  </conditionalFormatting>
  <conditionalFormatting sqref="H10:H1048576">
    <cfRule type="cellIs" dxfId="613" priority="2759" operator="lessThan">
      <formula>0</formula>
    </cfRule>
  </conditionalFormatting>
  <conditionalFormatting sqref="H10:H1048576">
    <cfRule type="cellIs" dxfId="612" priority="2758" operator="lessThan">
      <formula>0</formula>
    </cfRule>
  </conditionalFormatting>
  <conditionalFormatting sqref="H10:H1048576">
    <cfRule type="cellIs" dxfId="611" priority="2757" operator="lessThan">
      <formula>0</formula>
    </cfRule>
  </conditionalFormatting>
  <conditionalFormatting sqref="H10:H1048576">
    <cfRule type="cellIs" dxfId="610" priority="2756" operator="lessThan">
      <formula>0</formula>
    </cfRule>
  </conditionalFormatting>
  <conditionalFormatting sqref="H10:H1048576">
    <cfRule type="cellIs" dxfId="609" priority="2755" operator="lessThan">
      <formula>0</formula>
    </cfRule>
  </conditionalFormatting>
  <conditionalFormatting sqref="H10:H1048576">
    <cfRule type="cellIs" dxfId="608" priority="2754" operator="lessThan">
      <formula>0</formula>
    </cfRule>
  </conditionalFormatting>
  <conditionalFormatting sqref="H10:H1048576">
    <cfRule type="cellIs" dxfId="607" priority="2753" operator="lessThan">
      <formula>0</formula>
    </cfRule>
  </conditionalFormatting>
  <conditionalFormatting sqref="H10:H1048576">
    <cfRule type="cellIs" dxfId="606" priority="2752" operator="lessThan">
      <formula>0</formula>
    </cfRule>
  </conditionalFormatting>
  <conditionalFormatting sqref="H10:H1048576">
    <cfRule type="cellIs" dxfId="605" priority="2751" operator="lessThan">
      <formula>0</formula>
    </cfRule>
  </conditionalFormatting>
  <conditionalFormatting sqref="H10:H1048576">
    <cfRule type="cellIs" dxfId="604" priority="2750" operator="lessThan">
      <formula>0</formula>
    </cfRule>
  </conditionalFormatting>
  <conditionalFormatting sqref="H10:H1048576">
    <cfRule type="cellIs" dxfId="603" priority="2749" operator="lessThan">
      <formula>0</formula>
    </cfRule>
  </conditionalFormatting>
  <conditionalFormatting sqref="H10:H1048576">
    <cfRule type="cellIs" dxfId="602" priority="2748" operator="lessThan">
      <formula>0</formula>
    </cfRule>
  </conditionalFormatting>
  <conditionalFormatting sqref="H10:H1048576">
    <cfRule type="cellIs" dxfId="601" priority="2747" operator="lessThan">
      <formula>0</formula>
    </cfRule>
  </conditionalFormatting>
  <conditionalFormatting sqref="H10:H1048576">
    <cfRule type="cellIs" dxfId="600" priority="2746" operator="lessThan">
      <formula>0</formula>
    </cfRule>
  </conditionalFormatting>
  <conditionalFormatting sqref="H10:H1048576">
    <cfRule type="cellIs" dxfId="599" priority="2745" operator="lessThan">
      <formula>0</formula>
    </cfRule>
  </conditionalFormatting>
  <conditionalFormatting sqref="H10:H1048576">
    <cfRule type="cellIs" dxfId="598" priority="2744" operator="lessThan">
      <formula>0</formula>
    </cfRule>
  </conditionalFormatting>
  <conditionalFormatting sqref="H10:H1048576">
    <cfRule type="cellIs" dxfId="597" priority="2743" operator="lessThan">
      <formula>0</formula>
    </cfRule>
  </conditionalFormatting>
  <conditionalFormatting sqref="H10:H1048576">
    <cfRule type="cellIs" dxfId="596" priority="2742" operator="lessThan">
      <formula>0</formula>
    </cfRule>
  </conditionalFormatting>
  <conditionalFormatting sqref="H10:H1048576">
    <cfRule type="cellIs" dxfId="595" priority="2741" operator="lessThan">
      <formula>0</formula>
    </cfRule>
  </conditionalFormatting>
  <conditionalFormatting sqref="H10:H1048576">
    <cfRule type="cellIs" dxfId="594" priority="2740" operator="lessThan">
      <formula>0</formula>
    </cfRule>
  </conditionalFormatting>
  <conditionalFormatting sqref="H10:H1048576">
    <cfRule type="cellIs" dxfId="593" priority="2739" operator="lessThan">
      <formula>0</formula>
    </cfRule>
  </conditionalFormatting>
  <conditionalFormatting sqref="H10:H1048576">
    <cfRule type="cellIs" dxfId="592" priority="2738" operator="lessThan">
      <formula>0</formula>
    </cfRule>
  </conditionalFormatting>
  <conditionalFormatting sqref="H10:H1048576">
    <cfRule type="cellIs" dxfId="591" priority="2737" operator="lessThan">
      <formula>0</formula>
    </cfRule>
  </conditionalFormatting>
  <conditionalFormatting sqref="H10:H1048576">
    <cfRule type="cellIs" dxfId="590" priority="2736" operator="lessThan">
      <formula>0</formula>
    </cfRule>
  </conditionalFormatting>
  <conditionalFormatting sqref="H10:H1048576">
    <cfRule type="cellIs" dxfId="589" priority="2735" operator="lessThan">
      <formula>0</formula>
    </cfRule>
  </conditionalFormatting>
  <conditionalFormatting sqref="H10:H1048576">
    <cfRule type="cellIs" dxfId="588" priority="2734" operator="lessThan">
      <formula>0</formula>
    </cfRule>
  </conditionalFormatting>
  <conditionalFormatting sqref="H10:H1048576">
    <cfRule type="cellIs" dxfId="587" priority="2733" operator="lessThan">
      <formula>0</formula>
    </cfRule>
  </conditionalFormatting>
  <conditionalFormatting sqref="H10:H1048576">
    <cfRule type="cellIs" dxfId="586" priority="2732" operator="lessThan">
      <formula>0</formula>
    </cfRule>
  </conditionalFormatting>
  <conditionalFormatting sqref="H10:H1048576">
    <cfRule type="cellIs" dxfId="585" priority="2731" operator="lessThan">
      <formula>0</formula>
    </cfRule>
  </conditionalFormatting>
  <conditionalFormatting sqref="H10:H1048576">
    <cfRule type="cellIs" dxfId="584" priority="2730" operator="lessThan">
      <formula>0</formula>
    </cfRule>
  </conditionalFormatting>
  <conditionalFormatting sqref="H10:H1048576">
    <cfRule type="cellIs" dxfId="583" priority="2729" operator="lessThan">
      <formula>0</formula>
    </cfRule>
  </conditionalFormatting>
  <conditionalFormatting sqref="H10:H1048576">
    <cfRule type="cellIs" dxfId="582" priority="2728" operator="lessThan">
      <formula>0</formula>
    </cfRule>
  </conditionalFormatting>
  <conditionalFormatting sqref="H10:H1048576">
    <cfRule type="cellIs" dxfId="581" priority="2727" operator="lessThan">
      <formula>0</formula>
    </cfRule>
  </conditionalFormatting>
  <conditionalFormatting sqref="H10:H1048576">
    <cfRule type="cellIs" dxfId="580" priority="2726" operator="lessThan">
      <formula>0</formula>
    </cfRule>
  </conditionalFormatting>
  <conditionalFormatting sqref="H10:H1048576">
    <cfRule type="cellIs" dxfId="579" priority="2725" operator="lessThan">
      <formula>0</formula>
    </cfRule>
  </conditionalFormatting>
  <conditionalFormatting sqref="H10:H1048576">
    <cfRule type="cellIs" dxfId="578" priority="2724" operator="lessThan">
      <formula>0</formula>
    </cfRule>
  </conditionalFormatting>
  <conditionalFormatting sqref="H10:H1048576">
    <cfRule type="cellIs" dxfId="577" priority="2723" operator="lessThan">
      <formula>0</formula>
    </cfRule>
  </conditionalFormatting>
  <conditionalFormatting sqref="H10:H1048576">
    <cfRule type="cellIs" dxfId="576" priority="2722" operator="lessThan">
      <formula>0</formula>
    </cfRule>
  </conditionalFormatting>
  <conditionalFormatting sqref="H10:H1048576">
    <cfRule type="cellIs" dxfId="575" priority="2721" operator="lessThan">
      <formula>0</formula>
    </cfRule>
  </conditionalFormatting>
  <conditionalFormatting sqref="H10:H1048576">
    <cfRule type="cellIs" dxfId="574" priority="2720" operator="lessThan">
      <formula>0</formula>
    </cfRule>
  </conditionalFormatting>
  <conditionalFormatting sqref="H10:H1048576">
    <cfRule type="cellIs" dxfId="573" priority="2719" operator="lessThan">
      <formula>0</formula>
    </cfRule>
  </conditionalFormatting>
  <conditionalFormatting sqref="H10:H1048576">
    <cfRule type="cellIs" dxfId="572" priority="2718" operator="lessThan">
      <formula>0</formula>
    </cfRule>
  </conditionalFormatting>
  <conditionalFormatting sqref="H10:H1048576">
    <cfRule type="cellIs" dxfId="571" priority="2717" operator="lessThan">
      <formula>0</formula>
    </cfRule>
  </conditionalFormatting>
  <conditionalFormatting sqref="H10:H1048576">
    <cfRule type="cellIs" dxfId="570" priority="2716" operator="lessThan">
      <formula>0</formula>
    </cfRule>
  </conditionalFormatting>
  <conditionalFormatting sqref="H10:H1048576">
    <cfRule type="cellIs" dxfId="569" priority="2715" operator="lessThan">
      <formula>0</formula>
    </cfRule>
  </conditionalFormatting>
  <conditionalFormatting sqref="H10:H1048576">
    <cfRule type="cellIs" dxfId="568" priority="2714" operator="lessThan">
      <formula>0</formula>
    </cfRule>
  </conditionalFormatting>
  <conditionalFormatting sqref="H10:H1048576">
    <cfRule type="cellIs" dxfId="567" priority="2713" operator="lessThan">
      <formula>0</formula>
    </cfRule>
  </conditionalFormatting>
  <conditionalFormatting sqref="H10:H1048576">
    <cfRule type="cellIs" dxfId="566" priority="2712" operator="lessThan">
      <formula>0</formula>
    </cfRule>
  </conditionalFormatting>
  <conditionalFormatting sqref="H10:H1048576">
    <cfRule type="cellIs" dxfId="565" priority="2711" operator="lessThan">
      <formula>0</formula>
    </cfRule>
  </conditionalFormatting>
  <conditionalFormatting sqref="H10:H1048576">
    <cfRule type="cellIs" dxfId="564" priority="2710" operator="lessThan">
      <formula>0</formula>
    </cfRule>
  </conditionalFormatting>
  <conditionalFormatting sqref="H10:H1048576">
    <cfRule type="cellIs" dxfId="563" priority="2709" operator="lessThan">
      <formula>0</formula>
    </cfRule>
  </conditionalFormatting>
  <conditionalFormatting sqref="H10:H1048576">
    <cfRule type="cellIs" dxfId="562" priority="2708" operator="lessThan">
      <formula>0</formula>
    </cfRule>
  </conditionalFormatting>
  <conditionalFormatting sqref="H10:H1048576">
    <cfRule type="cellIs" dxfId="561" priority="2707" operator="lessThan">
      <formula>0</formula>
    </cfRule>
  </conditionalFormatting>
  <conditionalFormatting sqref="H10:H1048576">
    <cfRule type="cellIs" dxfId="560" priority="2706" operator="lessThan">
      <formula>0</formula>
    </cfRule>
  </conditionalFormatting>
  <conditionalFormatting sqref="H10:H1048576">
    <cfRule type="cellIs" dxfId="559" priority="2705" operator="lessThan">
      <formula>0</formula>
    </cfRule>
  </conditionalFormatting>
  <conditionalFormatting sqref="H10:H1048576">
    <cfRule type="cellIs" dxfId="558" priority="2704" operator="lessThan">
      <formula>0</formula>
    </cfRule>
  </conditionalFormatting>
  <conditionalFormatting sqref="H10:H1048576">
    <cfRule type="cellIs" dxfId="557" priority="2703" operator="lessThan">
      <formula>0</formula>
    </cfRule>
  </conditionalFormatting>
  <conditionalFormatting sqref="H10:H1048576">
    <cfRule type="cellIs" dxfId="556" priority="2702" operator="lessThan">
      <formula>0</formula>
    </cfRule>
  </conditionalFormatting>
  <conditionalFormatting sqref="H10:H1048576">
    <cfRule type="cellIs" dxfId="555" priority="2701" operator="lessThan">
      <formula>0</formula>
    </cfRule>
  </conditionalFormatting>
  <conditionalFormatting sqref="H10:H1048576">
    <cfRule type="cellIs" dxfId="554" priority="2700" operator="lessThan">
      <formula>0</formula>
    </cfRule>
  </conditionalFormatting>
  <conditionalFormatting sqref="H10:H1048576">
    <cfRule type="cellIs" dxfId="553" priority="2699" operator="lessThan">
      <formula>0</formula>
    </cfRule>
  </conditionalFormatting>
  <conditionalFormatting sqref="H10:H1048576">
    <cfRule type="cellIs" dxfId="552" priority="2698" operator="lessThan">
      <formula>0</formula>
    </cfRule>
  </conditionalFormatting>
  <conditionalFormatting sqref="H10:H1048576">
    <cfRule type="cellIs" dxfId="551" priority="2697" operator="lessThan">
      <formula>0</formula>
    </cfRule>
  </conditionalFormatting>
  <conditionalFormatting sqref="H10:H1048576">
    <cfRule type="cellIs" dxfId="550" priority="2696" operator="lessThan">
      <formula>0</formula>
    </cfRule>
  </conditionalFormatting>
  <conditionalFormatting sqref="H10:H1048576">
    <cfRule type="cellIs" dxfId="549" priority="2695" operator="lessThan">
      <formula>0</formula>
    </cfRule>
  </conditionalFormatting>
  <conditionalFormatting sqref="H10:H1048576">
    <cfRule type="cellIs" dxfId="548" priority="2694" operator="lessThan">
      <formula>0</formula>
    </cfRule>
  </conditionalFormatting>
  <conditionalFormatting sqref="H10:H1048576">
    <cfRule type="cellIs" dxfId="547" priority="2693" operator="lessThan">
      <formula>0</formula>
    </cfRule>
  </conditionalFormatting>
  <conditionalFormatting sqref="H10:H1048576">
    <cfRule type="cellIs" dxfId="546" priority="2692" operator="lessThan">
      <formula>0</formula>
    </cfRule>
  </conditionalFormatting>
  <conditionalFormatting sqref="H10:H1048576">
    <cfRule type="cellIs" dxfId="545" priority="2691" operator="lessThan">
      <formula>0</formula>
    </cfRule>
  </conditionalFormatting>
  <conditionalFormatting sqref="H10:H1048576">
    <cfRule type="cellIs" dxfId="544" priority="2690" operator="lessThan">
      <formula>0</formula>
    </cfRule>
  </conditionalFormatting>
  <conditionalFormatting sqref="H10:H1048576">
    <cfRule type="cellIs" dxfId="543" priority="2689" operator="lessThan">
      <formula>0</formula>
    </cfRule>
  </conditionalFormatting>
  <conditionalFormatting sqref="H10:H1048576">
    <cfRule type="cellIs" dxfId="542" priority="2688" operator="lessThan">
      <formula>0</formula>
    </cfRule>
  </conditionalFormatting>
  <conditionalFormatting sqref="H10:H1048576">
    <cfRule type="cellIs" dxfId="541" priority="2687" operator="lessThan">
      <formula>0</formula>
    </cfRule>
  </conditionalFormatting>
  <conditionalFormatting sqref="H10:H1048576">
    <cfRule type="cellIs" dxfId="540" priority="2686" operator="lessThan">
      <formula>0</formula>
    </cfRule>
  </conditionalFormatting>
  <conditionalFormatting sqref="H10:H1048576">
    <cfRule type="cellIs" dxfId="539" priority="2685" operator="lessThan">
      <formula>0</formula>
    </cfRule>
  </conditionalFormatting>
  <conditionalFormatting sqref="H10:H1048576">
    <cfRule type="cellIs" dxfId="538" priority="2684" operator="lessThan">
      <formula>0</formula>
    </cfRule>
  </conditionalFormatting>
  <conditionalFormatting sqref="H10:H1048576">
    <cfRule type="cellIs" dxfId="537" priority="2683" operator="lessThan">
      <formula>0</formula>
    </cfRule>
  </conditionalFormatting>
  <conditionalFormatting sqref="H10:H1048576">
    <cfRule type="cellIs" dxfId="536" priority="2682" operator="lessThan">
      <formula>0</formula>
    </cfRule>
  </conditionalFormatting>
  <conditionalFormatting sqref="H10:H1048576">
    <cfRule type="cellIs" dxfId="535" priority="2681" operator="lessThan">
      <formula>0</formula>
    </cfRule>
  </conditionalFormatting>
  <conditionalFormatting sqref="H10:H1048576">
    <cfRule type="cellIs" dxfId="534" priority="2680" operator="lessThan">
      <formula>0</formula>
    </cfRule>
  </conditionalFormatting>
  <conditionalFormatting sqref="H10:H1048576">
    <cfRule type="cellIs" dxfId="533" priority="2679" operator="lessThan">
      <formula>0</formula>
    </cfRule>
  </conditionalFormatting>
  <conditionalFormatting sqref="H10:H1048576">
    <cfRule type="cellIs" dxfId="532" priority="2678" operator="lessThan">
      <formula>0</formula>
    </cfRule>
  </conditionalFormatting>
  <conditionalFormatting sqref="H10:H1048576">
    <cfRule type="cellIs" dxfId="531" priority="2677" operator="lessThan">
      <formula>0</formula>
    </cfRule>
  </conditionalFormatting>
  <conditionalFormatting sqref="H10:H1048576">
    <cfRule type="cellIs" dxfId="530" priority="2676" operator="lessThan">
      <formula>0</formula>
    </cfRule>
  </conditionalFormatting>
  <conditionalFormatting sqref="H10:H1048576">
    <cfRule type="cellIs" dxfId="529" priority="2675" operator="lessThan">
      <formula>0</formula>
    </cfRule>
  </conditionalFormatting>
  <conditionalFormatting sqref="H10:H1048576">
    <cfRule type="cellIs" dxfId="528" priority="2674" operator="lessThan">
      <formula>0</formula>
    </cfRule>
  </conditionalFormatting>
  <conditionalFormatting sqref="H10:H1048576">
    <cfRule type="cellIs" dxfId="527" priority="2673" operator="lessThan">
      <formula>0</formula>
    </cfRule>
  </conditionalFormatting>
  <conditionalFormatting sqref="H10:H1048576">
    <cfRule type="cellIs" dxfId="526" priority="2672" operator="lessThan">
      <formula>0</formula>
    </cfRule>
  </conditionalFormatting>
  <conditionalFormatting sqref="H10:H1048576">
    <cfRule type="cellIs" dxfId="525" priority="2671" operator="lessThan">
      <formula>0</formula>
    </cfRule>
  </conditionalFormatting>
  <conditionalFormatting sqref="H10:H1048576">
    <cfRule type="cellIs" dxfId="524" priority="2670" operator="lessThan">
      <formula>0</formula>
    </cfRule>
  </conditionalFormatting>
  <conditionalFormatting sqref="H10:H1048576">
    <cfRule type="cellIs" dxfId="523" priority="2669" operator="lessThan">
      <formula>0</formula>
    </cfRule>
  </conditionalFormatting>
  <conditionalFormatting sqref="H10:H1048576">
    <cfRule type="cellIs" dxfId="522" priority="2668" operator="lessThan">
      <formula>0</formula>
    </cfRule>
  </conditionalFormatting>
  <conditionalFormatting sqref="H10:H1048576">
    <cfRule type="cellIs" dxfId="521" priority="2667" operator="lessThan">
      <formula>0</formula>
    </cfRule>
  </conditionalFormatting>
  <conditionalFormatting sqref="H10:H1048576">
    <cfRule type="cellIs" dxfId="520" priority="2666" operator="lessThan">
      <formula>0</formula>
    </cfRule>
  </conditionalFormatting>
  <conditionalFormatting sqref="H10:H1048576">
    <cfRule type="cellIs" dxfId="519" priority="2665" operator="lessThan">
      <formula>0</formula>
    </cfRule>
  </conditionalFormatting>
  <conditionalFormatting sqref="H10:H1048576">
    <cfRule type="cellIs" dxfId="518" priority="2664" operator="lessThan">
      <formula>0</formula>
    </cfRule>
  </conditionalFormatting>
  <conditionalFormatting sqref="H10:H1048576">
    <cfRule type="cellIs" dxfId="517" priority="2663" operator="lessThan">
      <formula>0</formula>
    </cfRule>
  </conditionalFormatting>
  <conditionalFormatting sqref="H10:H1048576">
    <cfRule type="cellIs" dxfId="516" priority="2662" operator="lessThan">
      <formula>0</formula>
    </cfRule>
  </conditionalFormatting>
  <conditionalFormatting sqref="H10:H1048576">
    <cfRule type="cellIs" dxfId="515" priority="2661" operator="lessThan">
      <formula>0</formula>
    </cfRule>
  </conditionalFormatting>
  <conditionalFormatting sqref="H10:H1048576">
    <cfRule type="cellIs" dxfId="514" priority="2660" operator="lessThan">
      <formula>0</formula>
    </cfRule>
  </conditionalFormatting>
  <conditionalFormatting sqref="H10:H1048576">
    <cfRule type="cellIs" dxfId="513" priority="2659" operator="lessThan">
      <formula>0</formula>
    </cfRule>
  </conditionalFormatting>
  <conditionalFormatting sqref="H10:H1048576">
    <cfRule type="cellIs" dxfId="512" priority="2658" operator="lessThan">
      <formula>0</formula>
    </cfRule>
  </conditionalFormatting>
  <conditionalFormatting sqref="H10:H1048576">
    <cfRule type="cellIs" dxfId="511" priority="2657" operator="lessThan">
      <formula>0</formula>
    </cfRule>
  </conditionalFormatting>
  <conditionalFormatting sqref="H10:H1048576">
    <cfRule type="cellIs" dxfId="510" priority="2656" operator="lessThan">
      <formula>0</formula>
    </cfRule>
  </conditionalFormatting>
  <conditionalFormatting sqref="H10:H1048576">
    <cfRule type="cellIs" dxfId="509" priority="2655" operator="lessThan">
      <formula>0</formula>
    </cfRule>
  </conditionalFormatting>
  <conditionalFormatting sqref="H10:H1048576">
    <cfRule type="cellIs" dxfId="508" priority="2654" operator="lessThan">
      <formula>0</formula>
    </cfRule>
  </conditionalFormatting>
  <conditionalFormatting sqref="H10:H1048576">
    <cfRule type="cellIs" dxfId="507" priority="2653" operator="lessThan">
      <formula>0</formula>
    </cfRule>
  </conditionalFormatting>
  <conditionalFormatting sqref="H10:H1048576">
    <cfRule type="cellIs" dxfId="506" priority="2652" operator="lessThan">
      <formula>0</formula>
    </cfRule>
  </conditionalFormatting>
  <conditionalFormatting sqref="H10:H1048576">
    <cfRule type="cellIs" dxfId="505" priority="2651" operator="lessThan">
      <formula>0</formula>
    </cfRule>
  </conditionalFormatting>
  <conditionalFormatting sqref="H10:H1048576">
    <cfRule type="cellIs" dxfId="504" priority="2650" operator="lessThan">
      <formula>0</formula>
    </cfRule>
  </conditionalFormatting>
  <conditionalFormatting sqref="H10:H1048576">
    <cfRule type="cellIs" dxfId="503" priority="2649" operator="lessThan">
      <formula>0</formula>
    </cfRule>
  </conditionalFormatting>
  <conditionalFormatting sqref="H10:H1048576">
    <cfRule type="cellIs" dxfId="502" priority="2648" operator="lessThan">
      <formula>0</formula>
    </cfRule>
  </conditionalFormatting>
  <conditionalFormatting sqref="H10:H1048576">
    <cfRule type="cellIs" dxfId="501" priority="2647" operator="lessThan">
      <formula>0</formula>
    </cfRule>
  </conditionalFormatting>
  <conditionalFormatting sqref="H10:H1048576">
    <cfRule type="cellIs" dxfId="500" priority="2646" operator="lessThan">
      <formula>0</formula>
    </cfRule>
  </conditionalFormatting>
  <conditionalFormatting sqref="H10:H1048576">
    <cfRule type="cellIs" dxfId="499" priority="2645" operator="lessThan">
      <formula>0</formula>
    </cfRule>
  </conditionalFormatting>
  <conditionalFormatting sqref="H10:H1048576">
    <cfRule type="cellIs" dxfId="498" priority="2644" operator="lessThan">
      <formula>0</formula>
    </cfRule>
  </conditionalFormatting>
  <conditionalFormatting sqref="H10:H1048576">
    <cfRule type="cellIs" dxfId="497" priority="2643" operator="lessThan">
      <formula>0</formula>
    </cfRule>
  </conditionalFormatting>
  <conditionalFormatting sqref="H10:H1048576">
    <cfRule type="cellIs" dxfId="496" priority="2642" operator="lessThan">
      <formula>0</formula>
    </cfRule>
  </conditionalFormatting>
  <conditionalFormatting sqref="H10:H1048576">
    <cfRule type="cellIs" dxfId="495" priority="2641" operator="lessThan">
      <formula>0</formula>
    </cfRule>
  </conditionalFormatting>
  <conditionalFormatting sqref="H10:H1048576">
    <cfRule type="cellIs" dxfId="494" priority="2640" operator="lessThan">
      <formula>0</formula>
    </cfRule>
  </conditionalFormatting>
  <conditionalFormatting sqref="H10:H1048576">
    <cfRule type="cellIs" dxfId="493" priority="2639" operator="lessThan">
      <formula>0</formula>
    </cfRule>
  </conditionalFormatting>
  <conditionalFormatting sqref="H10:H1048576">
    <cfRule type="cellIs" dxfId="492" priority="2638" operator="lessThan">
      <formula>0</formula>
    </cfRule>
  </conditionalFormatting>
  <conditionalFormatting sqref="H10:H1048576">
    <cfRule type="cellIs" dxfId="491" priority="2637" operator="lessThan">
      <formula>0</formula>
    </cfRule>
  </conditionalFormatting>
  <conditionalFormatting sqref="H10:H1048576">
    <cfRule type="cellIs" dxfId="490" priority="2636" operator="lessThan">
      <formula>0</formula>
    </cfRule>
  </conditionalFormatting>
  <conditionalFormatting sqref="H10:H1048576">
    <cfRule type="cellIs" dxfId="489" priority="2635" operator="lessThan">
      <formula>0</formula>
    </cfRule>
  </conditionalFormatting>
  <conditionalFormatting sqref="H10:H1048576">
    <cfRule type="cellIs" dxfId="488" priority="2634" operator="lessThan">
      <formula>0</formula>
    </cfRule>
  </conditionalFormatting>
  <conditionalFormatting sqref="H10:H1048576">
    <cfRule type="cellIs" dxfId="487" priority="2633" operator="lessThan">
      <formula>0</formula>
    </cfRule>
  </conditionalFormatting>
  <conditionalFormatting sqref="H10:H1048576">
    <cfRule type="cellIs" dxfId="486" priority="2632" operator="lessThan">
      <formula>0</formula>
    </cfRule>
  </conditionalFormatting>
  <conditionalFormatting sqref="H10:H1048576">
    <cfRule type="cellIs" dxfId="485" priority="2631" operator="lessThan">
      <formula>0</formula>
    </cfRule>
  </conditionalFormatting>
  <conditionalFormatting sqref="H10:H1048576">
    <cfRule type="cellIs" dxfId="484" priority="2630" operator="lessThan">
      <formula>0</formula>
    </cfRule>
  </conditionalFormatting>
  <conditionalFormatting sqref="H10:H1048576">
    <cfRule type="cellIs" dxfId="483" priority="2629" operator="lessThan">
      <formula>0</formula>
    </cfRule>
  </conditionalFormatting>
  <conditionalFormatting sqref="H10:H1048576">
    <cfRule type="cellIs" dxfId="482" priority="2628" operator="lessThan">
      <formula>0</formula>
    </cfRule>
  </conditionalFormatting>
  <conditionalFormatting sqref="H10:H1048576">
    <cfRule type="cellIs" dxfId="481" priority="2627" operator="lessThan">
      <formula>0</formula>
    </cfRule>
  </conditionalFormatting>
  <conditionalFormatting sqref="H10:H1048576">
    <cfRule type="cellIs" dxfId="480" priority="2626" operator="lessThan">
      <formula>0</formula>
    </cfRule>
  </conditionalFormatting>
  <conditionalFormatting sqref="H10:H1048576">
    <cfRule type="cellIs" dxfId="479" priority="2625" operator="lessThan">
      <formula>0</formula>
    </cfRule>
  </conditionalFormatting>
  <conditionalFormatting sqref="H10:H1048576">
    <cfRule type="cellIs" dxfId="478" priority="2624" operator="lessThan">
      <formula>0</formula>
    </cfRule>
  </conditionalFormatting>
  <conditionalFormatting sqref="H10:H1048576">
    <cfRule type="cellIs" dxfId="477" priority="2623" operator="lessThan">
      <formula>0</formula>
    </cfRule>
  </conditionalFormatting>
  <conditionalFormatting sqref="H10:H1048576">
    <cfRule type="cellIs" dxfId="476" priority="2622" operator="lessThan">
      <formula>0</formula>
    </cfRule>
  </conditionalFormatting>
  <conditionalFormatting sqref="H10:H1048576">
    <cfRule type="cellIs" dxfId="475" priority="2621" operator="lessThan">
      <formula>0</formula>
    </cfRule>
  </conditionalFormatting>
  <conditionalFormatting sqref="H10:H1048576">
    <cfRule type="cellIs" dxfId="474" priority="2620" operator="lessThan">
      <formula>0</formula>
    </cfRule>
  </conditionalFormatting>
  <conditionalFormatting sqref="H10:H1048576">
    <cfRule type="cellIs" dxfId="473" priority="2619" operator="lessThan">
      <formula>0</formula>
    </cfRule>
  </conditionalFormatting>
  <conditionalFormatting sqref="H10:H1048576">
    <cfRule type="cellIs" dxfId="472" priority="2618" operator="lessThan">
      <formula>0</formula>
    </cfRule>
  </conditionalFormatting>
  <conditionalFormatting sqref="H10:H1048576">
    <cfRule type="cellIs" dxfId="471" priority="2617" operator="lessThan">
      <formula>0</formula>
    </cfRule>
  </conditionalFormatting>
  <conditionalFormatting sqref="H10:H1048576">
    <cfRule type="cellIs" dxfId="470" priority="2616" operator="lessThan">
      <formula>0</formula>
    </cfRule>
  </conditionalFormatting>
  <conditionalFormatting sqref="H10:H1048576">
    <cfRule type="cellIs" dxfId="469" priority="2615" operator="lessThan">
      <formula>0</formula>
    </cfRule>
  </conditionalFormatting>
  <conditionalFormatting sqref="H10:H1048576">
    <cfRule type="cellIs" dxfId="468" priority="2614" operator="lessThan">
      <formula>0</formula>
    </cfRule>
  </conditionalFormatting>
  <conditionalFormatting sqref="H10:H1048576">
    <cfRule type="cellIs" dxfId="467" priority="2613" operator="lessThan">
      <formula>0</formula>
    </cfRule>
  </conditionalFormatting>
  <conditionalFormatting sqref="H10:H1048576">
    <cfRule type="cellIs" dxfId="466" priority="2612" operator="lessThan">
      <formula>0</formula>
    </cfRule>
  </conditionalFormatting>
  <conditionalFormatting sqref="H10:H1048576">
    <cfRule type="cellIs" dxfId="465" priority="2611" operator="lessThan">
      <formula>0</formula>
    </cfRule>
  </conditionalFormatting>
  <conditionalFormatting sqref="H10:H1048576">
    <cfRule type="cellIs" dxfId="464" priority="2610" operator="lessThan">
      <formula>0</formula>
    </cfRule>
  </conditionalFormatting>
  <conditionalFormatting sqref="H10:H1048576">
    <cfRule type="cellIs" dxfId="463" priority="2609" operator="lessThan">
      <formula>0</formula>
    </cfRule>
  </conditionalFormatting>
  <conditionalFormatting sqref="H10:H1048576">
    <cfRule type="cellIs" dxfId="462" priority="2608" operator="lessThan">
      <formula>0</formula>
    </cfRule>
  </conditionalFormatting>
  <conditionalFormatting sqref="H10:H1048576">
    <cfRule type="cellIs" dxfId="461" priority="2607" operator="lessThan">
      <formula>0</formula>
    </cfRule>
  </conditionalFormatting>
  <conditionalFormatting sqref="H10:H1048576">
    <cfRule type="cellIs" dxfId="460" priority="2606" operator="lessThan">
      <formula>0</formula>
    </cfRule>
  </conditionalFormatting>
  <conditionalFormatting sqref="H10:H1048576">
    <cfRule type="cellIs" dxfId="459" priority="2605" operator="lessThan">
      <formula>0</formula>
    </cfRule>
  </conditionalFormatting>
  <conditionalFormatting sqref="H10:H1048576">
    <cfRule type="cellIs" dxfId="458" priority="2604" operator="lessThan">
      <formula>0</formula>
    </cfRule>
  </conditionalFormatting>
  <conditionalFormatting sqref="H10:H1048576">
    <cfRule type="cellIs" dxfId="457" priority="2603" operator="lessThan">
      <formula>0</formula>
    </cfRule>
  </conditionalFormatting>
  <conditionalFormatting sqref="H10:H1048576">
    <cfRule type="cellIs" dxfId="456" priority="2602" operator="lessThan">
      <formula>0</formula>
    </cfRule>
  </conditionalFormatting>
  <conditionalFormatting sqref="H10:H1048576">
    <cfRule type="cellIs" dxfId="455" priority="2601" operator="lessThan">
      <formula>0</formula>
    </cfRule>
  </conditionalFormatting>
  <conditionalFormatting sqref="H10:H1048576">
    <cfRule type="cellIs" dxfId="454" priority="2600" operator="lessThan">
      <formula>0</formula>
    </cfRule>
  </conditionalFormatting>
  <conditionalFormatting sqref="H10:H1048576">
    <cfRule type="cellIs" dxfId="453" priority="2599" operator="lessThan">
      <formula>0</formula>
    </cfRule>
  </conditionalFormatting>
  <conditionalFormatting sqref="H10:H1048576">
    <cfRule type="cellIs" dxfId="452" priority="2598" operator="lessThan">
      <formula>0</formula>
    </cfRule>
  </conditionalFormatting>
  <conditionalFormatting sqref="H10:H1048576">
    <cfRule type="cellIs" dxfId="451" priority="2597" operator="lessThan">
      <formula>0</formula>
    </cfRule>
  </conditionalFormatting>
  <conditionalFormatting sqref="H10:H1048576">
    <cfRule type="cellIs" dxfId="450" priority="2596" operator="lessThan">
      <formula>0</formula>
    </cfRule>
  </conditionalFormatting>
  <conditionalFormatting sqref="H10:H1048576">
    <cfRule type="cellIs" dxfId="449" priority="2595" operator="lessThan">
      <formula>0</formula>
    </cfRule>
  </conditionalFormatting>
  <conditionalFormatting sqref="H10:H1048576">
    <cfRule type="cellIs" dxfId="448" priority="2594" operator="lessThan">
      <formula>0</formula>
    </cfRule>
  </conditionalFormatting>
  <conditionalFormatting sqref="H10:H1048576">
    <cfRule type="cellIs" dxfId="447" priority="2593" operator="lessThan">
      <formula>0</formula>
    </cfRule>
  </conditionalFormatting>
  <conditionalFormatting sqref="H10:H1048576">
    <cfRule type="cellIs" dxfId="446" priority="2592" operator="lessThan">
      <formula>0</formula>
    </cfRule>
  </conditionalFormatting>
  <conditionalFormatting sqref="H10:H1048576">
    <cfRule type="cellIs" dxfId="445" priority="2591" operator="lessThan">
      <formula>0</formula>
    </cfRule>
  </conditionalFormatting>
  <conditionalFormatting sqref="H10:H1048576">
    <cfRule type="cellIs" dxfId="444" priority="2590" operator="lessThan">
      <formula>0</formula>
    </cfRule>
  </conditionalFormatting>
  <conditionalFormatting sqref="H10:H1048576">
    <cfRule type="cellIs" dxfId="443" priority="2589" operator="lessThan">
      <formula>0</formula>
    </cfRule>
  </conditionalFormatting>
  <conditionalFormatting sqref="H10:H1048576">
    <cfRule type="cellIs" dxfId="442" priority="2588" operator="lessThan">
      <formula>0</formula>
    </cfRule>
  </conditionalFormatting>
  <conditionalFormatting sqref="H10:H1048576">
    <cfRule type="cellIs" dxfId="441" priority="2587" operator="lessThan">
      <formula>0</formula>
    </cfRule>
  </conditionalFormatting>
  <conditionalFormatting sqref="H10:H1048576">
    <cfRule type="cellIs" dxfId="440" priority="2586" operator="lessThan">
      <formula>0</formula>
    </cfRule>
  </conditionalFormatting>
  <conditionalFormatting sqref="H10:H1048576">
    <cfRule type="cellIs" dxfId="439" priority="2585" operator="lessThan">
      <formula>0</formula>
    </cfRule>
  </conditionalFormatting>
  <conditionalFormatting sqref="H10:H1048576">
    <cfRule type="cellIs" dxfId="438" priority="2584" operator="lessThan">
      <formula>0</formula>
    </cfRule>
  </conditionalFormatting>
  <conditionalFormatting sqref="H10:H1048576">
    <cfRule type="cellIs" dxfId="437" priority="2583" operator="lessThan">
      <formula>0</formula>
    </cfRule>
  </conditionalFormatting>
  <conditionalFormatting sqref="H10:H1048576">
    <cfRule type="cellIs" dxfId="436" priority="2582" operator="lessThan">
      <formula>0</formula>
    </cfRule>
  </conditionalFormatting>
  <conditionalFormatting sqref="H10:H1048576">
    <cfRule type="cellIs" dxfId="435" priority="2581" operator="lessThan">
      <formula>0</formula>
    </cfRule>
  </conditionalFormatting>
  <conditionalFormatting sqref="H10:H1048576">
    <cfRule type="cellIs" dxfId="434" priority="2580" operator="lessThan">
      <formula>0</formula>
    </cfRule>
  </conditionalFormatting>
  <conditionalFormatting sqref="H10:H1048576">
    <cfRule type="cellIs" dxfId="433" priority="2579" operator="lessThan">
      <formula>0</formula>
    </cfRule>
  </conditionalFormatting>
  <conditionalFormatting sqref="H10:H1048576">
    <cfRule type="cellIs" dxfId="432" priority="2578" operator="lessThan">
      <formula>0</formula>
    </cfRule>
  </conditionalFormatting>
  <conditionalFormatting sqref="H10:H1048576">
    <cfRule type="cellIs" dxfId="431" priority="2577" operator="lessThan">
      <formula>0</formula>
    </cfRule>
  </conditionalFormatting>
  <conditionalFormatting sqref="H10:H1048576">
    <cfRule type="cellIs" dxfId="430" priority="2576" operator="lessThan">
      <formula>0</formula>
    </cfRule>
  </conditionalFormatting>
  <conditionalFormatting sqref="H10:H1048576">
    <cfRule type="cellIs" dxfId="429" priority="2575" operator="lessThan">
      <formula>0</formula>
    </cfRule>
  </conditionalFormatting>
  <conditionalFormatting sqref="H10:H1048576">
    <cfRule type="cellIs" dxfId="428" priority="2574" operator="lessThan">
      <formula>0</formula>
    </cfRule>
  </conditionalFormatting>
  <conditionalFormatting sqref="H10:H1048576">
    <cfRule type="cellIs" dxfId="427" priority="2573" operator="lessThan">
      <formula>0</formula>
    </cfRule>
  </conditionalFormatting>
  <conditionalFormatting sqref="H10:H1048576">
    <cfRule type="cellIs" dxfId="426" priority="2572" operator="lessThan">
      <formula>0</formula>
    </cfRule>
  </conditionalFormatting>
  <conditionalFormatting sqref="H10:H1048576">
    <cfRule type="cellIs" dxfId="425" priority="2571" operator="lessThan">
      <formula>0</formula>
    </cfRule>
  </conditionalFormatting>
  <conditionalFormatting sqref="H10:H1048576">
    <cfRule type="cellIs" dxfId="424" priority="2570" operator="lessThan">
      <formula>0</formula>
    </cfRule>
  </conditionalFormatting>
  <conditionalFormatting sqref="H10:H1048576">
    <cfRule type="cellIs" dxfId="423" priority="2569" operator="lessThan">
      <formula>0</formula>
    </cfRule>
  </conditionalFormatting>
  <conditionalFormatting sqref="H10:H1048576">
    <cfRule type="cellIs" dxfId="422" priority="2568" operator="lessThan">
      <formula>0</formula>
    </cfRule>
  </conditionalFormatting>
  <conditionalFormatting sqref="H10:H1048576">
    <cfRule type="cellIs" dxfId="421" priority="2567" operator="lessThan">
      <formula>0</formula>
    </cfRule>
  </conditionalFormatting>
  <conditionalFormatting sqref="H10:H1048576">
    <cfRule type="cellIs" dxfId="420" priority="2566" operator="lessThan">
      <formula>0</formula>
    </cfRule>
  </conditionalFormatting>
  <conditionalFormatting sqref="H10:H1048576">
    <cfRule type="cellIs" dxfId="419" priority="2565" operator="lessThan">
      <formula>0</formula>
    </cfRule>
  </conditionalFormatting>
  <conditionalFormatting sqref="H10:H1048576">
    <cfRule type="cellIs" dxfId="418" priority="2564" operator="lessThan">
      <formula>0</formula>
    </cfRule>
  </conditionalFormatting>
  <conditionalFormatting sqref="H10:H1048576">
    <cfRule type="cellIs" dxfId="417" priority="2563" operator="lessThan">
      <formula>0</formula>
    </cfRule>
  </conditionalFormatting>
  <conditionalFormatting sqref="H10:H1048576">
    <cfRule type="cellIs" dxfId="416" priority="2562" operator="lessThan">
      <formula>0</formula>
    </cfRule>
  </conditionalFormatting>
  <conditionalFormatting sqref="H10:H1048576">
    <cfRule type="cellIs" dxfId="415" priority="2561" operator="lessThan">
      <formula>0</formula>
    </cfRule>
  </conditionalFormatting>
  <conditionalFormatting sqref="H10:H1048576">
    <cfRule type="cellIs" dxfId="414" priority="2560" operator="lessThan">
      <formula>0</formula>
    </cfRule>
  </conditionalFormatting>
  <conditionalFormatting sqref="H10:H1048576">
    <cfRule type="cellIs" dxfId="413" priority="2559" operator="lessThan">
      <formula>0</formula>
    </cfRule>
  </conditionalFormatting>
  <conditionalFormatting sqref="H10:H1048576">
    <cfRule type="cellIs" dxfId="412" priority="2558" operator="lessThan">
      <formula>0</formula>
    </cfRule>
  </conditionalFormatting>
  <conditionalFormatting sqref="H10:H1048576">
    <cfRule type="cellIs" dxfId="411" priority="2557" operator="lessThan">
      <formula>0</formula>
    </cfRule>
  </conditionalFormatting>
  <conditionalFormatting sqref="H10:H1048576">
    <cfRule type="cellIs" dxfId="410" priority="2556" operator="lessThan">
      <formula>0</formula>
    </cfRule>
  </conditionalFormatting>
  <conditionalFormatting sqref="H10:H1048576">
    <cfRule type="cellIs" dxfId="409" priority="2555" operator="lessThan">
      <formula>0</formula>
    </cfRule>
  </conditionalFormatting>
  <conditionalFormatting sqref="H10:H1048576">
    <cfRule type="cellIs" dxfId="408" priority="2554" operator="lessThan">
      <formula>0</formula>
    </cfRule>
  </conditionalFormatting>
  <conditionalFormatting sqref="H10:H1048576">
    <cfRule type="cellIs" dxfId="407" priority="2553" operator="lessThan">
      <formula>0</formula>
    </cfRule>
  </conditionalFormatting>
  <conditionalFormatting sqref="H10:H1048576">
    <cfRule type="cellIs" dxfId="406" priority="2552" operator="lessThan">
      <formula>0</formula>
    </cfRule>
  </conditionalFormatting>
  <conditionalFormatting sqref="H10:H1048576">
    <cfRule type="cellIs" dxfId="405" priority="2551" operator="lessThan">
      <formula>0</formula>
    </cfRule>
  </conditionalFormatting>
  <conditionalFormatting sqref="H10:H1048576">
    <cfRule type="cellIs" dxfId="404" priority="2550" operator="lessThan">
      <formula>0</formula>
    </cfRule>
  </conditionalFormatting>
  <conditionalFormatting sqref="H10:H1048576">
    <cfRule type="cellIs" dxfId="403" priority="2549" operator="lessThan">
      <formula>0</formula>
    </cfRule>
  </conditionalFormatting>
  <conditionalFormatting sqref="H10:H1048576">
    <cfRule type="cellIs" dxfId="402" priority="2548" operator="lessThan">
      <formula>0</formula>
    </cfRule>
  </conditionalFormatting>
  <conditionalFormatting sqref="H10:H1048576">
    <cfRule type="cellIs" dxfId="401" priority="2547" operator="lessThan">
      <formula>0</formula>
    </cfRule>
  </conditionalFormatting>
  <conditionalFormatting sqref="H10:H1048576">
    <cfRule type="cellIs" dxfId="400" priority="2546" operator="lessThan">
      <formula>0</formula>
    </cfRule>
  </conditionalFormatting>
  <conditionalFormatting sqref="H10:H1048576">
    <cfRule type="cellIs" dxfId="399" priority="2545" operator="lessThan">
      <formula>0</formula>
    </cfRule>
  </conditionalFormatting>
  <conditionalFormatting sqref="H10:H1048576">
    <cfRule type="cellIs" dxfId="398" priority="2544" operator="lessThan">
      <formula>0</formula>
    </cfRule>
  </conditionalFormatting>
  <conditionalFormatting sqref="H10:H1048576">
    <cfRule type="cellIs" dxfId="397" priority="2543" operator="lessThan">
      <formula>0</formula>
    </cfRule>
  </conditionalFormatting>
  <conditionalFormatting sqref="H10:H1048576">
    <cfRule type="cellIs" dxfId="396" priority="2542" operator="lessThan">
      <formula>0</formula>
    </cfRule>
  </conditionalFormatting>
  <conditionalFormatting sqref="H10:H1048576">
    <cfRule type="cellIs" dxfId="395" priority="2541" operator="lessThan">
      <formula>0</formula>
    </cfRule>
  </conditionalFormatting>
  <conditionalFormatting sqref="H10:H1048576">
    <cfRule type="cellIs" dxfId="394" priority="2540" operator="lessThan">
      <formula>0</formula>
    </cfRule>
  </conditionalFormatting>
  <conditionalFormatting sqref="H10:H1048576">
    <cfRule type="cellIs" dxfId="393" priority="2539" operator="lessThan">
      <formula>0</formula>
    </cfRule>
  </conditionalFormatting>
  <conditionalFormatting sqref="H10:H1048576">
    <cfRule type="cellIs" dxfId="392" priority="2538" operator="lessThan">
      <formula>0</formula>
    </cfRule>
  </conditionalFormatting>
  <conditionalFormatting sqref="H10:H1048576">
    <cfRule type="cellIs" dxfId="391" priority="2537" operator="lessThan">
      <formula>0</formula>
    </cfRule>
  </conditionalFormatting>
  <conditionalFormatting sqref="H10:H1048576">
    <cfRule type="cellIs" dxfId="390" priority="2536" operator="lessThan">
      <formula>0</formula>
    </cfRule>
  </conditionalFormatting>
  <conditionalFormatting sqref="H10:H1048576">
    <cfRule type="cellIs" dxfId="389" priority="2535" operator="lessThan">
      <formula>0</formula>
    </cfRule>
  </conditionalFormatting>
  <conditionalFormatting sqref="H10:H1048576">
    <cfRule type="cellIs" dxfId="388" priority="2534" operator="lessThan">
      <formula>0</formula>
    </cfRule>
  </conditionalFormatting>
  <conditionalFormatting sqref="H10:H1048576">
    <cfRule type="cellIs" dxfId="387" priority="2533" operator="lessThan">
      <formula>0</formula>
    </cfRule>
  </conditionalFormatting>
  <conditionalFormatting sqref="H10:H1048576">
    <cfRule type="cellIs" dxfId="386" priority="2532" operator="lessThan">
      <formula>0</formula>
    </cfRule>
  </conditionalFormatting>
  <conditionalFormatting sqref="H10:H1048576">
    <cfRule type="cellIs" dxfId="385" priority="2531" operator="lessThan">
      <formula>0</formula>
    </cfRule>
  </conditionalFormatting>
  <conditionalFormatting sqref="H10:H1048576">
    <cfRule type="cellIs" dxfId="384" priority="2530" operator="lessThan">
      <formula>0</formula>
    </cfRule>
  </conditionalFormatting>
  <conditionalFormatting sqref="H10:H1048576">
    <cfRule type="cellIs" dxfId="383" priority="2529" operator="lessThan">
      <formula>0</formula>
    </cfRule>
  </conditionalFormatting>
  <conditionalFormatting sqref="H10:H1048576">
    <cfRule type="cellIs" dxfId="382" priority="2528" operator="lessThan">
      <formula>0</formula>
    </cfRule>
  </conditionalFormatting>
  <conditionalFormatting sqref="H10:H1048576">
    <cfRule type="cellIs" dxfId="381" priority="2527" operator="lessThan">
      <formula>0</formula>
    </cfRule>
  </conditionalFormatting>
  <conditionalFormatting sqref="H10:H1048576">
    <cfRule type="cellIs" dxfId="380" priority="2526" operator="lessThan">
      <formula>0</formula>
    </cfRule>
  </conditionalFormatting>
  <conditionalFormatting sqref="H10:H1048576">
    <cfRule type="cellIs" dxfId="379" priority="2525" operator="lessThan">
      <formula>0</formula>
    </cfRule>
  </conditionalFormatting>
  <conditionalFormatting sqref="H10:H1048576">
    <cfRule type="cellIs" dxfId="378" priority="2524" operator="lessThan">
      <formula>0</formula>
    </cfRule>
  </conditionalFormatting>
  <conditionalFormatting sqref="H10:H1048576">
    <cfRule type="cellIs" dxfId="377" priority="2523" operator="lessThan">
      <formula>0</formula>
    </cfRule>
  </conditionalFormatting>
  <conditionalFormatting sqref="H10:H1048576">
    <cfRule type="cellIs" dxfId="376" priority="2522" operator="lessThan">
      <formula>0</formula>
    </cfRule>
  </conditionalFormatting>
  <conditionalFormatting sqref="H10:H1048576">
    <cfRule type="cellIs" dxfId="375" priority="2521" operator="lessThan">
      <formula>0</formula>
    </cfRule>
  </conditionalFormatting>
  <conditionalFormatting sqref="H10:H1048576">
    <cfRule type="cellIs" dxfId="374" priority="2520" operator="lessThan">
      <formula>0</formula>
    </cfRule>
  </conditionalFormatting>
  <conditionalFormatting sqref="H10:H1048576">
    <cfRule type="cellIs" dxfId="373" priority="2519" operator="lessThan">
      <formula>0</formula>
    </cfRule>
  </conditionalFormatting>
  <conditionalFormatting sqref="H10:H1048576">
    <cfRule type="cellIs" dxfId="372" priority="2518" operator="lessThan">
      <formula>0</formula>
    </cfRule>
  </conditionalFormatting>
  <conditionalFormatting sqref="H10:H1048576">
    <cfRule type="cellIs" dxfId="371" priority="2517" operator="lessThan">
      <formula>0</formula>
    </cfRule>
  </conditionalFormatting>
  <conditionalFormatting sqref="H10:H1048576">
    <cfRule type="cellIs" dxfId="370" priority="2516" operator="lessThan">
      <formula>0</formula>
    </cfRule>
  </conditionalFormatting>
  <conditionalFormatting sqref="H10:H1048576">
    <cfRule type="cellIs" dxfId="369" priority="2515" operator="lessThan">
      <formula>0</formula>
    </cfRule>
  </conditionalFormatting>
  <conditionalFormatting sqref="H10:H1048576">
    <cfRule type="cellIs" dxfId="368" priority="2514" operator="lessThan">
      <formula>0</formula>
    </cfRule>
  </conditionalFormatting>
  <conditionalFormatting sqref="H10:H1048576">
    <cfRule type="cellIs" dxfId="367" priority="2513" operator="lessThan">
      <formula>0</formula>
    </cfRule>
  </conditionalFormatting>
  <conditionalFormatting sqref="H10:H1048576">
    <cfRule type="cellIs" dxfId="366" priority="2512" operator="lessThan">
      <formula>0</formula>
    </cfRule>
  </conditionalFormatting>
  <conditionalFormatting sqref="H10:H1048576">
    <cfRule type="cellIs" dxfId="365" priority="2511" operator="lessThan">
      <formula>0</formula>
    </cfRule>
  </conditionalFormatting>
  <conditionalFormatting sqref="H10:H1048576">
    <cfRule type="cellIs" dxfId="364" priority="2510" operator="lessThan">
      <formula>0</formula>
    </cfRule>
  </conditionalFormatting>
  <conditionalFormatting sqref="H10:H1048576">
    <cfRule type="cellIs" dxfId="363" priority="2509" operator="lessThan">
      <formula>0</formula>
    </cfRule>
  </conditionalFormatting>
  <conditionalFormatting sqref="H10:H1048576">
    <cfRule type="cellIs" dxfId="362" priority="2508" operator="lessThan">
      <formula>0</formula>
    </cfRule>
  </conditionalFormatting>
  <conditionalFormatting sqref="H10:H1048576">
    <cfRule type="cellIs" dxfId="361" priority="2507" operator="lessThan">
      <formula>0</formula>
    </cfRule>
  </conditionalFormatting>
  <conditionalFormatting sqref="H10:H1048576">
    <cfRule type="cellIs" dxfId="360" priority="2506" operator="lessThan">
      <formula>0</formula>
    </cfRule>
  </conditionalFormatting>
  <conditionalFormatting sqref="H10:H1048576">
    <cfRule type="cellIs" dxfId="359" priority="2505" operator="lessThan">
      <formula>0</formula>
    </cfRule>
  </conditionalFormatting>
  <conditionalFormatting sqref="H10:H1048576">
    <cfRule type="cellIs" dxfId="358" priority="2504" operator="lessThan">
      <formula>0</formula>
    </cfRule>
  </conditionalFormatting>
  <conditionalFormatting sqref="H10:H1048576">
    <cfRule type="cellIs" dxfId="357" priority="2503" operator="lessThan">
      <formula>0</formula>
    </cfRule>
  </conditionalFormatting>
  <conditionalFormatting sqref="H10:H1048576">
    <cfRule type="cellIs" dxfId="356" priority="2502" operator="lessThan">
      <formula>0</formula>
    </cfRule>
  </conditionalFormatting>
  <conditionalFormatting sqref="H10:H1048576">
    <cfRule type="cellIs" dxfId="355" priority="2501" operator="lessThan">
      <formula>0</formula>
    </cfRule>
  </conditionalFormatting>
  <conditionalFormatting sqref="H10:H1048576">
    <cfRule type="cellIs" dxfId="354" priority="2500" operator="lessThan">
      <formula>0</formula>
    </cfRule>
  </conditionalFormatting>
  <conditionalFormatting sqref="H10:H1048576">
    <cfRule type="cellIs" dxfId="353" priority="2499" operator="lessThan">
      <formula>0</formula>
    </cfRule>
  </conditionalFormatting>
  <conditionalFormatting sqref="H10:H1048576">
    <cfRule type="cellIs" dxfId="352" priority="2498" operator="lessThan">
      <formula>0</formula>
    </cfRule>
  </conditionalFormatting>
  <conditionalFormatting sqref="H10:H1048576">
    <cfRule type="cellIs" dxfId="351" priority="2497" operator="lessThan">
      <formula>0</formula>
    </cfRule>
  </conditionalFormatting>
  <conditionalFormatting sqref="H10:H1048576">
    <cfRule type="cellIs" dxfId="350" priority="2496" operator="lessThan">
      <formula>0</formula>
    </cfRule>
  </conditionalFormatting>
  <conditionalFormatting sqref="H10:H1048576">
    <cfRule type="cellIs" dxfId="349" priority="2495" operator="lessThan">
      <formula>0</formula>
    </cfRule>
  </conditionalFormatting>
  <conditionalFormatting sqref="H10:H1048576">
    <cfRule type="cellIs" dxfId="348" priority="2494" operator="lessThan">
      <formula>0</formula>
    </cfRule>
  </conditionalFormatting>
  <conditionalFormatting sqref="H10:H1048576">
    <cfRule type="cellIs" dxfId="347" priority="2493" operator="lessThan">
      <formula>0</formula>
    </cfRule>
  </conditionalFormatting>
  <conditionalFormatting sqref="H10:H1048576">
    <cfRule type="cellIs" dxfId="346" priority="2492" operator="lessThan">
      <formula>0</formula>
    </cfRule>
  </conditionalFormatting>
  <conditionalFormatting sqref="H10:H1048576">
    <cfRule type="cellIs" dxfId="345" priority="2491" operator="lessThan">
      <formula>0</formula>
    </cfRule>
  </conditionalFormatting>
  <conditionalFormatting sqref="H10:H1048576">
    <cfRule type="cellIs" dxfId="344" priority="2490" operator="lessThan">
      <formula>0</formula>
    </cfRule>
  </conditionalFormatting>
  <conditionalFormatting sqref="H10:H1048576">
    <cfRule type="cellIs" dxfId="343" priority="2489" operator="lessThan">
      <formula>0</formula>
    </cfRule>
  </conditionalFormatting>
  <conditionalFormatting sqref="H10:H1048576">
    <cfRule type="cellIs" dxfId="342" priority="2488" operator="lessThan">
      <formula>0</formula>
    </cfRule>
  </conditionalFormatting>
  <conditionalFormatting sqref="H10:H1048576">
    <cfRule type="cellIs" dxfId="341" priority="2487" operator="lessThan">
      <formula>0</formula>
    </cfRule>
  </conditionalFormatting>
  <conditionalFormatting sqref="H10:H1048576">
    <cfRule type="cellIs" dxfId="340" priority="2486" operator="lessThan">
      <formula>0</formula>
    </cfRule>
  </conditionalFormatting>
  <conditionalFormatting sqref="H10:H1048576">
    <cfRule type="cellIs" dxfId="339" priority="2485" operator="lessThan">
      <formula>0</formula>
    </cfRule>
  </conditionalFormatting>
  <conditionalFormatting sqref="H10:H1048576">
    <cfRule type="cellIs" dxfId="338" priority="2484" operator="lessThan">
      <formula>0</formula>
    </cfRule>
  </conditionalFormatting>
  <conditionalFormatting sqref="H10:H1048576">
    <cfRule type="cellIs" dxfId="337" priority="2483" operator="lessThan">
      <formula>0</formula>
    </cfRule>
  </conditionalFormatting>
  <conditionalFormatting sqref="H10:H1048576">
    <cfRule type="cellIs" dxfId="336" priority="2482" operator="lessThan">
      <formula>0</formula>
    </cfRule>
  </conditionalFormatting>
  <conditionalFormatting sqref="H10:H1048576">
    <cfRule type="cellIs" dxfId="335" priority="2481" operator="lessThan">
      <formula>0</formula>
    </cfRule>
  </conditionalFormatting>
  <conditionalFormatting sqref="H10:H1048576">
    <cfRule type="cellIs" dxfId="334" priority="2480" operator="lessThan">
      <formula>0</formula>
    </cfRule>
  </conditionalFormatting>
  <conditionalFormatting sqref="H10:H1048576">
    <cfRule type="cellIs" dxfId="333" priority="2479" operator="lessThan">
      <formula>0</formula>
    </cfRule>
  </conditionalFormatting>
  <conditionalFormatting sqref="H10:H1048576">
    <cfRule type="cellIs" dxfId="332" priority="2478" operator="lessThan">
      <formula>0</formula>
    </cfRule>
  </conditionalFormatting>
  <conditionalFormatting sqref="H10:H1048576">
    <cfRule type="cellIs" dxfId="331" priority="2477" operator="lessThan">
      <formula>0</formula>
    </cfRule>
  </conditionalFormatting>
  <conditionalFormatting sqref="H10:H1048576">
    <cfRule type="cellIs" dxfId="330" priority="2476" operator="lessThan">
      <formula>0</formula>
    </cfRule>
  </conditionalFormatting>
  <conditionalFormatting sqref="H10:H1048576">
    <cfRule type="cellIs" dxfId="329" priority="2475" operator="lessThan">
      <formula>0</formula>
    </cfRule>
  </conditionalFormatting>
  <conditionalFormatting sqref="H10:H1048576">
    <cfRule type="cellIs" dxfId="328" priority="2474" operator="lessThan">
      <formula>0</formula>
    </cfRule>
  </conditionalFormatting>
  <conditionalFormatting sqref="H10:H1048576">
    <cfRule type="cellIs" dxfId="327" priority="2473" operator="lessThan">
      <formula>0</formula>
    </cfRule>
  </conditionalFormatting>
  <conditionalFormatting sqref="H10:H1048576">
    <cfRule type="cellIs" dxfId="326" priority="2472" operator="lessThan">
      <formula>0</formula>
    </cfRule>
  </conditionalFormatting>
  <conditionalFormatting sqref="H10:H1048576">
    <cfRule type="cellIs" dxfId="325" priority="2471" operator="lessThan">
      <formula>0</formula>
    </cfRule>
  </conditionalFormatting>
  <conditionalFormatting sqref="H10:H1048576">
    <cfRule type="cellIs" dxfId="324" priority="2470" operator="lessThan">
      <formula>0</formula>
    </cfRule>
  </conditionalFormatting>
  <conditionalFormatting sqref="H10:H1048576">
    <cfRule type="cellIs" dxfId="323" priority="2469" operator="lessThan">
      <formula>0</formula>
    </cfRule>
  </conditionalFormatting>
  <conditionalFormatting sqref="H10:H1048576">
    <cfRule type="cellIs" dxfId="322" priority="2468" operator="lessThan">
      <formula>0</formula>
    </cfRule>
  </conditionalFormatting>
  <conditionalFormatting sqref="H10:H1048576">
    <cfRule type="cellIs" dxfId="321" priority="2467" operator="lessThan">
      <formula>0</formula>
    </cfRule>
  </conditionalFormatting>
  <conditionalFormatting sqref="H10:H1048576">
    <cfRule type="cellIs" dxfId="320" priority="2466" operator="lessThan">
      <formula>0</formula>
    </cfRule>
  </conditionalFormatting>
  <conditionalFormatting sqref="H10:H1048576">
    <cfRule type="cellIs" dxfId="319" priority="2465" operator="lessThan">
      <formula>0</formula>
    </cfRule>
  </conditionalFormatting>
  <conditionalFormatting sqref="H10:H1048576">
    <cfRule type="cellIs" dxfId="318" priority="2464" operator="lessThan">
      <formula>0</formula>
    </cfRule>
  </conditionalFormatting>
  <conditionalFormatting sqref="H10:H1048576">
    <cfRule type="cellIs" dxfId="317" priority="2463" operator="lessThan">
      <formula>0</formula>
    </cfRule>
  </conditionalFormatting>
  <conditionalFormatting sqref="H10:H1048576">
    <cfRule type="cellIs" dxfId="316" priority="2462" operator="lessThan">
      <formula>0</formula>
    </cfRule>
  </conditionalFormatting>
  <conditionalFormatting sqref="H10:H1048576">
    <cfRule type="cellIs" dxfId="315" priority="2461" operator="lessThan">
      <formula>0</formula>
    </cfRule>
  </conditionalFormatting>
  <conditionalFormatting sqref="H10:H1048576">
    <cfRule type="cellIs" dxfId="314" priority="2460" operator="lessThan">
      <formula>0</formula>
    </cfRule>
  </conditionalFormatting>
  <conditionalFormatting sqref="H10:H1048576">
    <cfRule type="cellIs" dxfId="313" priority="2459" operator="lessThan">
      <formula>0</formula>
    </cfRule>
  </conditionalFormatting>
  <conditionalFormatting sqref="H10:H1048576">
    <cfRule type="cellIs" dxfId="312" priority="2458" operator="lessThan">
      <formula>0</formula>
    </cfRule>
  </conditionalFormatting>
  <conditionalFormatting sqref="H10:H1048576">
    <cfRule type="cellIs" dxfId="311" priority="2457" operator="lessThan">
      <formula>0</formula>
    </cfRule>
  </conditionalFormatting>
  <conditionalFormatting sqref="H10:H1048576">
    <cfRule type="cellIs" dxfId="310" priority="2456" operator="lessThan">
      <formula>0</formula>
    </cfRule>
  </conditionalFormatting>
  <conditionalFormatting sqref="H10:H1048576">
    <cfRule type="cellIs" dxfId="309" priority="2455" operator="lessThan">
      <formula>0</formula>
    </cfRule>
  </conditionalFormatting>
  <conditionalFormatting sqref="H10:H1048576">
    <cfRule type="cellIs" dxfId="308" priority="2454" operator="lessThan">
      <formula>0</formula>
    </cfRule>
  </conditionalFormatting>
  <conditionalFormatting sqref="H10:H1048576">
    <cfRule type="cellIs" dxfId="307" priority="2453" operator="lessThan">
      <formula>0</formula>
    </cfRule>
  </conditionalFormatting>
  <conditionalFormatting sqref="H10:H1048576">
    <cfRule type="cellIs" dxfId="306" priority="2452" operator="lessThan">
      <formula>0</formula>
    </cfRule>
  </conditionalFormatting>
  <conditionalFormatting sqref="H10:H1048576">
    <cfRule type="cellIs" dxfId="305" priority="2451" operator="lessThan">
      <formula>0</formula>
    </cfRule>
  </conditionalFormatting>
  <conditionalFormatting sqref="H10:H1048576">
    <cfRule type="cellIs" dxfId="304" priority="2450" operator="lessThan">
      <formula>0</formula>
    </cfRule>
  </conditionalFormatting>
  <conditionalFormatting sqref="H10:H1048576">
    <cfRule type="cellIs" dxfId="303" priority="2449" operator="lessThan">
      <formula>0</formula>
    </cfRule>
  </conditionalFormatting>
  <conditionalFormatting sqref="H10:H1048576">
    <cfRule type="cellIs" dxfId="302" priority="2448" operator="lessThan">
      <formula>0</formula>
    </cfRule>
  </conditionalFormatting>
  <conditionalFormatting sqref="H10:H1048576">
    <cfRule type="cellIs" dxfId="301" priority="2447" operator="lessThan">
      <formula>0</formula>
    </cfRule>
  </conditionalFormatting>
  <conditionalFormatting sqref="H10:H1048576">
    <cfRule type="cellIs" dxfId="300" priority="2446" operator="lessThan">
      <formula>0</formula>
    </cfRule>
  </conditionalFormatting>
  <conditionalFormatting sqref="H10:H1048576">
    <cfRule type="cellIs" dxfId="299" priority="2445" operator="lessThan">
      <formula>0</formula>
    </cfRule>
  </conditionalFormatting>
  <conditionalFormatting sqref="H10:H1048576">
    <cfRule type="cellIs" dxfId="298" priority="2444" operator="lessThan">
      <formula>0</formula>
    </cfRule>
  </conditionalFormatting>
  <conditionalFormatting sqref="H10:H1048576">
    <cfRule type="cellIs" dxfId="297" priority="2443" operator="lessThan">
      <formula>0</formula>
    </cfRule>
  </conditionalFormatting>
  <conditionalFormatting sqref="H10:H1048576">
    <cfRule type="cellIs" dxfId="296" priority="2442" operator="lessThan">
      <formula>0</formula>
    </cfRule>
  </conditionalFormatting>
  <conditionalFormatting sqref="H10:H1048576">
    <cfRule type="cellIs" dxfId="295" priority="2441" operator="lessThan">
      <formula>0</formula>
    </cfRule>
  </conditionalFormatting>
  <conditionalFormatting sqref="H10:H1048576">
    <cfRule type="cellIs" dxfId="294" priority="2440" operator="lessThan">
      <formula>0</formula>
    </cfRule>
  </conditionalFormatting>
  <conditionalFormatting sqref="H10:H1048576">
    <cfRule type="cellIs" dxfId="293" priority="2439" operator="lessThan">
      <formula>0</formula>
    </cfRule>
  </conditionalFormatting>
  <conditionalFormatting sqref="H10:H1048576">
    <cfRule type="cellIs" dxfId="292" priority="2438" operator="lessThan">
      <formula>0</formula>
    </cfRule>
  </conditionalFormatting>
  <conditionalFormatting sqref="H10:H1048576">
    <cfRule type="cellIs" dxfId="291" priority="2437" operator="lessThan">
      <formula>0</formula>
    </cfRule>
  </conditionalFormatting>
  <conditionalFormatting sqref="H10:H1048576">
    <cfRule type="cellIs" dxfId="290" priority="2436" operator="lessThan">
      <formula>0</formula>
    </cfRule>
  </conditionalFormatting>
  <conditionalFormatting sqref="H10:H1048576">
    <cfRule type="cellIs" dxfId="289" priority="2435" operator="lessThan">
      <formula>0</formula>
    </cfRule>
  </conditionalFormatting>
  <conditionalFormatting sqref="H10:H1048576">
    <cfRule type="cellIs" dxfId="288" priority="2434" operator="lessThan">
      <formula>0</formula>
    </cfRule>
  </conditionalFormatting>
  <conditionalFormatting sqref="H10:H1048576">
    <cfRule type="cellIs" dxfId="287" priority="2433" operator="lessThan">
      <formula>0</formula>
    </cfRule>
  </conditionalFormatting>
  <conditionalFormatting sqref="H10:H1048576">
    <cfRule type="cellIs" dxfId="286" priority="2432" operator="lessThan">
      <formula>0</formula>
    </cfRule>
  </conditionalFormatting>
  <conditionalFormatting sqref="H10:H1048576">
    <cfRule type="cellIs" dxfId="285" priority="2431" operator="lessThan">
      <formula>0</formula>
    </cfRule>
  </conditionalFormatting>
  <conditionalFormatting sqref="H10:H1048576">
    <cfRule type="cellIs" dxfId="284" priority="2430" operator="lessThan">
      <formula>0</formula>
    </cfRule>
  </conditionalFormatting>
  <conditionalFormatting sqref="H10:H1048576">
    <cfRule type="cellIs" dxfId="283" priority="2429" operator="lessThan">
      <formula>0</formula>
    </cfRule>
  </conditionalFormatting>
  <conditionalFormatting sqref="H10:H1048576">
    <cfRule type="cellIs" dxfId="282" priority="2428" operator="lessThan">
      <formula>0</formula>
    </cfRule>
  </conditionalFormatting>
  <conditionalFormatting sqref="H10:H1048576">
    <cfRule type="cellIs" dxfId="281" priority="2427" operator="lessThan">
      <formula>0</formula>
    </cfRule>
  </conditionalFormatting>
  <conditionalFormatting sqref="H10:H1048576">
    <cfRule type="cellIs" dxfId="280" priority="2426" operator="lessThan">
      <formula>0</formula>
    </cfRule>
  </conditionalFormatting>
  <conditionalFormatting sqref="H10:H1048576">
    <cfRule type="cellIs" dxfId="279" priority="2425" operator="lessThan">
      <formula>0</formula>
    </cfRule>
  </conditionalFormatting>
  <conditionalFormatting sqref="H10:H1048576">
    <cfRule type="cellIs" dxfId="278" priority="2424" operator="lessThan">
      <formula>0</formula>
    </cfRule>
  </conditionalFormatting>
  <conditionalFormatting sqref="H10:H1048576">
    <cfRule type="cellIs" dxfId="277" priority="2423" operator="lessThan">
      <formula>0</formula>
    </cfRule>
  </conditionalFormatting>
  <conditionalFormatting sqref="H10:H1048576">
    <cfRule type="cellIs" dxfId="276" priority="2422" operator="lessThan">
      <formula>0</formula>
    </cfRule>
  </conditionalFormatting>
  <conditionalFormatting sqref="H10:H1048576">
    <cfRule type="cellIs" dxfId="275" priority="2421" operator="lessThan">
      <formula>0</formula>
    </cfRule>
  </conditionalFormatting>
  <conditionalFormatting sqref="H10:H1048576">
    <cfRule type="cellIs" dxfId="274" priority="2420" operator="lessThan">
      <formula>0</formula>
    </cfRule>
  </conditionalFormatting>
  <conditionalFormatting sqref="H10:H1048576">
    <cfRule type="cellIs" dxfId="273" priority="2419" operator="lessThan">
      <formula>0</formula>
    </cfRule>
  </conditionalFormatting>
  <conditionalFormatting sqref="H10:H1048576">
    <cfRule type="cellIs" dxfId="272" priority="2418" operator="lessThan">
      <formula>0</formula>
    </cfRule>
  </conditionalFormatting>
  <conditionalFormatting sqref="H10:H1048576">
    <cfRule type="cellIs" dxfId="271" priority="2417" operator="lessThan">
      <formula>0</formula>
    </cfRule>
  </conditionalFormatting>
  <conditionalFormatting sqref="H10:H1048576">
    <cfRule type="cellIs" dxfId="270" priority="2416" operator="lessThan">
      <formula>0</formula>
    </cfRule>
  </conditionalFormatting>
  <conditionalFormatting sqref="H10:H1048576">
    <cfRule type="cellIs" dxfId="269" priority="2415" operator="lessThan">
      <formula>0</formula>
    </cfRule>
  </conditionalFormatting>
  <conditionalFormatting sqref="H10:H1048576">
    <cfRule type="cellIs" dxfId="268" priority="2414" operator="lessThan">
      <formula>0</formula>
    </cfRule>
  </conditionalFormatting>
  <conditionalFormatting sqref="H10:H1048576">
    <cfRule type="cellIs" dxfId="267" priority="2413" operator="lessThan">
      <formula>0</formula>
    </cfRule>
  </conditionalFormatting>
  <conditionalFormatting sqref="H10:H1048576">
    <cfRule type="cellIs" dxfId="266" priority="2412" operator="lessThan">
      <formula>0</formula>
    </cfRule>
  </conditionalFormatting>
  <conditionalFormatting sqref="H10:H1048576">
    <cfRule type="cellIs" dxfId="265" priority="2411" operator="lessThan">
      <formula>0</formula>
    </cfRule>
  </conditionalFormatting>
  <conditionalFormatting sqref="H10:H1048576">
    <cfRule type="cellIs" dxfId="264" priority="2410" operator="lessThan">
      <formula>0</formula>
    </cfRule>
  </conditionalFormatting>
  <conditionalFormatting sqref="H10:H1048576">
    <cfRule type="cellIs" dxfId="263" priority="2409" operator="lessThan">
      <formula>0</formula>
    </cfRule>
  </conditionalFormatting>
  <conditionalFormatting sqref="H10:H1048576">
    <cfRule type="cellIs" dxfId="262" priority="2408" operator="lessThan">
      <formula>0</formula>
    </cfRule>
  </conditionalFormatting>
  <conditionalFormatting sqref="H10:H1048576">
    <cfRule type="cellIs" dxfId="261" priority="2407" operator="lessThan">
      <formula>0</formula>
    </cfRule>
  </conditionalFormatting>
  <conditionalFormatting sqref="H10:H1048576">
    <cfRule type="cellIs" dxfId="260" priority="2406" operator="lessThan">
      <formula>0</formula>
    </cfRule>
  </conditionalFormatting>
  <conditionalFormatting sqref="H10:H1048576">
    <cfRule type="cellIs" dxfId="259" priority="2405" operator="lessThan">
      <formula>0</formula>
    </cfRule>
  </conditionalFormatting>
  <conditionalFormatting sqref="H10:H1048576">
    <cfRule type="cellIs" dxfId="258" priority="2404" operator="lessThan">
      <formula>0</formula>
    </cfRule>
  </conditionalFormatting>
  <conditionalFormatting sqref="H10:H1048576">
    <cfRule type="cellIs" dxfId="257" priority="2403" operator="lessThan">
      <formula>0</formula>
    </cfRule>
  </conditionalFormatting>
  <conditionalFormatting sqref="H10:H1048576">
    <cfRule type="cellIs" dxfId="256" priority="2402" operator="lessThan">
      <formula>0</formula>
    </cfRule>
  </conditionalFormatting>
  <conditionalFormatting sqref="H10:H1048576">
    <cfRule type="cellIs" dxfId="255" priority="2401" operator="lessThan">
      <formula>0</formula>
    </cfRule>
  </conditionalFormatting>
  <conditionalFormatting sqref="H10:H1048576">
    <cfRule type="cellIs" dxfId="254" priority="2400" operator="lessThan">
      <formula>0</formula>
    </cfRule>
  </conditionalFormatting>
  <conditionalFormatting sqref="H10:H1048576">
    <cfRule type="cellIs" dxfId="253" priority="2399" operator="lessThan">
      <formula>0</formula>
    </cfRule>
  </conditionalFormatting>
  <conditionalFormatting sqref="H10:H1048576">
    <cfRule type="cellIs" dxfId="252" priority="2398" operator="lessThan">
      <formula>0</formula>
    </cfRule>
  </conditionalFormatting>
  <conditionalFormatting sqref="H10:H1048576">
    <cfRule type="cellIs" dxfId="251" priority="2397" operator="lessThan">
      <formula>0</formula>
    </cfRule>
  </conditionalFormatting>
  <conditionalFormatting sqref="H10:H1048576">
    <cfRule type="cellIs" dxfId="250" priority="2396" operator="lessThan">
      <formula>0</formula>
    </cfRule>
  </conditionalFormatting>
  <conditionalFormatting sqref="H10:H1048576">
    <cfRule type="cellIs" dxfId="249" priority="2395" operator="lessThan">
      <formula>0</formula>
    </cfRule>
  </conditionalFormatting>
  <conditionalFormatting sqref="H10:H1048576">
    <cfRule type="cellIs" dxfId="248" priority="2394" operator="lessThan">
      <formula>0</formula>
    </cfRule>
  </conditionalFormatting>
  <conditionalFormatting sqref="H10:H1048576">
    <cfRule type="cellIs" dxfId="247" priority="2393" operator="lessThan">
      <formula>0</formula>
    </cfRule>
  </conditionalFormatting>
  <conditionalFormatting sqref="H10:H1048576">
    <cfRule type="cellIs" dxfId="246" priority="2392" operator="lessThan">
      <formula>0</formula>
    </cfRule>
  </conditionalFormatting>
  <conditionalFormatting sqref="H10:H1048576">
    <cfRule type="cellIs" dxfId="245" priority="2391" operator="lessThan">
      <formula>0</formula>
    </cfRule>
  </conditionalFormatting>
  <conditionalFormatting sqref="H10:H1048576">
    <cfRule type="cellIs" dxfId="244" priority="2390" operator="lessThan">
      <formula>0</formula>
    </cfRule>
  </conditionalFormatting>
  <conditionalFormatting sqref="H10:H1048576">
    <cfRule type="cellIs" dxfId="243" priority="2389" operator="lessThan">
      <formula>0</formula>
    </cfRule>
  </conditionalFormatting>
  <conditionalFormatting sqref="H10:H1048576">
    <cfRule type="cellIs" dxfId="242" priority="2388" operator="lessThan">
      <formula>0</formula>
    </cfRule>
  </conditionalFormatting>
  <conditionalFormatting sqref="H10:H1048576">
    <cfRule type="cellIs" dxfId="241" priority="2387" operator="lessThan">
      <formula>0</formula>
    </cfRule>
  </conditionalFormatting>
  <conditionalFormatting sqref="H10:H1048576">
    <cfRule type="cellIs" dxfId="240" priority="2386" operator="lessThan">
      <formula>0</formula>
    </cfRule>
  </conditionalFormatting>
  <conditionalFormatting sqref="H10:H1048576">
    <cfRule type="cellIs" dxfId="239" priority="2385" operator="lessThan">
      <formula>0</formula>
    </cfRule>
  </conditionalFormatting>
  <conditionalFormatting sqref="H10:H1048576">
    <cfRule type="cellIs" dxfId="238" priority="2384" operator="lessThan">
      <formula>0</formula>
    </cfRule>
  </conditionalFormatting>
  <conditionalFormatting sqref="H10:H1048576">
    <cfRule type="cellIs" dxfId="237" priority="2383" operator="lessThan">
      <formula>0</formula>
    </cfRule>
  </conditionalFormatting>
  <conditionalFormatting sqref="H10:H1048576">
    <cfRule type="cellIs" dxfId="236" priority="2382" operator="lessThan">
      <formula>0</formula>
    </cfRule>
  </conditionalFormatting>
  <conditionalFormatting sqref="H10:H1048576">
    <cfRule type="cellIs" dxfId="235" priority="2381" operator="lessThan">
      <formula>0</formula>
    </cfRule>
  </conditionalFormatting>
  <conditionalFormatting sqref="H10:H1048576">
    <cfRule type="cellIs" dxfId="234" priority="2380" operator="lessThan">
      <formula>0</formula>
    </cfRule>
  </conditionalFormatting>
  <conditionalFormatting sqref="H10:H1048576">
    <cfRule type="cellIs" dxfId="233" priority="2379" operator="lessThan">
      <formula>0</formula>
    </cfRule>
  </conditionalFormatting>
  <conditionalFormatting sqref="H10:H1048576">
    <cfRule type="cellIs" dxfId="232" priority="2378" operator="lessThan">
      <formula>0</formula>
    </cfRule>
  </conditionalFormatting>
  <conditionalFormatting sqref="H10:H1048576">
    <cfRule type="cellIs" dxfId="231" priority="2377" operator="lessThan">
      <formula>0</formula>
    </cfRule>
  </conditionalFormatting>
  <conditionalFormatting sqref="H10:H1048576">
    <cfRule type="cellIs" dxfId="230" priority="2376" operator="lessThan">
      <formula>0</formula>
    </cfRule>
  </conditionalFormatting>
  <conditionalFormatting sqref="H10:H1048576">
    <cfRule type="cellIs" dxfId="229" priority="2375" operator="lessThan">
      <formula>0</formula>
    </cfRule>
  </conditionalFormatting>
  <conditionalFormatting sqref="H10:H1048576">
    <cfRule type="cellIs" dxfId="228" priority="2374" operator="lessThan">
      <formula>0</formula>
    </cfRule>
  </conditionalFormatting>
  <conditionalFormatting sqref="H10:H1048576">
    <cfRule type="cellIs" dxfId="227" priority="2373" operator="lessThan">
      <formula>0</formula>
    </cfRule>
  </conditionalFormatting>
  <conditionalFormatting sqref="H10:H1048576">
    <cfRule type="cellIs" dxfId="226" priority="2372" operator="lessThan">
      <formula>0</formula>
    </cfRule>
  </conditionalFormatting>
  <conditionalFormatting sqref="H10:H1048576">
    <cfRule type="cellIs" dxfId="225" priority="2371" operator="lessThan">
      <formula>0</formula>
    </cfRule>
  </conditionalFormatting>
  <conditionalFormatting sqref="H10:H1048576">
    <cfRule type="cellIs" dxfId="224" priority="2370" operator="lessThan">
      <formula>0</formula>
    </cfRule>
  </conditionalFormatting>
  <conditionalFormatting sqref="H10:H1048576">
    <cfRule type="cellIs" dxfId="223" priority="2369" operator="lessThan">
      <formula>0</formula>
    </cfRule>
  </conditionalFormatting>
  <conditionalFormatting sqref="H10:H1048576">
    <cfRule type="cellIs" dxfId="222" priority="2368" operator="lessThan">
      <formula>0</formula>
    </cfRule>
  </conditionalFormatting>
  <conditionalFormatting sqref="H1:H1048576">
    <cfRule type="cellIs" dxfId="221" priority="2367" operator="lessThan">
      <formula>0</formula>
    </cfRule>
  </conditionalFormatting>
  <conditionalFormatting sqref="H1:H1048576">
    <cfRule type="cellIs" dxfId="220" priority="2366" operator="lessThan">
      <formula>0</formula>
    </cfRule>
  </conditionalFormatting>
  <conditionalFormatting sqref="H1:H1048576">
    <cfRule type="cellIs" dxfId="219" priority="2365" operator="lessThan">
      <formula>0</formula>
    </cfRule>
  </conditionalFormatting>
  <conditionalFormatting sqref="H1:H1048576">
    <cfRule type="cellIs" dxfId="218" priority="2364" operator="lessThan">
      <formula>0</formula>
    </cfRule>
  </conditionalFormatting>
  <conditionalFormatting sqref="H1:H1048576">
    <cfRule type="cellIs" dxfId="217" priority="2363" operator="lessThan">
      <formula>0</formula>
    </cfRule>
  </conditionalFormatting>
  <conditionalFormatting sqref="H1:H1048576">
    <cfRule type="cellIs" dxfId="216" priority="2362" operator="lessThan">
      <formula>0</formula>
    </cfRule>
  </conditionalFormatting>
  <conditionalFormatting sqref="H1:H1048576">
    <cfRule type="cellIs" dxfId="215" priority="2361" operator="lessThan">
      <formula>0</formula>
    </cfRule>
  </conditionalFormatting>
  <conditionalFormatting sqref="H1:H1048576">
    <cfRule type="cellIs" dxfId="214" priority="2360" operator="lessThan">
      <formula>0</formula>
    </cfRule>
  </conditionalFormatting>
  <conditionalFormatting sqref="H1:H1048576">
    <cfRule type="cellIs" dxfId="213" priority="2359" operator="lessThan">
      <formula>0</formula>
    </cfRule>
  </conditionalFormatting>
  <conditionalFormatting sqref="H1:H1048576">
    <cfRule type="cellIs" dxfId="212" priority="2358" operator="lessThan">
      <formula>0</formula>
    </cfRule>
  </conditionalFormatting>
  <conditionalFormatting sqref="H1:H1048576">
    <cfRule type="cellIs" dxfId="211" priority="2357" operator="lessThan">
      <formula>0</formula>
    </cfRule>
  </conditionalFormatting>
  <conditionalFormatting sqref="H1:H1048576">
    <cfRule type="cellIs" dxfId="210" priority="2356" operator="lessThan">
      <formula>0</formula>
    </cfRule>
  </conditionalFormatting>
  <conditionalFormatting sqref="H1:H1048576">
    <cfRule type="cellIs" dxfId="209" priority="2355" operator="lessThan">
      <formula>0</formula>
    </cfRule>
  </conditionalFormatting>
  <conditionalFormatting sqref="H1:H1048576">
    <cfRule type="cellIs" dxfId="208" priority="2354" operator="lessThan">
      <formula>0</formula>
    </cfRule>
  </conditionalFormatting>
  <conditionalFormatting sqref="H1:H1048576">
    <cfRule type="cellIs" dxfId="207" priority="2353" operator="lessThan">
      <formula>0</formula>
    </cfRule>
  </conditionalFormatting>
  <conditionalFormatting sqref="H1:H1048576">
    <cfRule type="cellIs" dxfId="206" priority="2352" operator="lessThan">
      <formula>0</formula>
    </cfRule>
  </conditionalFormatting>
  <conditionalFormatting sqref="H1:H1048576">
    <cfRule type="cellIs" dxfId="205" priority="2351" operator="lessThan">
      <formula>0</formula>
    </cfRule>
  </conditionalFormatting>
  <conditionalFormatting sqref="H1:H1048576">
    <cfRule type="cellIs" dxfId="204" priority="2350" operator="lessThan">
      <formula>0</formula>
    </cfRule>
  </conditionalFormatting>
  <conditionalFormatting sqref="H1:H1048576">
    <cfRule type="cellIs" dxfId="203" priority="2349" operator="lessThan">
      <formula>0</formula>
    </cfRule>
  </conditionalFormatting>
  <conditionalFormatting sqref="H1:H1048576">
    <cfRule type="cellIs" dxfId="202" priority="2348" operator="lessThan">
      <formula>0</formula>
    </cfRule>
  </conditionalFormatting>
  <conditionalFormatting sqref="H1:H1048576">
    <cfRule type="cellIs" dxfId="201" priority="2347" operator="lessThan">
      <formula>0</formula>
    </cfRule>
  </conditionalFormatting>
  <conditionalFormatting sqref="H1:H1048576">
    <cfRule type="cellIs" dxfId="200" priority="2346" operator="lessThan">
      <formula>0</formula>
    </cfRule>
  </conditionalFormatting>
  <conditionalFormatting sqref="H1:H1048576">
    <cfRule type="cellIs" dxfId="199" priority="2345" operator="lessThan">
      <formula>0</formula>
    </cfRule>
  </conditionalFormatting>
  <conditionalFormatting sqref="H1:H1048576">
    <cfRule type="cellIs" dxfId="198" priority="2344" operator="lessThan">
      <formula>0</formula>
    </cfRule>
  </conditionalFormatting>
  <conditionalFormatting sqref="H1:H1048576">
    <cfRule type="cellIs" dxfId="197" priority="2343" operator="lessThan">
      <formula>0</formula>
    </cfRule>
  </conditionalFormatting>
  <conditionalFormatting sqref="H1:H1048576">
    <cfRule type="cellIs" dxfId="196" priority="2342" operator="lessThan">
      <formula>0</formula>
    </cfRule>
  </conditionalFormatting>
  <conditionalFormatting sqref="H1:H1048576">
    <cfRule type="cellIs" dxfId="195" priority="2341" operator="lessThan">
      <formula>0</formula>
    </cfRule>
  </conditionalFormatting>
  <conditionalFormatting sqref="H1:H1048576">
    <cfRule type="cellIs" dxfId="194" priority="2340" operator="lessThan">
      <formula>0</formula>
    </cfRule>
  </conditionalFormatting>
  <conditionalFormatting sqref="H1:H1048576">
    <cfRule type="cellIs" dxfId="193" priority="2339" operator="lessThan">
      <formula>0</formula>
    </cfRule>
  </conditionalFormatting>
  <conditionalFormatting sqref="H1:H1048576">
    <cfRule type="cellIs" dxfId="192" priority="2338" operator="lessThan">
      <formula>0</formula>
    </cfRule>
  </conditionalFormatting>
  <conditionalFormatting sqref="H1:H1048576">
    <cfRule type="cellIs" dxfId="191" priority="2337" operator="lessThan">
      <formula>0</formula>
    </cfRule>
  </conditionalFormatting>
  <conditionalFormatting sqref="H1:H1048576">
    <cfRule type="cellIs" dxfId="190" priority="2336" operator="lessThan">
      <formula>0</formula>
    </cfRule>
  </conditionalFormatting>
  <conditionalFormatting sqref="H1:H1048576">
    <cfRule type="cellIs" dxfId="189" priority="2335" operator="lessThan">
      <formula>0</formula>
    </cfRule>
  </conditionalFormatting>
  <conditionalFormatting sqref="H1:H1048576">
    <cfRule type="cellIs" dxfId="188" priority="2334" operator="lessThan">
      <formula>0</formula>
    </cfRule>
  </conditionalFormatting>
  <conditionalFormatting sqref="H1:H1048576">
    <cfRule type="cellIs" dxfId="187" priority="2333" operator="lessThan">
      <formula>0</formula>
    </cfRule>
  </conditionalFormatting>
  <conditionalFormatting sqref="H1:H1048576">
    <cfRule type="cellIs" dxfId="186" priority="2332" operator="lessThan">
      <formula>0</formula>
    </cfRule>
  </conditionalFormatting>
  <conditionalFormatting sqref="H1:H1048576">
    <cfRule type="cellIs" dxfId="185" priority="2331" operator="lessThan">
      <formula>0</formula>
    </cfRule>
  </conditionalFormatting>
  <conditionalFormatting sqref="H1:H1048576">
    <cfRule type="cellIs" dxfId="184" priority="2330" operator="lessThan">
      <formula>0</formula>
    </cfRule>
  </conditionalFormatting>
  <conditionalFormatting sqref="H1:H1048576">
    <cfRule type="cellIs" dxfId="183" priority="2329" operator="lessThan">
      <formula>0</formula>
    </cfRule>
  </conditionalFormatting>
  <conditionalFormatting sqref="H1:H1048576">
    <cfRule type="cellIs" dxfId="182" priority="2328" operator="lessThan">
      <formula>0</formula>
    </cfRule>
  </conditionalFormatting>
  <conditionalFormatting sqref="H1:H1048576">
    <cfRule type="cellIs" dxfId="181" priority="2327" operator="lessThan">
      <formula>0</formula>
    </cfRule>
  </conditionalFormatting>
  <conditionalFormatting sqref="H1:H1048576">
    <cfRule type="cellIs" dxfId="180" priority="2326" operator="lessThan">
      <formula>0</formula>
    </cfRule>
  </conditionalFormatting>
  <conditionalFormatting sqref="H1:H1048576">
    <cfRule type="cellIs" dxfId="179" priority="2325" operator="lessThan">
      <formula>0</formula>
    </cfRule>
  </conditionalFormatting>
  <conditionalFormatting sqref="H1:H1048576">
    <cfRule type="cellIs" dxfId="178" priority="2324" operator="lessThan">
      <formula>0</formula>
    </cfRule>
  </conditionalFormatting>
  <conditionalFormatting sqref="H1:H1048576">
    <cfRule type="cellIs" dxfId="177" priority="2323" operator="lessThan">
      <formula>0</formula>
    </cfRule>
  </conditionalFormatting>
  <conditionalFormatting sqref="H1:H1048576">
    <cfRule type="cellIs" dxfId="176" priority="2322" operator="lessThan">
      <formula>0</formula>
    </cfRule>
  </conditionalFormatting>
  <conditionalFormatting sqref="H1:H1048576">
    <cfRule type="cellIs" dxfId="175" priority="2321" operator="lessThan">
      <formula>0</formula>
    </cfRule>
  </conditionalFormatting>
  <conditionalFormatting sqref="H1:H1048576">
    <cfRule type="cellIs" dxfId="174" priority="2320" operator="lessThan">
      <formula>0</formula>
    </cfRule>
  </conditionalFormatting>
  <conditionalFormatting sqref="H1:H1048576">
    <cfRule type="cellIs" dxfId="173" priority="2319" operator="lessThan">
      <formula>0</formula>
    </cfRule>
  </conditionalFormatting>
  <conditionalFormatting sqref="H1:H1048576">
    <cfRule type="cellIs" dxfId="172" priority="2318" operator="lessThan">
      <formula>0</formula>
    </cfRule>
  </conditionalFormatting>
  <conditionalFormatting sqref="H1:H1048576">
    <cfRule type="cellIs" dxfId="171" priority="2317" operator="lessThan">
      <formula>0</formula>
    </cfRule>
  </conditionalFormatting>
  <conditionalFormatting sqref="H1:H1048576">
    <cfRule type="cellIs" dxfId="170" priority="2316" operator="lessThan">
      <formula>0</formula>
    </cfRule>
  </conditionalFormatting>
  <conditionalFormatting sqref="H1:H1048576">
    <cfRule type="cellIs" dxfId="169" priority="2315" operator="lessThan">
      <formula>0</formula>
    </cfRule>
  </conditionalFormatting>
  <conditionalFormatting sqref="H1:H1048576">
    <cfRule type="cellIs" dxfId="168" priority="2314" operator="lessThan">
      <formula>0</formula>
    </cfRule>
  </conditionalFormatting>
  <conditionalFormatting sqref="H1:H1048576">
    <cfRule type="cellIs" dxfId="167" priority="2313" operator="lessThan">
      <formula>0</formula>
    </cfRule>
  </conditionalFormatting>
  <conditionalFormatting sqref="H1:H1048576">
    <cfRule type="cellIs" dxfId="166" priority="2312" operator="lessThan">
      <formula>0</formula>
    </cfRule>
  </conditionalFormatting>
  <conditionalFormatting sqref="H1:H1048576">
    <cfRule type="cellIs" dxfId="165" priority="2311" operator="lessThan">
      <formula>0</formula>
    </cfRule>
  </conditionalFormatting>
  <conditionalFormatting sqref="H1:H1048576">
    <cfRule type="cellIs" dxfId="164" priority="2310" operator="lessThan">
      <formula>0</formula>
    </cfRule>
  </conditionalFormatting>
  <conditionalFormatting sqref="H1:H1048576">
    <cfRule type="cellIs" dxfId="163" priority="2309" operator="lessThan">
      <formula>0</formula>
    </cfRule>
  </conditionalFormatting>
  <conditionalFormatting sqref="H1:H1048576">
    <cfRule type="cellIs" dxfId="162" priority="2308" operator="lessThan">
      <formula>0</formula>
    </cfRule>
  </conditionalFormatting>
  <conditionalFormatting sqref="H1:H1048576">
    <cfRule type="cellIs" dxfId="161" priority="2307" operator="lessThan">
      <formula>0</formula>
    </cfRule>
  </conditionalFormatting>
  <conditionalFormatting sqref="H1:H1048576">
    <cfRule type="cellIs" dxfId="160" priority="2306" operator="lessThan">
      <formula>0</formula>
    </cfRule>
  </conditionalFormatting>
  <conditionalFormatting sqref="H1:H1048576">
    <cfRule type="cellIs" dxfId="159" priority="2305" operator="lessThan">
      <formula>0</formula>
    </cfRule>
  </conditionalFormatting>
  <conditionalFormatting sqref="H1:H1048576">
    <cfRule type="cellIs" dxfId="158" priority="2304" operator="lessThan">
      <formula>0</formula>
    </cfRule>
  </conditionalFormatting>
  <conditionalFormatting sqref="H1:H1048576">
    <cfRule type="cellIs" dxfId="157" priority="2303" operator="lessThan">
      <formula>0</formula>
    </cfRule>
  </conditionalFormatting>
  <conditionalFormatting sqref="H1:H1048576">
    <cfRule type="cellIs" dxfId="156" priority="2302" operator="lessThan">
      <formula>0</formula>
    </cfRule>
  </conditionalFormatting>
  <conditionalFormatting sqref="H1:H1048576">
    <cfRule type="cellIs" dxfId="155" priority="2301" operator="lessThan">
      <formula>0</formula>
    </cfRule>
  </conditionalFormatting>
  <conditionalFormatting sqref="H1:H1048576">
    <cfRule type="cellIs" dxfId="154" priority="2300" operator="lessThan">
      <formula>0</formula>
    </cfRule>
  </conditionalFormatting>
  <conditionalFormatting sqref="H1:H1048576">
    <cfRule type="cellIs" dxfId="153" priority="2299" operator="lessThan">
      <formula>0</formula>
    </cfRule>
  </conditionalFormatting>
  <conditionalFormatting sqref="H1:H1048576">
    <cfRule type="cellIs" dxfId="152" priority="2298" operator="lessThan">
      <formula>0</formula>
    </cfRule>
  </conditionalFormatting>
  <conditionalFormatting sqref="H1:H1048576">
    <cfRule type="cellIs" dxfId="151" priority="2297" operator="lessThan">
      <formula>0</formula>
    </cfRule>
  </conditionalFormatting>
  <conditionalFormatting sqref="H1:H1048576">
    <cfRule type="cellIs" dxfId="150" priority="2296" operator="lessThan">
      <formula>0</formula>
    </cfRule>
  </conditionalFormatting>
  <conditionalFormatting sqref="H1:H1048576">
    <cfRule type="cellIs" dxfId="149" priority="2295" operator="lessThan">
      <formula>0</formula>
    </cfRule>
  </conditionalFormatting>
  <conditionalFormatting sqref="H1:H1048576">
    <cfRule type="cellIs" dxfId="148" priority="2294" operator="lessThan">
      <formula>0</formula>
    </cfRule>
  </conditionalFormatting>
  <conditionalFormatting sqref="H1:H1048576">
    <cfRule type="cellIs" dxfId="147" priority="2293" operator="lessThan">
      <formula>0</formula>
    </cfRule>
  </conditionalFormatting>
  <conditionalFormatting sqref="H1:H1048576">
    <cfRule type="cellIs" dxfId="146" priority="2292" operator="lessThan">
      <formula>0</formula>
    </cfRule>
  </conditionalFormatting>
  <conditionalFormatting sqref="H1:H1048576">
    <cfRule type="cellIs" dxfId="145" priority="2291" operator="lessThan">
      <formula>0</formula>
    </cfRule>
  </conditionalFormatting>
  <conditionalFormatting sqref="H1:H1048576">
    <cfRule type="cellIs" dxfId="144" priority="2290" operator="lessThan">
      <formula>0</formula>
    </cfRule>
  </conditionalFormatting>
  <conditionalFormatting sqref="H1:H1048576">
    <cfRule type="cellIs" dxfId="143" priority="2289" operator="lessThan">
      <formula>0</formula>
    </cfRule>
  </conditionalFormatting>
  <conditionalFormatting sqref="H1:H1048576">
    <cfRule type="cellIs" dxfId="142" priority="2288" operator="lessThan">
      <formula>0</formula>
    </cfRule>
  </conditionalFormatting>
  <conditionalFormatting sqref="H1:H1048576">
    <cfRule type="cellIs" dxfId="141" priority="2287" operator="lessThan">
      <formula>0</formula>
    </cfRule>
  </conditionalFormatting>
  <conditionalFormatting sqref="H1:H1048576">
    <cfRule type="cellIs" dxfId="140" priority="2286" operator="lessThan">
      <formula>0</formula>
    </cfRule>
  </conditionalFormatting>
  <conditionalFormatting sqref="H1:H1048576">
    <cfRule type="cellIs" dxfId="139" priority="2285" operator="lessThan">
      <formula>0</formula>
    </cfRule>
  </conditionalFormatting>
  <conditionalFormatting sqref="H1:H1048576">
    <cfRule type="cellIs" dxfId="138" priority="2284" operator="lessThan">
      <formula>0</formula>
    </cfRule>
  </conditionalFormatting>
  <conditionalFormatting sqref="H1:H1048576">
    <cfRule type="cellIs" dxfId="137" priority="2283" operator="lessThan">
      <formula>0</formula>
    </cfRule>
  </conditionalFormatting>
  <conditionalFormatting sqref="H1:H1048576">
    <cfRule type="cellIs" dxfId="136" priority="2282" operator="lessThan">
      <formula>0</formula>
    </cfRule>
  </conditionalFormatting>
  <conditionalFormatting sqref="H1:H1048576">
    <cfRule type="cellIs" dxfId="135" priority="2281" operator="lessThan">
      <formula>0</formula>
    </cfRule>
  </conditionalFormatting>
  <conditionalFormatting sqref="H1:H1048576">
    <cfRule type="cellIs" dxfId="134" priority="2280" operator="lessThan">
      <formula>0</formula>
    </cfRule>
  </conditionalFormatting>
  <conditionalFormatting sqref="H1:H1048576">
    <cfRule type="cellIs" dxfId="133" priority="2279" operator="lessThan">
      <formula>0</formula>
    </cfRule>
  </conditionalFormatting>
  <conditionalFormatting sqref="H1:H1048576">
    <cfRule type="cellIs" dxfId="132" priority="2278" operator="lessThan">
      <formula>0</formula>
    </cfRule>
  </conditionalFormatting>
  <conditionalFormatting sqref="H1:H1048576">
    <cfRule type="cellIs" dxfId="131" priority="2277" operator="lessThan">
      <formula>0</formula>
    </cfRule>
  </conditionalFormatting>
  <conditionalFormatting sqref="H1:H1048576">
    <cfRule type="cellIs" dxfId="130" priority="2276" operator="lessThan">
      <formula>0</formula>
    </cfRule>
  </conditionalFormatting>
  <conditionalFormatting sqref="H1:H1048576">
    <cfRule type="cellIs" dxfId="129" priority="2275" operator="lessThan">
      <formula>0</formula>
    </cfRule>
  </conditionalFormatting>
  <conditionalFormatting sqref="H1:H1048576">
    <cfRule type="cellIs" dxfId="128" priority="2274" operator="lessThan">
      <formula>0</formula>
    </cfRule>
  </conditionalFormatting>
  <conditionalFormatting sqref="H1:H1048576">
    <cfRule type="cellIs" dxfId="127" priority="2273" operator="lessThan">
      <formula>0</formula>
    </cfRule>
  </conditionalFormatting>
  <conditionalFormatting sqref="H1:H1048576">
    <cfRule type="cellIs" dxfId="126" priority="2272" operator="lessThan">
      <formula>0</formula>
    </cfRule>
  </conditionalFormatting>
  <conditionalFormatting sqref="H1:H1048576">
    <cfRule type="cellIs" dxfId="125" priority="2271" operator="lessThan">
      <formula>0</formula>
    </cfRule>
  </conditionalFormatting>
  <conditionalFormatting sqref="H1:H1048576">
    <cfRule type="cellIs" dxfId="124" priority="2270" operator="lessThan">
      <formula>0</formula>
    </cfRule>
  </conditionalFormatting>
  <conditionalFormatting sqref="H1:H1048576">
    <cfRule type="cellIs" dxfId="123" priority="2269" operator="lessThan">
      <formula>0</formula>
    </cfRule>
  </conditionalFormatting>
  <conditionalFormatting sqref="H1:H1048576">
    <cfRule type="cellIs" dxfId="122" priority="2268" operator="lessThan">
      <formula>0</formula>
    </cfRule>
  </conditionalFormatting>
  <conditionalFormatting sqref="H1:H1048576">
    <cfRule type="cellIs" dxfId="121" priority="2267" operator="lessThan">
      <formula>0</formula>
    </cfRule>
  </conditionalFormatting>
  <conditionalFormatting sqref="H1:H1048576">
    <cfRule type="cellIs" dxfId="120" priority="2266" operator="lessThan">
      <formula>0</formula>
    </cfRule>
  </conditionalFormatting>
  <conditionalFormatting sqref="H1:H1048576">
    <cfRule type="cellIs" dxfId="119" priority="2265" operator="lessThan">
      <formula>0</formula>
    </cfRule>
  </conditionalFormatting>
  <conditionalFormatting sqref="H1:H1048576">
    <cfRule type="cellIs" dxfId="118" priority="2264" operator="lessThan">
      <formula>0</formula>
    </cfRule>
  </conditionalFormatting>
  <conditionalFormatting sqref="H1:H1048576">
    <cfRule type="cellIs" dxfId="117" priority="2263" operator="lessThan">
      <formula>0</formula>
    </cfRule>
  </conditionalFormatting>
  <conditionalFormatting sqref="H1:H1048576">
    <cfRule type="cellIs" dxfId="116" priority="2262" operator="lessThan">
      <formula>0</formula>
    </cfRule>
  </conditionalFormatting>
  <conditionalFormatting sqref="H1:H1048576">
    <cfRule type="cellIs" dxfId="115" priority="2261" operator="lessThan">
      <formula>0</formula>
    </cfRule>
  </conditionalFormatting>
  <conditionalFormatting sqref="H1:H1048576">
    <cfRule type="cellIs" dxfId="114" priority="2260" operator="lessThan">
      <formula>0</formula>
    </cfRule>
  </conditionalFormatting>
  <conditionalFormatting sqref="H1:H1048576">
    <cfRule type="cellIs" dxfId="113" priority="2259" operator="lessThan">
      <formula>0</formula>
    </cfRule>
  </conditionalFormatting>
  <conditionalFormatting sqref="H1:H1048576">
    <cfRule type="cellIs" dxfId="112" priority="2258" operator="lessThan">
      <formula>0</formula>
    </cfRule>
  </conditionalFormatting>
  <conditionalFormatting sqref="H1:H1048576">
    <cfRule type="cellIs" dxfId="111" priority="2257" operator="lessThan">
      <formula>0</formula>
    </cfRule>
  </conditionalFormatting>
  <conditionalFormatting sqref="H1:H1048576">
    <cfRule type="cellIs" dxfId="110" priority="2256" operator="lessThan">
      <formula>0</formula>
    </cfRule>
  </conditionalFormatting>
  <conditionalFormatting sqref="H1:H1048576">
    <cfRule type="cellIs" dxfId="109" priority="2255" operator="lessThan">
      <formula>0</formula>
    </cfRule>
  </conditionalFormatting>
  <conditionalFormatting sqref="H1:H1048576">
    <cfRule type="cellIs" dxfId="108" priority="2254" operator="lessThan">
      <formula>0</formula>
    </cfRule>
  </conditionalFormatting>
  <conditionalFormatting sqref="H1:H1048576">
    <cfRule type="cellIs" dxfId="107" priority="2253" operator="lessThan">
      <formula>0</formula>
    </cfRule>
  </conditionalFormatting>
  <conditionalFormatting sqref="H1:H1048576">
    <cfRule type="cellIs" dxfId="106" priority="2252" operator="lessThan">
      <formula>0</formula>
    </cfRule>
  </conditionalFormatting>
  <conditionalFormatting sqref="H1:H1048576">
    <cfRule type="cellIs" dxfId="105" priority="2251" operator="lessThan">
      <formula>0</formula>
    </cfRule>
  </conditionalFormatting>
  <conditionalFormatting sqref="H1:H1048576">
    <cfRule type="cellIs" dxfId="104" priority="2250" operator="lessThan">
      <formula>0</formula>
    </cfRule>
  </conditionalFormatting>
  <conditionalFormatting sqref="H1:H1048576">
    <cfRule type="cellIs" dxfId="103" priority="2249" operator="lessThan">
      <formula>0</formula>
    </cfRule>
  </conditionalFormatting>
  <conditionalFormatting sqref="H1:H1048576">
    <cfRule type="cellIs" dxfId="102" priority="2248" operator="lessThan">
      <formula>0</formula>
    </cfRule>
  </conditionalFormatting>
  <conditionalFormatting sqref="H1:H1048576">
    <cfRule type="cellIs" dxfId="101" priority="2247" operator="lessThan">
      <formula>0</formula>
    </cfRule>
  </conditionalFormatting>
  <conditionalFormatting sqref="H1:H1048576">
    <cfRule type="cellIs" dxfId="100" priority="2246" operator="lessThan">
      <formula>0</formula>
    </cfRule>
  </conditionalFormatting>
  <conditionalFormatting sqref="H1:H1048576">
    <cfRule type="cellIs" dxfId="99" priority="2245" operator="lessThan">
      <formula>0</formula>
    </cfRule>
  </conditionalFormatting>
  <conditionalFormatting sqref="H1:H1048576">
    <cfRule type="cellIs" dxfId="98" priority="2244" operator="lessThan">
      <formula>0</formula>
    </cfRule>
  </conditionalFormatting>
  <conditionalFormatting sqref="H1:H1048576">
    <cfRule type="cellIs" dxfId="97" priority="2243" operator="lessThan">
      <formula>0</formula>
    </cfRule>
  </conditionalFormatting>
  <conditionalFormatting sqref="H1:H1048576">
    <cfRule type="cellIs" dxfId="96" priority="2242" operator="lessThan">
      <formula>0</formula>
    </cfRule>
  </conditionalFormatting>
  <conditionalFormatting sqref="H1:H1048576">
    <cfRule type="cellIs" dxfId="95" priority="2241" operator="lessThan">
      <formula>0</formula>
    </cfRule>
  </conditionalFormatting>
  <conditionalFormatting sqref="H1:H1048576">
    <cfRule type="cellIs" dxfId="94" priority="2240" operator="lessThan">
      <formula>0</formula>
    </cfRule>
  </conditionalFormatting>
  <conditionalFormatting sqref="H1:H1048576">
    <cfRule type="cellIs" dxfId="93" priority="2239" operator="lessThan">
      <formula>0</formula>
    </cfRule>
  </conditionalFormatting>
  <conditionalFormatting sqref="H1:H1048576">
    <cfRule type="cellIs" dxfId="92" priority="2238" operator="lessThan">
      <formula>0</formula>
    </cfRule>
  </conditionalFormatting>
  <conditionalFormatting sqref="H1:H1048576">
    <cfRule type="cellIs" dxfId="91" priority="2237" operator="lessThan">
      <formula>0</formula>
    </cfRule>
  </conditionalFormatting>
  <conditionalFormatting sqref="H1:H1048576">
    <cfRule type="cellIs" dxfId="90" priority="2236" operator="lessThan">
      <formula>0</formula>
    </cfRule>
  </conditionalFormatting>
  <conditionalFormatting sqref="H1:H1048576">
    <cfRule type="cellIs" dxfId="89" priority="2235" operator="lessThan">
      <formula>0</formula>
    </cfRule>
  </conditionalFormatting>
  <conditionalFormatting sqref="H1:H1048576">
    <cfRule type="cellIs" dxfId="88" priority="2234" operator="lessThan">
      <formula>0</formula>
    </cfRule>
  </conditionalFormatting>
  <conditionalFormatting sqref="H1:H1048576">
    <cfRule type="cellIs" dxfId="87" priority="2233" operator="lessThan">
      <formula>0</formula>
    </cfRule>
  </conditionalFormatting>
  <conditionalFormatting sqref="H1:H1048576">
    <cfRule type="cellIs" dxfId="86" priority="2232" operator="lessThan">
      <formula>0</formula>
    </cfRule>
  </conditionalFormatting>
  <conditionalFormatting sqref="H1:H1048576">
    <cfRule type="cellIs" dxfId="85" priority="2231" operator="lessThan">
      <formula>0</formula>
    </cfRule>
  </conditionalFormatting>
  <conditionalFormatting sqref="H1:H1048576">
    <cfRule type="cellIs" dxfId="84" priority="2230" operator="lessThan">
      <formula>0</formula>
    </cfRule>
  </conditionalFormatting>
  <conditionalFormatting sqref="H1:H1048576">
    <cfRule type="cellIs" dxfId="83" priority="2229" operator="lessThan">
      <formula>0</formula>
    </cfRule>
  </conditionalFormatting>
  <conditionalFormatting sqref="H1:H1048576">
    <cfRule type="cellIs" dxfId="82" priority="2228" operator="lessThan">
      <formula>0</formula>
    </cfRule>
  </conditionalFormatting>
  <conditionalFormatting sqref="H1:H1048576">
    <cfRule type="cellIs" dxfId="81" priority="2227" operator="lessThan">
      <formula>0</formula>
    </cfRule>
  </conditionalFormatting>
  <conditionalFormatting sqref="H1:H1048576">
    <cfRule type="cellIs" dxfId="80" priority="2226" operator="lessThan">
      <formula>0</formula>
    </cfRule>
  </conditionalFormatting>
  <conditionalFormatting sqref="H1:H1048576">
    <cfRule type="cellIs" dxfId="79" priority="2225" operator="lessThan">
      <formula>0</formula>
    </cfRule>
  </conditionalFormatting>
  <conditionalFormatting sqref="H1:H1048576">
    <cfRule type="cellIs" dxfId="78" priority="2224" operator="lessThan">
      <formula>0</formula>
    </cfRule>
  </conditionalFormatting>
  <conditionalFormatting sqref="H1:H1048576">
    <cfRule type="cellIs" dxfId="77" priority="2223" operator="lessThan">
      <formula>0</formula>
    </cfRule>
  </conditionalFormatting>
  <conditionalFormatting sqref="H1:H1048576">
    <cfRule type="cellIs" dxfId="76" priority="2222" operator="lessThan">
      <formula>0</formula>
    </cfRule>
  </conditionalFormatting>
  <conditionalFormatting sqref="H1:H1048576">
    <cfRule type="cellIs" dxfId="75" priority="2221" operator="lessThan">
      <formula>0</formula>
    </cfRule>
  </conditionalFormatting>
  <conditionalFormatting sqref="H1:H1048576">
    <cfRule type="cellIs" dxfId="74" priority="2220" operator="lessThan">
      <formula>0</formula>
    </cfRule>
  </conditionalFormatting>
  <conditionalFormatting sqref="H1:H1048576">
    <cfRule type="cellIs" dxfId="73" priority="2219" operator="lessThan">
      <formula>0</formula>
    </cfRule>
  </conditionalFormatting>
  <conditionalFormatting sqref="H1:H1048576">
    <cfRule type="cellIs" dxfId="72" priority="2218" operator="lessThan">
      <formula>0</formula>
    </cfRule>
  </conditionalFormatting>
  <conditionalFormatting sqref="H1:H1048576">
    <cfRule type="cellIs" dxfId="71" priority="2217" operator="lessThan">
      <formula>0</formula>
    </cfRule>
  </conditionalFormatting>
  <conditionalFormatting sqref="H1:H1048576">
    <cfRule type="cellIs" dxfId="70" priority="2216" operator="lessThan">
      <formula>0</formula>
    </cfRule>
  </conditionalFormatting>
  <conditionalFormatting sqref="H1:H1048576">
    <cfRule type="cellIs" dxfId="69" priority="2215" operator="lessThan">
      <formula>0</formula>
    </cfRule>
  </conditionalFormatting>
  <conditionalFormatting sqref="H1:H1048576">
    <cfRule type="cellIs" dxfId="68" priority="2214" operator="lessThan">
      <formula>0</formula>
    </cfRule>
  </conditionalFormatting>
  <conditionalFormatting sqref="H1:H1048576">
    <cfRule type="cellIs" dxfId="67" priority="2213" operator="lessThan">
      <formula>0</formula>
    </cfRule>
  </conditionalFormatting>
  <conditionalFormatting sqref="H1:H1048576">
    <cfRule type="cellIs" dxfId="66" priority="2212" operator="lessThan">
      <formula>0</formula>
    </cfRule>
  </conditionalFormatting>
  <conditionalFormatting sqref="H1:H1048576">
    <cfRule type="cellIs" dxfId="65" priority="2211" operator="lessThan">
      <formula>0</formula>
    </cfRule>
  </conditionalFormatting>
  <conditionalFormatting sqref="H1:H1048576">
    <cfRule type="cellIs" dxfId="64" priority="2210" operator="lessThan">
      <formula>0</formula>
    </cfRule>
  </conditionalFormatting>
  <conditionalFormatting sqref="H1:H1048576">
    <cfRule type="cellIs" dxfId="63" priority="2209" operator="lessThan">
      <formula>0</formula>
    </cfRule>
  </conditionalFormatting>
  <conditionalFormatting sqref="H1:H1048576">
    <cfRule type="cellIs" dxfId="62" priority="2208" operator="lessThan">
      <formula>0</formula>
    </cfRule>
  </conditionalFormatting>
  <conditionalFormatting sqref="H1:H1048576">
    <cfRule type="cellIs" dxfId="61" priority="2207" operator="lessThan">
      <formula>0</formula>
    </cfRule>
  </conditionalFormatting>
  <conditionalFormatting sqref="H1:H1048576">
    <cfRule type="cellIs" dxfId="60" priority="2206" operator="lessThan">
      <formula>0</formula>
    </cfRule>
  </conditionalFormatting>
  <conditionalFormatting sqref="H1:H1048576">
    <cfRule type="cellIs" dxfId="59" priority="2205" operator="lessThan">
      <formula>0</formula>
    </cfRule>
  </conditionalFormatting>
  <conditionalFormatting sqref="H1:H1048576">
    <cfRule type="cellIs" dxfId="58" priority="2204" operator="lessThan">
      <formula>0</formula>
    </cfRule>
  </conditionalFormatting>
  <conditionalFormatting sqref="H1:H1048576">
    <cfRule type="cellIs" dxfId="57" priority="2203" operator="lessThan">
      <formula>0</formula>
    </cfRule>
  </conditionalFormatting>
  <conditionalFormatting sqref="H1:H1048576">
    <cfRule type="cellIs" dxfId="56" priority="2202" operator="lessThan">
      <formula>0</formula>
    </cfRule>
  </conditionalFormatting>
  <conditionalFormatting sqref="H1:H1048576">
    <cfRule type="cellIs" dxfId="55" priority="2201" operator="lessThan">
      <formula>0</formula>
    </cfRule>
  </conditionalFormatting>
  <conditionalFormatting sqref="H1:H1048576">
    <cfRule type="cellIs" dxfId="54" priority="2200" operator="lessThan">
      <formula>0</formula>
    </cfRule>
  </conditionalFormatting>
  <conditionalFormatting sqref="H1:H1048576">
    <cfRule type="cellIs" dxfId="53" priority="2199" operator="lessThan">
      <formula>0</formula>
    </cfRule>
  </conditionalFormatting>
  <conditionalFormatting sqref="H1:H1048576">
    <cfRule type="cellIs" dxfId="52" priority="2198" operator="lessThan">
      <formula>0</formula>
    </cfRule>
  </conditionalFormatting>
  <conditionalFormatting sqref="H1:H1048576">
    <cfRule type="cellIs" dxfId="51" priority="2197" operator="lessThan">
      <formula>0</formula>
    </cfRule>
  </conditionalFormatting>
  <conditionalFormatting sqref="H1:H1048576">
    <cfRule type="cellIs" dxfId="50" priority="2196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2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S23" sqref="S23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324.85000000000002</v>
      </c>
      <c r="D1" s="172">
        <f t="shared" ref="D1:D10" si="0">C1/E1-1</f>
        <v>1.4997656616153821E-2</v>
      </c>
      <c r="E1" s="239">
        <f>_xll.BDP(B1&amp;" EQUITY","PX_YEST_CLOSE")</f>
        <v>320.05</v>
      </c>
      <c r="H1" t="s">
        <v>6</v>
      </c>
      <c r="I1" s="173" cm="1">
        <f t="array" ref="I1">_xll.BDP(H1&amp;" EQUITY","LAST_PRICE")</f>
        <v>85.13</v>
      </c>
      <c r="J1" s="172">
        <f t="shared" ref="J1:J10" si="1">I1/K1-1</f>
        <v>8.5297950479801266E-3</v>
      </c>
      <c r="K1" s="239">
        <f>_xll.BDP(H1&amp;" EQUITY","PX_YEST_CLOSE")</f>
        <v>84.41</v>
      </c>
      <c r="M1" s="5">
        <f>J32/4</f>
        <v>-1.6125660704154055E-3</v>
      </c>
      <c r="P1" s="50"/>
      <c r="Q1" t="s">
        <v>1912</v>
      </c>
      <c r="R1" s="5">
        <f>SUM(U18:U35)</f>
        <v>2.1658063578384762E-2</v>
      </c>
      <c r="S1" s="5">
        <f>T1/R1/10000</f>
        <v>-2.1038929469980685E-3</v>
      </c>
      <c r="T1" s="276">
        <f>SUM(V18:V35)</f>
        <v>-0.45566247208199456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186.47</v>
      </c>
      <c r="D2" s="172">
        <f t="shared" si="0"/>
        <v>-6.3942025896519539E-3</v>
      </c>
      <c r="E2" s="239" cm="1">
        <f t="array" ref="E2">_xll.BDP(B2&amp;" EQUITY","PX_YEST_CLOSE")</f>
        <v>187.67</v>
      </c>
      <c r="H2" t="s">
        <v>89</v>
      </c>
      <c r="I2" s="173" cm="1">
        <f t="array" ref="I2">_xll.BDP(H2&amp;" EQUITY","LAST_PRICE")</f>
        <v>98.81</v>
      </c>
      <c r="J2" s="172">
        <f t="shared" si="1"/>
        <v>1.1257803704840974E-2</v>
      </c>
      <c r="K2" s="239">
        <f>_xll.BDP(H2&amp;" EQUITY","PX_YEST_CLOSE")</f>
        <v>97.71</v>
      </c>
      <c r="O2" s="50"/>
      <c r="P2" s="50"/>
      <c r="R2" s="5"/>
      <c r="S2" s="5"/>
      <c r="T2" s="276"/>
      <c r="U2" s="369"/>
      <c r="V2" s="368"/>
      <c r="W2" s="276">
        <f>W5/W6</f>
        <v>-0.81376118807654108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332.71</v>
      </c>
      <c r="D3" s="172">
        <f t="shared" si="0"/>
        <v>-6.4502642816616218E-3</v>
      </c>
      <c r="E3" s="239">
        <f>_xll.BDP(B3&amp;" EQUITY","PX_YEST_CLOSE")</f>
        <v>334.87</v>
      </c>
      <c r="H3" t="s">
        <v>136</v>
      </c>
      <c r="I3" s="173" cm="1">
        <f t="array" ref="I3">_xll.BDP(H3&amp;" EQUITY","LAST_PRICE")</f>
        <v>398.82</v>
      </c>
      <c r="J3" s="172">
        <f t="shared" si="1"/>
        <v>-3.1742857856982276E-3</v>
      </c>
      <c r="K3" s="239" cm="1">
        <f t="array" ref="K3">_xll.BDP(H3&amp;" EQUITY","PX_YEST_CLOSE")</f>
        <v>400.09</v>
      </c>
      <c r="L3" s="174"/>
      <c r="O3" s="5"/>
      <c r="R3" s="5"/>
      <c r="S3" s="5"/>
      <c r="T3" s="276"/>
      <c r="U3" s="276">
        <f>U5/-U6</f>
        <v>10.106555519280461</v>
      </c>
      <c r="W3" s="45" t="s">
        <v>154</v>
      </c>
      <c r="X3" s="5">
        <f>_xll.BDP("SPY Equity","LAST_PRICE")/_xll.BDP("SPY Equity","PX_YEST_CLOSE")-1</f>
        <v>5.0781306675564686E-3</v>
      </c>
      <c r="AC3" s="93" cm="1">
        <f t="array" ref="AC3">_xll.BDP("brl Curncy","LAST_PRICE")</f>
        <v>5.2831000000000001</v>
      </c>
      <c r="AD3" s="8">
        <f>AD5*$AC$3</f>
        <v>11866027867.750801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389.13</v>
      </c>
      <c r="D4" s="172">
        <f t="shared" si="0"/>
        <v>-2.6323032653571832E-2</v>
      </c>
      <c r="E4" s="239" cm="1">
        <f t="array" ref="E4">_xll.BDP(B4&amp;" EQUITY","PX_YEST_CLOSE")</f>
        <v>399.65</v>
      </c>
      <c r="F4" s="7"/>
      <c r="G4" s="7"/>
      <c r="H4" t="s">
        <v>0</v>
      </c>
      <c r="I4" s="173" cm="1">
        <f t="array" ref="I4">_xll.BDP(H4&amp;" EQUITY","LAST_PRICE")</f>
        <v>692.73</v>
      </c>
      <c r="J4" s="172">
        <f t="shared" si="1"/>
        <v>5.0781306675564686E-3</v>
      </c>
      <c r="K4" s="239" cm="1">
        <f t="array" ref="K4">_xll.BDP(H4&amp;" EQUITY","PX_YEST_CLOSE")</f>
        <v>689.23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238.42</v>
      </c>
      <c r="D5" s="172">
        <f t="shared" si="0"/>
        <v>-3.0941629034956231E-3</v>
      </c>
      <c r="E5" s="239" cm="1">
        <f t="array" ref="E5">_xll.BDP(B5&amp;" EQUITY","PX_YEST_CLOSE")</f>
        <v>239.16</v>
      </c>
      <c r="H5" t="s">
        <v>3</v>
      </c>
      <c r="I5" s="175" cm="1">
        <f t="array" ref="I5">_xll.BDP(H5&amp;" EQUITY","LAST_PRICE")</f>
        <v>199.24</v>
      </c>
      <c r="J5" s="172">
        <f t="shared" si="1"/>
        <v>2.3645419328872652E-3</v>
      </c>
      <c r="K5" s="239" cm="1">
        <f t="array" ref="K5">_xll.BDP(H5&amp;" EQUITY","PX_YEST_CLOSE")</f>
        <v>198.77</v>
      </c>
      <c r="L5" s="174"/>
      <c r="O5" s="27">
        <f>SUMIF(O12:O41,"&gt;0")</f>
        <v>1.4797425085848808E-2</v>
      </c>
      <c r="P5" s="20">
        <f>SUMIF($F$12:$F$41,"Long",P12:P41)</f>
        <v>-0.37821594012897697</v>
      </c>
      <c r="R5" s="27">
        <f>SUMIF(R12:R41,"&gt;0")</f>
        <v>1.1095750332309999E-2</v>
      </c>
      <c r="S5" s="170">
        <f>SUMIF($F$12:$F$41,"Long",S12:S41)</f>
        <v>-0.2390966440124106</v>
      </c>
      <c r="T5" t="s">
        <v>99</v>
      </c>
      <c r="U5" s="33">
        <f>SUMIF($F$12:$F$41,"Long",U12:U41)</f>
        <v>2.4050830672532983E-2</v>
      </c>
      <c r="V5" s="39">
        <f>SUMIF($F$12:$F$41,"Long",V12:V41)</f>
        <v>-0.61731258414138757</v>
      </c>
      <c r="W5" s="5">
        <f>V5/U5/10000</f>
        <v>-2.566699639386607E-3</v>
      </c>
      <c r="X5" s="5">
        <f>W5-$X$3</f>
        <v>-7.6448303069430752E-3</v>
      </c>
      <c r="Y5" s="55">
        <f>$U5*X5*10000</f>
        <v>-1.8386451923253626</v>
      </c>
      <c r="Z5" s="9">
        <f>U5*$X$3*10000</f>
        <v>1.221332608183975</v>
      </c>
      <c r="AA5" s="33">
        <f>SUMIF($F$12:$F$41,"Long",AA12:AA41)</f>
        <v>3.1554126862121674E-2</v>
      </c>
      <c r="AB5" s="276">
        <f>AA5/U5</f>
        <v>1.3119765920666415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255.41</v>
      </c>
      <c r="D6" s="172">
        <f t="shared" si="0"/>
        <v>2.9712949524270282E-2</v>
      </c>
      <c r="E6" s="239" cm="1">
        <f t="array" ref="E6">_xll.BDP(B6&amp;" EQUITY","PX_YEST_CLOSE")</f>
        <v>248.04</v>
      </c>
      <c r="H6" t="s">
        <v>135</v>
      </c>
      <c r="I6" s="176" cm="1">
        <f t="array" ref="I6">_xll.BDP(H6&amp;" EQUITY","LAST_PRICE")</f>
        <v>625.46</v>
      </c>
      <c r="J6" s="172">
        <f t="shared" si="1"/>
        <v>4.4000513874615788E-3</v>
      </c>
      <c r="K6" s="239" cm="1">
        <f t="array" ref="K6">_xll.BDP(H6&amp;" EQUITY","PX_YEST_CLOSE")</f>
        <v>622.72</v>
      </c>
      <c r="L6" s="1">
        <f>$S$1/J6</f>
        <v>-0.47815190363306631</v>
      </c>
      <c r="O6" s="27">
        <f>SUMIF(O12:O41,"&lt;0")</f>
        <v>-2.986143011692372E-3</v>
      </c>
      <c r="P6" s="20">
        <f>SUMIF($F$12:$F$41,"Short",P12:P41)</f>
        <v>-2.6753009044532032E-2</v>
      </c>
      <c r="R6" s="27">
        <f>SUMIF(R12:R41,"&lt;0")</f>
        <v>-2.4866274989514937E-4</v>
      </c>
      <c r="S6" s="170">
        <f>SUMIF($F$12:$F$41,"Short",S12:S41)</f>
        <v>-4.8306374221265561E-2</v>
      </c>
      <c r="T6" t="s">
        <v>100</v>
      </c>
      <c r="U6" s="33">
        <f>SUMIF($F$12:$F$41,"Short",U12:U41)</f>
        <v>-2.3797257756760721E-3</v>
      </c>
      <c r="V6" s="39">
        <f>SUMIF($F$12:$F$41,"Short",V12:V41)</f>
        <v>-7.5059383265797572E-2</v>
      </c>
      <c r="W6" s="5">
        <f>V6/U6/10000</f>
        <v>3.154119017955901E-3</v>
      </c>
      <c r="X6" s="5">
        <f>$X$3-W6</f>
        <v>1.9240116496005676E-3</v>
      </c>
      <c r="Y6" s="55">
        <f>-$U6*X6*10000</f>
        <v>4.5786201152555099E-2</v>
      </c>
      <c r="Z6" s="9">
        <f>U6*$X$3*10000</f>
        <v>-0.12084558441835266</v>
      </c>
      <c r="AA6" s="33">
        <f>SUMIF($F$12:$F$41,"Short",AA12:AA41)</f>
        <v>-2.5611967674722099E-3</v>
      </c>
      <c r="AB6" s="276">
        <f>AA6/U6</f>
        <v>1.0762571022472462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470.28</v>
      </c>
      <c r="D7" s="172">
        <f t="shared" si="0"/>
        <v>9.2928425796758862E-3</v>
      </c>
      <c r="E7" s="239" cm="1">
        <f t="array" ref="E7">_xll.BDP(B7&amp;" EQUITY","PX_YEST_CLOSE")</f>
        <v>465.95</v>
      </c>
      <c r="H7" t="s">
        <v>143</v>
      </c>
      <c r="I7" s="175" cm="1">
        <f t="array" ref="I7">_xll.BDP(H7&amp;" EQUITY","LAST_PRICE")</f>
        <v>105.5</v>
      </c>
      <c r="J7" s="172">
        <f t="shared" si="1"/>
        <v>5.5280213495996211E-3</v>
      </c>
      <c r="K7" s="239">
        <f>_xll.BDP(H7&amp;" EQUITY","PX_YEST_CLOSE")</f>
        <v>104.92</v>
      </c>
      <c r="L7" s="174"/>
      <c r="M7"/>
      <c r="N7" s="28"/>
      <c r="O7" s="29">
        <f>O5+O6</f>
        <v>1.1811282074156437E-2</v>
      </c>
      <c r="P7" s="169">
        <f>SUM(P12:P41)</f>
        <v>-0.36016817791948824</v>
      </c>
      <c r="Q7" s="28"/>
      <c r="R7" s="29">
        <f>R5+R6</f>
        <v>1.0847087582414849E-2</v>
      </c>
      <c r="S7" s="169">
        <f>SUM(S12:S41)</f>
        <v>0.39201622351336479</v>
      </c>
      <c r="T7" s="458" t="s">
        <v>2292</v>
      </c>
      <c r="U7" s="344">
        <f>U5+U6</f>
        <v>2.1671104896856912E-2</v>
      </c>
      <c r="V7" s="345">
        <f>V5+V6</f>
        <v>-0.6923719674071851</v>
      </c>
      <c r="W7" s="44">
        <f>V7/U7/10000</f>
        <v>-3.1949084769905016E-3</v>
      </c>
      <c r="X7" s="44"/>
      <c r="Y7" s="56">
        <f>Y5+Y6</f>
        <v>-1.7928589911728074</v>
      </c>
      <c r="Z7" s="47">
        <f>Z5+Z6</f>
        <v>1.1004870237656224</v>
      </c>
      <c r="AA7" s="34">
        <f>AA5+AA6</f>
        <v>2.8992930094649465E-2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333.25299999999999</v>
      </c>
      <c r="D8" s="172">
        <f t="shared" si="0"/>
        <v>1.6232122709114671E-2</v>
      </c>
      <c r="E8" s="239" cm="1">
        <f t="array" ref="E8">_xll.BDP(B8&amp;" EQUITY","PX_YEST_CLOSE")</f>
        <v>327.93</v>
      </c>
      <c r="F8" s="16"/>
      <c r="G8" s="16"/>
      <c r="H8" t="s">
        <v>144</v>
      </c>
      <c r="I8" s="175" cm="1">
        <f t="array" ref="I8">_xll.BDP(H8&amp;" EQUITY","LAST_PRICE")</f>
        <v>263.98</v>
      </c>
      <c r="J8" s="172">
        <f t="shared" si="1"/>
        <v>-3.1343227219515768E-3</v>
      </c>
      <c r="K8" s="239" cm="1">
        <f t="array" ref="K8">_xll.BDP(H8&amp;" EQUITY","PX_YEST_CLOSE")</f>
        <v>264.81</v>
      </c>
      <c r="M8"/>
      <c r="N8" s="6"/>
      <c r="O8" s="30">
        <f>O5-O6</f>
        <v>1.778356809754118E-2</v>
      </c>
      <c r="P8" s="31"/>
      <c r="Q8" s="6"/>
      <c r="R8" s="30">
        <f>R5-R6</f>
        <v>1.1344413082205148E-2</v>
      </c>
      <c r="S8" s="31"/>
      <c r="T8" s="6" t="s">
        <v>67</v>
      </c>
      <c r="U8" s="35">
        <f>U5-U6</f>
        <v>2.6430556448209054E-2</v>
      </c>
      <c r="V8" s="41"/>
      <c r="AA8" s="35">
        <f>AA5-AA6</f>
        <v>3.4115323629593887E-2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672.36</v>
      </c>
      <c r="D9" s="172">
        <f t="shared" si="0"/>
        <v>2.0644847896047258E-2</v>
      </c>
      <c r="E9" s="239">
        <f>_xll.BDP(B9&amp;" EQUITY","PX_YEST_CLOSE")</f>
        <v>658.76</v>
      </c>
      <c r="F9" s="16"/>
      <c r="G9" s="16"/>
      <c r="H9" t="s">
        <v>484</v>
      </c>
      <c r="I9" s="175" cm="1">
        <f t="array" ref="I9">_xll.BDP(H9&amp;" EQUITY","LAST_PRICE")</f>
        <v>88.08</v>
      </c>
      <c r="J9" s="172">
        <f t="shared" si="1"/>
        <v>2.4066968957098034E-2</v>
      </c>
      <c r="K9" s="239" cm="1">
        <f t="array" ref="K9">_xll.BDP(H9&amp;" EQUITY","PX_YEST_CLOSE")</f>
        <v>86.01</v>
      </c>
      <c r="N9" s="6"/>
      <c r="O9" s="30"/>
      <c r="P9" s="46"/>
      <c r="Q9" s="6"/>
      <c r="R9" s="30"/>
      <c r="S9" s="46"/>
      <c r="T9" s="339" t="s">
        <v>2138</v>
      </c>
      <c r="U9" s="340">
        <f>SUM(U16:U16)</f>
        <v>1.1352863410041822E-3</v>
      </c>
      <c r="V9" s="341">
        <f>SUM(V16:V16)</f>
        <v>0.70783131912919062</v>
      </c>
      <c r="W9" s="123">
        <v>2.5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182.44</v>
      </c>
      <c r="D10" s="172">
        <f t="shared" si="0"/>
        <v>2.9803567396703645E-2</v>
      </c>
      <c r="E10" s="239">
        <f>_xll.BDP(B10&amp;" EQUITY","PX_YEST_CLOSE")</f>
        <v>177.16</v>
      </c>
      <c r="F10" s="13"/>
      <c r="G10" s="13"/>
      <c r="H10" t="s">
        <v>131</v>
      </c>
      <c r="I10" s="175" cm="1">
        <f t="array" ref="I10">_xll.BDP(H10&amp;" EQUITY","LAST_PRICE")</f>
        <v>107.48</v>
      </c>
      <c r="J10" s="172">
        <f t="shared" si="1"/>
        <v>4.2982620071014832E-3</v>
      </c>
      <c r="K10" s="239">
        <f>_xll.BDP(H10&amp;" EQUITY","PX_YEST_CLOSE")</f>
        <v>107.02</v>
      </c>
      <c r="N10" s="6"/>
      <c r="P10" s="50">
        <f>SUM(Tabelad[D1 P&amp;L bps])</f>
        <v>-0.36016817791948824</v>
      </c>
      <c r="Q10" s="6"/>
      <c r="S10" s="50">
        <f>SUM(Tabelad[Options P&amp;L bps])</f>
        <v>0.39201622351336479</v>
      </c>
      <c r="T10" s="342" t="s">
        <v>2293</v>
      </c>
      <c r="U10" s="342">
        <f>U7+U9</f>
        <v>2.2806391237861094E-2</v>
      </c>
      <c r="V10" s="343">
        <f>V7+V9</f>
        <v>1.5459351722005521E-2</v>
      </c>
      <c r="W10" s="17">
        <f>AE7*W9/10000</f>
        <v>599041.02650000004</v>
      </c>
      <c r="X10" s="347"/>
      <c r="Y10" s="54">
        <v>0.35</v>
      </c>
      <c r="Z10" s="38">
        <f>SUM(Tabelad[Beta Adj])</f>
        <v>5.3667018991404216</v>
      </c>
      <c r="AA10" s="71" t="e">
        <f>AA7-SUM(#REF!)</f>
        <v>#REF!</v>
      </c>
      <c r="AD10" s="15">
        <f>SUM(Tabelad[Daily P&amp;L])</f>
        <v>-80895.035798483383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SUM(AH12:AH41)+#REF!+#REF!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9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>IF(T12&gt;0,"Long","Short")</f>
        <v>Long</v>
      </c>
      <c r="G12" s="15"/>
      <c r="H12" s="456">
        <v>3378</v>
      </c>
      <c r="I12" s="36" cm="1">
        <f t="array" ref="I12">_xll.BDP(B12&amp;" Equity","LAST_PRICE")</f>
        <v>171.37</v>
      </c>
      <c r="J12" s="51">
        <f t="shared" ref="J12:J36" si="2">I12/K12-1</f>
        <v>-1.0737170236102211E-2</v>
      </c>
      <c r="K12" s="438" cm="1">
        <f t="array" ref="K12">_xll.BDP(B12&amp;" EQUITY","PX_YEST_CLOSE")</f>
        <v>173.23</v>
      </c>
      <c r="L12" s="53" cm="1">
        <f t="array" ref="L12">_xll.BDP(E12&amp;" Curncy","PX_LAST")</f>
        <v>1</v>
      </c>
      <c r="M12" s="52">
        <v>1</v>
      </c>
      <c r="N12" s="15">
        <f t="shared" ref="N12:N36" si="3">IFERROR(IF(((I12/L12)*H12*M12)&lt;&gt;0,((I12/L12)*H12*M12),0),"-")</f>
        <v>578887.86</v>
      </c>
      <c r="O12" s="357">
        <f>IFERROR(IF(Tabelad[[#This Row],[D1 Exp USD]]&lt;&gt;0,N12/$AE$7,0),"-")</f>
        <v>2.4158940472835877E-4</v>
      </c>
      <c r="P12" s="20">
        <f>IFERROR(IF(Tabelad[[#This Row],[D1 Exp USD]]&lt;&gt;0,((I12-K12)/L12*M12*H12)/$AD$7*10000,0),"-")</f>
        <v>-2.6221409394569864E-2</v>
      </c>
      <c r="Q12" s="15">
        <f>IF(SUM(SUMIFS(Options!$AL$4:$AL$24, Options!$D$4:$D$24, B12), SUMIFS(Options!$AL$4:$AL$24, Options!$D$4:$D$24, B12 &amp; " US"))=0,0,SUM(SUMIFS(Options!$AL$4:$AL$24, Options!$D$4:$D$24, B12), SUMIFS(Options!$AL$4:$AL$24, Options!$D$4:$D$24, B12 &amp; " US")))</f>
        <v>0</v>
      </c>
      <c r="R12" s="19">
        <f t="shared" ref="R12:R14" si="4">Q12/$AE$7</f>
        <v>0</v>
      </c>
      <c r="S12" s="20">
        <f>IF(SUM(SUMIFS(Options!$AK$4:$AK$24, Options!$D$4:$D$24, B12), SUMIFS(Options!$AK$4:$AK$24, Options!$D$4:$D$24, B12 &amp; " US"))=0,0,SUM(SUMIFS(Options!$AK$4:$AK$24, Options!$D$4:$D$24, B12), SUMIFS(Options!AK$4:$AK$24, Options!$D$4:$D$24, B12 &amp; " US")))</f>
        <v>0</v>
      </c>
      <c r="T12" s="13">
        <f t="shared" ref="T12:T36" si="5">N12+Q12</f>
        <v>578887.86</v>
      </c>
      <c r="U12" s="48">
        <f t="shared" ref="U12:U36" si="6">T12/$AE$7</f>
        <v>2.4158940472835877E-4</v>
      </c>
      <c r="V12" s="20">
        <f t="shared" ref="V12:V36" si="7">P12+S12</f>
        <v>-2.6221409394569864E-2</v>
      </c>
      <c r="W12" s="15">
        <f t="shared" ref="W12:W36" si="8">$W$10/(I12/L12*M12)</f>
        <v>3495.6003180253256</v>
      </c>
      <c r="X12" s="19"/>
      <c r="Y12" s="375">
        <f>Tabelad[[#This Row],[Exp %]]*$Y$10*$AD$7/Tabelad[[#This Row],[Price Today]]</f>
        <v>1182.2999999999997</v>
      </c>
      <c r="Z12" s="266">
        <f>Tabelad[[#This Row],[Vol 10d]]/16*Tabelad[[#This Row],[Exp %]]*100</f>
        <v>6.7587174566227357E-2</v>
      </c>
      <c r="AA12" s="19">
        <f>Tabelad[[#This Row],[Exp %]]*Tabelad[[#This Row],[Beta Adj2]]</f>
        <v>2.0513020686902368E-4</v>
      </c>
      <c r="AB12" s="36">
        <f>_xll.BDP($B12&amp;" Equity","volatility_10d")</f>
        <v>44.761681261458861</v>
      </c>
      <c r="AC12" s="36">
        <f>_xll.BDP(B12&amp;" EQUITY","eqy_beta")</f>
        <v>0.84908610582351685</v>
      </c>
      <c r="AD12" s="15">
        <f>Tabelad[[#This Row],[D1 P&amp;L bps]]*$AD$5/10000</f>
        <v>-5889.4205032588561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6" si="9">(T12*AG12)/$AD$7*10000</f>
        <v>#VALUE!</v>
      </c>
      <c r="AI12" s="455" t="str">
        <f>_xll.BDP(B12&amp;" Equity","DVD_EX_DT")</f>
        <v>12/06/2025</v>
      </c>
    </row>
    <row r="13" spans="1:39">
      <c r="B13" s="40" t="s">
        <v>2141</v>
      </c>
      <c r="C13" t="s">
        <v>1907</v>
      </c>
      <c r="E13" t="s">
        <v>194</v>
      </c>
      <c r="F13" s="22" t="str">
        <f>IF(T13&gt;0,"Long","Short")</f>
        <v>Long</v>
      </c>
      <c r="G13" s="15"/>
      <c r="H13" s="456">
        <v>3510</v>
      </c>
      <c r="I13" s="36" cm="1">
        <f t="array" ref="I13">_xll.BDP(B13&amp;" Equity","LAST_PRICE")</f>
        <v>156.08000000000001</v>
      </c>
      <c r="J13" s="51">
        <f t="shared" si="2"/>
        <v>-3.3201189296332867E-2</v>
      </c>
      <c r="K13" s="438" cm="1">
        <f t="array" ref="K13">_xll.BDP(B13&amp;" EQUITY","PX_YEST_CLOSE")</f>
        <v>161.44</v>
      </c>
      <c r="L13" s="53" cm="1">
        <f t="array" ref="L13">_xll.BDP(E13&amp;" Curncy","PX_LAST")</f>
        <v>1</v>
      </c>
      <c r="M13" s="52">
        <v>1</v>
      </c>
      <c r="N13" s="15">
        <f t="shared" si="3"/>
        <v>547840.80000000005</v>
      </c>
      <c r="O13" s="357">
        <f>IFERROR(IF(Tabelad[[#This Row],[D1 Exp USD]]&lt;&gt;0,N13/$AE$7,0),"-")</f>
        <v>2.2863242072118748E-4</v>
      </c>
      <c r="P13" s="20">
        <f>IFERROR(IF(Tabelad[[#This Row],[D1 Exp USD]]&lt;&gt;0,((I13-K13)/L13*M13*H13)/$AD$7*10000,0),"-")</f>
        <v>-7.851549045781403E-2</v>
      </c>
      <c r="Q13" s="15">
        <f>IF(SUM(SUMIFS(Options!$AL$4:$AL$24, Options!$D$4:$D$24, B13), SUMIFS(Options!$AL$4:$AL$24, Options!$D$4:$D$24, B13 &amp; " US"))=0,0,SUM(SUMIFS(Options!$AL$4:$AL$24, Options!$D$4:$D$24, B13), SUMIFS(Options!$AL$4:$AL$24, Options!$D$4:$D$24, B13 &amp; " US")))</f>
        <v>0</v>
      </c>
      <c r="R13" s="19">
        <f t="shared" si="4"/>
        <v>0</v>
      </c>
      <c r="S13" s="20">
        <f>IF(SUM(SUMIFS(Options!$AK$4:$AK$24, Options!$D$4:$D$24, B13), SUMIFS(Options!$AK$4:$AK$24, Options!$D$4:$D$24, B13 &amp; " US"))=0,0,SUM(SUMIFS(Options!$AK$4:$AK$24, Options!$D$4:$D$24, B13), SUMIFS(Options!AK$4:$AK$24, Options!$D$4:$D$24, B13 &amp; " US")))</f>
        <v>0</v>
      </c>
      <c r="T13" s="13">
        <f t="shared" si="5"/>
        <v>547840.80000000005</v>
      </c>
      <c r="U13" s="48">
        <f t="shared" si="6"/>
        <v>2.2863242072118748E-4</v>
      </c>
      <c r="V13" s="20">
        <f t="shared" si="7"/>
        <v>-7.851549045781403E-2</v>
      </c>
      <c r="W13" s="15">
        <f t="shared" si="8"/>
        <v>3838.0383553305996</v>
      </c>
      <c r="X13" s="19"/>
      <c r="Y13" s="375">
        <f>Tabelad[[#This Row],[Exp %]]*$Y$10*$AD$7/Tabelad[[#This Row],[Price Today]]</f>
        <v>1228.5</v>
      </c>
      <c r="Z13" s="266">
        <f>Tabelad[[#This Row],[Vol 10d]]/16*Tabelad[[#This Row],[Exp %]]*100</f>
        <v>7.2744466542454922E-2</v>
      </c>
      <c r="AA13" s="19">
        <f>Tabelad[[#This Row],[Exp %]]*Tabelad[[#This Row],[Beta Adj2]]</f>
        <v>2.3470229690197131E-4</v>
      </c>
      <c r="AB13" s="36">
        <f>_xll.BDP($B13&amp;" Equity","volatility_10d")</f>
        <v>50.907542377755988</v>
      </c>
      <c r="AC13" s="36">
        <f>_xll.BDP(B13&amp;" EQUITY","eqy_beta")</f>
        <v>1.0265486240386963</v>
      </c>
      <c r="AD13" s="15">
        <f>Tabelad[[#This Row],[D1 P&amp;L bps]]*$AD$5/10000</f>
        <v>-17634.854494946969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55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>IF(T14&gt;0,"Long","Short")</f>
        <v>Long</v>
      </c>
      <c r="G14" s="15"/>
      <c r="H14" s="456"/>
      <c r="I14" s="36" cm="1">
        <f t="array" ref="I14">_xll.BDP(B14&amp;" Equity","LAST_PRICE")</f>
        <v>33.700000000000003</v>
      </c>
      <c r="J14" s="51">
        <f t="shared" si="2"/>
        <v>2.6777744718835539E-3</v>
      </c>
      <c r="K14" s="438" cm="1">
        <f t="array" ref="K14">_xll.BDP(B14&amp;" EQUITY","PX_YEST_CLOSE")</f>
        <v>33.61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7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IF(SUM(SUMIFS(Options!$AL$4:$AL$24, Options!$D$4:$D$24, B14), SUMIFS(Options!$AL$4:$AL$24, Options!$D$4:$D$24, B14 &amp; " US"))=0,0,SUM(SUMIFS(Options!$AL$4:$AL$24, Options!$D$4:$D$24, B14), SUMIFS(Options!$AL$4:$AL$24, Options!$D$4:$D$24, B14 &amp; " US")))</f>
        <v>1650358.4650158887</v>
      </c>
      <c r="R14" s="19">
        <f t="shared" si="4"/>
        <v>6.8875018237832188E-4</v>
      </c>
      <c r="S14" s="20">
        <f>IF(SUM(SUMIFS(Options!$AK$4:$AK$24, Options!$D$4:$D$24, B14), SUMIFS(Options!$AK$4:$AK$24, Options!$D$4:$D$24, B14 &amp; " US"))=0,0,SUM(SUMIFS(Options!$AK$4:$AK$24, Options!$D$4:$D$24, B14), SUMIFS(Options!AK$4:$AK$24, Options!$D$4:$D$24, B14 &amp; " US")))</f>
        <v>2.2578602771230532E-3</v>
      </c>
      <c r="T14" s="13">
        <f t="shared" si="5"/>
        <v>1650358.4650158887</v>
      </c>
      <c r="U14" s="48">
        <f t="shared" si="6"/>
        <v>6.8875018237832188E-4</v>
      </c>
      <c r="V14" s="20">
        <f t="shared" si="7"/>
        <v>2.2578602771230532E-3</v>
      </c>
      <c r="W14" s="15">
        <f t="shared" si="8"/>
        <v>17775.698115727002</v>
      </c>
      <c r="X14" s="19"/>
      <c r="Y14" s="375">
        <f>Tabelad[[#This Row],[Exp %]]*$Y$10*$AD$7/Tabelad[[#This Row],[Price Today]]</f>
        <v>17140.221446752552</v>
      </c>
      <c r="Z14" s="266">
        <f>Tabelad[[#This Row],[Vol 10d]]/16*Tabelad[[#This Row],[Exp %]]*100</f>
        <v>5.2979776560475034E-2</v>
      </c>
      <c r="AA14" s="19">
        <f>Tabelad[[#This Row],[Exp %]]*Tabelad[[#This Row],[Beta Adj2]]</f>
        <v>7.8797720972422218E-4</v>
      </c>
      <c r="AB14" s="36">
        <f>_xll.BDP($B14&amp;" Equity","volatility_10d")</f>
        <v>12.307458446551561</v>
      </c>
      <c r="AC14" s="36">
        <f>_xll.BDP(B14&amp;" EQUITY","eqy_beta")</f>
        <v>1.1440682411193848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0</v>
      </c>
      <c r="AH14" s="20">
        <f t="shared" si="9"/>
        <v>0</v>
      </c>
      <c r="AI14" s="455" t="str">
        <f>_xll.BDP(B14&amp;" Equity","DVD_EX_DT")</f>
        <v>19/12/2025</v>
      </c>
    </row>
    <row r="15" spans="1:39">
      <c r="B15" s="40" t="s">
        <v>3</v>
      </c>
      <c r="C15" t="s">
        <v>78</v>
      </c>
      <c r="E15" t="s">
        <v>194</v>
      </c>
      <c r="F15" s="22" t="str">
        <f>IF(T15&gt;0,"Long","Short")</f>
        <v>Short</v>
      </c>
      <c r="G15" s="15"/>
      <c r="H15" s="456">
        <v>-13000</v>
      </c>
      <c r="I15" s="36" cm="1">
        <f t="array" ref="I15">_xll.BDP(B15&amp;" Equity","LAST_PRICE")</f>
        <v>199.24</v>
      </c>
      <c r="J15" s="51">
        <f t="shared" ref="J15" si="10">I15/K15-1</f>
        <v>2.3645419328872652E-3</v>
      </c>
      <c r="K15" s="438" cm="1">
        <f t="array" ref="K15">_xll.BDP(B15&amp;" EQUITY","PX_YEST_CLOSE")</f>
        <v>198.77</v>
      </c>
      <c r="L15" s="53" cm="1">
        <f t="array" ref="L15">_xll.BDP(E15&amp;" Curncy","PX_LAST")</f>
        <v>1</v>
      </c>
      <c r="M15" s="52">
        <v>1</v>
      </c>
      <c r="N15" s="15">
        <f t="shared" ref="N15" si="11">IFERROR(IF(((I15/L15)*H15*M15)&lt;&gt;0,((I15/L15)*H15*M15),0),"-")</f>
        <v>-2590120</v>
      </c>
      <c r="O15" s="357">
        <f>IFERROR(IF(Tabelad[[#This Row],[D1 Exp USD]]&lt;&gt;0,N15/$AE$7,0),"-")</f>
        <v>-1.0809443282763205E-3</v>
      </c>
      <c r="P15" s="20">
        <f>IFERROR(IF(Tabelad[[#This Row],[D1 Exp USD]]&lt;&gt;0,((I15-K15)/L15*M15*H15)/$AD$7*10000,0),"-")</f>
        <v>-2.5499088249842872E-2</v>
      </c>
      <c r="Q15" s="15">
        <f>IF(SUM(SUMIFS(Options!$AL$4:$AL$24, Options!$D$4:$D$24, B15), SUMIFS(Options!$AL$4:$AL$24, Options!$D$4:$D$24, B15 &amp; " US"))=0,0,SUM(SUMIFS(Options!$AL$4:$AL$24, Options!$D$4:$D$24, B15), SUMIFS(Options!$AL$4:$AL$24, Options!$D$4:$D$24, B15 &amp; " US")))</f>
        <v>0</v>
      </c>
      <c r="R15" s="19">
        <f t="shared" ref="R15" si="12">Q15/$AE$7</f>
        <v>0</v>
      </c>
      <c r="S15" s="20">
        <f>IF(SUM(SUMIFS(Options!$AK$4:$AK$24, Options!$D$4:$D$24, B15), SUMIFS(Options!$AK$4:$AK$24, Options!$D$4:$D$24, B15 &amp; " US"))=0,0,SUM(SUMIFS(Options!$AK$4:$AK$24, Options!$D$4:$D$24, B15), SUMIFS(Options!AK$4:$AK$24, Options!$D$4:$D$24, B15 &amp; " US")))</f>
        <v>0</v>
      </c>
      <c r="T15" s="13">
        <f t="shared" ref="T15" si="13">N15+Q15</f>
        <v>-2590120</v>
      </c>
      <c r="U15" s="48">
        <f t="shared" ref="U15" si="14">T15/$AE$7</f>
        <v>-1.0809443282763205E-3</v>
      </c>
      <c r="V15" s="20">
        <f t="shared" ref="V15" si="15">P15+S15</f>
        <v>-2.5499088249842872E-2</v>
      </c>
      <c r="W15" s="15">
        <f t="shared" ref="W15" si="16">$W$10/(I15/L15*M15)</f>
        <v>3006.6303277454326</v>
      </c>
      <c r="X15" s="19"/>
      <c r="Y15" s="375">
        <f>Tabelad[[#This Row],[Exp %]]*$Y$10*$AD$7/Tabelad[[#This Row],[Price Today]]</f>
        <v>-4549.9999999999991</v>
      </c>
      <c r="Z15" s="266">
        <f>Tabelad[[#This Row],[Vol 10d]]/16*Tabelad[[#This Row],[Exp %]]*100</f>
        <v>-9.2579408646559391E-2</v>
      </c>
      <c r="AA15" s="19">
        <f>Tabelad[[#This Row],[Exp %]]*Tabelad[[#This Row],[Beta Adj2]]</f>
        <v>-1.0770055717138185E-3</v>
      </c>
      <c r="AB15" s="36">
        <f>_xll.BDP($B15&amp;" Equity","volatility_10d")</f>
        <v>13.703485920565326</v>
      </c>
      <c r="AC15" s="36">
        <f>_xll.BDP(B15&amp;" EQUITY","eqy_beta")</f>
        <v>0.99635618925094604</v>
      </c>
      <c r="AD15" s="15">
        <f>Tabelad[[#This Row],[D1 P&amp;L bps]]*$AD$5/10000</f>
        <v>-5727.1846411173838</v>
      </c>
      <c r="AE15" s="277"/>
      <c r="AF15" s="231" t="str">
        <f>_xll.BDP(B15&amp;" Equity","EXPECTED_REPORT_DT")</f>
        <v>#N/A N/A</v>
      </c>
      <c r="AG15" s="172" t="e">
        <f>_xll.BDP(B15&amp;" Index","CHG_PCT_1D_PRE_FROM_REGULAR")/100</f>
        <v>#VALUE!</v>
      </c>
      <c r="AH15" s="20" t="e">
        <f t="shared" ref="AH15" si="17">(T15*AG15)/$AD$7*10000</f>
        <v>#VALUE!</v>
      </c>
      <c r="AI15" s="455" t="str">
        <f>_xll.BDP(B15&amp;" Equity","DVD_EX_DT")</f>
        <v>22/12/2025</v>
      </c>
    </row>
    <row r="16" spans="1:39">
      <c r="B16" s="40" t="s">
        <v>131</v>
      </c>
      <c r="C16" t="s">
        <v>2138</v>
      </c>
      <c r="E16" t="s">
        <v>194</v>
      </c>
      <c r="F16" s="22"/>
      <c r="G16" s="15"/>
      <c r="H16" s="456">
        <v>14800</v>
      </c>
      <c r="I16" s="36" cm="1">
        <f t="array" ref="I16">_xll.BDP(B16&amp;" Equity","LAST_PRICE")</f>
        <v>107.48</v>
      </c>
      <c r="J16" s="51">
        <f t="shared" ref="J16:J23" si="18">I16/K16-1</f>
        <v>4.2982620071014832E-3</v>
      </c>
      <c r="K16" s="438" cm="1">
        <f t="array" ref="K16">_xll.BDP(B16&amp;" EQUITY","PX_YEST_CLOSE")</f>
        <v>107.02</v>
      </c>
      <c r="L16" s="53" cm="1">
        <f t="array" ref="L16">_xll.BDP(E16&amp;" Curncy","PX_LAST")</f>
        <v>1</v>
      </c>
      <c r="M16" s="52">
        <v>1</v>
      </c>
      <c r="N16" s="15">
        <f t="shared" ref="N16:N23" si="19">IFERROR(IF(((I16/L16)*H16*M16)&lt;&gt;0,((I16/L16)*H16*M16),0),"-")</f>
        <v>1590704</v>
      </c>
      <c r="O16" s="357">
        <f>IFERROR(IF(Tabelad[[#This Row],[D1 Exp USD]]&lt;&gt;0,N16/$AE$7,0),"-")</f>
        <v>6.6385436457247395E-4</v>
      </c>
      <c r="P16" s="20">
        <f>IFERROR(IF(Tabelad[[#This Row],[D1 Exp USD]]&lt;&gt;0,((I16-K16)/L16*M16*H16)/$AD$7*10000,0),"-")</f>
        <v>2.8412077382149546E-2</v>
      </c>
      <c r="Q16" s="15">
        <f>IF(SUM(SUMIFS(Options!$AL$4:$AL$24, Options!$D$4:$D$24, B16), SUMIFS(Options!$AL$4:$AL$24, Options!$D$4:$D$24, B16 &amp; " US"))=0,0,SUM(SUMIFS(Options!$AL$4:$AL$24, Options!$D$4:$D$24, B16), SUMIFS(Options!$AL$4:$AL$24, Options!$D$4:$D$24, B16 &amp; " US")))</f>
        <v>1129628.3803462973</v>
      </c>
      <c r="R16" s="19">
        <f t="shared" ref="R16" si="20">Q16/$AE$7</f>
        <v>4.7143197643170824E-4</v>
      </c>
      <c r="S16" s="20">
        <f>IF(SUM(SUMIFS(Options!$AK$4:$AK$24, Options!$D$4:$D$24, B16), SUMIFS(Options!$AK$4:$AK$24, Options!$D$4:$D$24, B16 &amp; " US"))=0,0,SUM(SUMIFS(Options!$AK$4:$AK$24, Options!$D$4:$D$24, B16), SUMIFS(Options!AK$4:$AK$24, Options!$D$4:$D$24, B16 &amp; " US")))</f>
        <v>0.67941924174704105</v>
      </c>
      <c r="T16" s="13">
        <f t="shared" ref="T16:T23" si="21">N16+Q16</f>
        <v>2720332.3803462973</v>
      </c>
      <c r="U16" s="48">
        <f t="shared" ref="U16:U23" si="22">T16/$AE$7</f>
        <v>1.1352863410041822E-3</v>
      </c>
      <c r="V16" s="20">
        <f t="shared" ref="V16:V23" si="23">P16+S16</f>
        <v>0.70783131912919062</v>
      </c>
      <c r="W16" s="15">
        <f t="shared" si="8"/>
        <v>5573.5115975065128</v>
      </c>
      <c r="X16" s="19"/>
      <c r="Y16" s="375">
        <f>Tabelad[[#This Row],[Exp %]]*$Y$10*$AD$7/Tabelad[[#This Row],[Price Today]]</f>
        <v>8858.5442233085614</v>
      </c>
      <c r="Z16" s="266">
        <f>Tabelad[[#This Row],[Vol 10d]]/16*Tabelad[[#This Row],[Exp %]]*100</f>
        <v>0.24132183068222235</v>
      </c>
      <c r="AA16" s="19">
        <f>Tabelad[[#This Row],[Exp %]]*Tabelad[[#This Row],[Beta Adj2]]</f>
        <v>1.1253313133013244E-3</v>
      </c>
      <c r="AB16" s="36">
        <f>_xll.BDP($B16&amp;" Equity","volatility_10d")</f>
        <v>34.010356255147911</v>
      </c>
      <c r="AC16" s="36">
        <f>_xll.BDP(B16&amp;" EQUITY","eqy_beta")</f>
        <v>0.99123126268386841</v>
      </c>
      <c r="AD16" s="15">
        <f>Tabelad[[#This Row],[D1 P&amp;L bps]]*$AD$5/10000</f>
        <v>6381.4522155037512</v>
      </c>
      <c r="AE16" s="277"/>
      <c r="AF16" s="231" t="str">
        <f>_xll.BDP(B16&amp;" Equity","EXPECTED_REPORT_DT")</f>
        <v>#N/A N/A</v>
      </c>
      <c r="AG16" s="172">
        <f>_xll.BDP(B16&amp;" Index","CHG_PCT_1D_PRE_FROM_REGULAR")/100</f>
        <v>3.5133640000000001E-2</v>
      </c>
      <c r="AH16" s="20">
        <f t="shared" si="9"/>
        <v>0.39886741601758174</v>
      </c>
      <c r="AI16" s="455" t="str">
        <f>_xll.BDP(B16&amp;" Equity","DVD_EX_DT")</f>
        <v>22/12/2025</v>
      </c>
    </row>
    <row r="17" spans="1:35" s="59" customFormat="1">
      <c r="A17" s="498" t="s">
        <v>151</v>
      </c>
      <c r="B17" s="423" t="s">
        <v>131</v>
      </c>
      <c r="C17" s="59" t="s">
        <v>2138</v>
      </c>
      <c r="E17" s="59" t="s">
        <v>194</v>
      </c>
      <c r="F17" s="163"/>
      <c r="G17" s="404"/>
      <c r="H17" s="499">
        <v>-3300</v>
      </c>
      <c r="I17" s="14" cm="1">
        <f t="array" ref="I17">_xll.BDP(B17&amp;" Equity","LAST_PRICE")</f>
        <v>107.48</v>
      </c>
      <c r="J17" s="500">
        <f t="shared" ref="J17" si="24">I17/K17-1</f>
        <v>-1.0950584337903746E-2</v>
      </c>
      <c r="K17" s="501">
        <v>108.67</v>
      </c>
      <c r="L17" s="8" cm="1">
        <f t="array" ref="L17">_xll.BDP(E17&amp;" Curncy","PX_LAST")</f>
        <v>1</v>
      </c>
      <c r="M17" s="502">
        <v>1</v>
      </c>
      <c r="N17" s="404">
        <f t="shared" ref="N17" si="25">IFERROR(IF(((I17/L17)*H17*M17)&lt;&gt;0,((I17/L17)*H17*M17),0),"-")</f>
        <v>-354684</v>
      </c>
      <c r="O17" s="503">
        <f>IFERROR(IF(Tabelad[[#This Row],[D1 Exp USD]]&lt;&gt;0,N17/$AE$7,0),"-")</f>
        <v>-1.4802158128980836E-4</v>
      </c>
      <c r="P17" s="504">
        <f>IFERROR(IF(Tabelad[[#This Row],[D1 Exp USD]]&lt;&gt;0,((I17-K17)/L17*M17*H17)/$AD$7*10000,0),"-")</f>
        <v>1.63886938718712E-2</v>
      </c>
      <c r="Q17" s="404"/>
      <c r="R17" s="128"/>
      <c r="S17" s="504"/>
      <c r="T17" s="505">
        <f t="shared" ref="T17" si="26">N17+Q17</f>
        <v>-354684</v>
      </c>
      <c r="U17" s="506">
        <f t="shared" ref="U17" si="27">T17/$AE$7</f>
        <v>-1.4802158128980836E-4</v>
      </c>
      <c r="V17" s="504">
        <f t="shared" ref="V17" si="28">P17+S17</f>
        <v>1.63886938718712E-2</v>
      </c>
      <c r="W17" s="404">
        <f t="shared" ref="W17" si="29">$W$10/(I17/L17*M17)</f>
        <v>5573.5115975065128</v>
      </c>
      <c r="X17" s="128"/>
      <c r="Y17" s="507">
        <f>Tabelad[[#This Row],[Exp %]]*$Y$10*$AD$7/Tabelad[[#This Row],[Price Today]]</f>
        <v>-1155</v>
      </c>
      <c r="Z17" s="508">
        <f>Tabelad[[#This Row],[Vol 10d]]/16*Tabelad[[#This Row],[Exp %]]*100</f>
        <v>-3.146416695697949E-2</v>
      </c>
      <c r="AA17" s="128">
        <f>Tabelad[[#This Row],[Exp %]]*Tabelad[[#This Row],[Beta Adj2]]</f>
        <v>-1.4672361892635962E-4</v>
      </c>
      <c r="AB17" s="14">
        <f>_xll.BDP($B17&amp;" Equity","volatility_10d")</f>
        <v>34.010356255147911</v>
      </c>
      <c r="AC17" s="14">
        <f>_xll.BDP(B17&amp;" EQUITY","eqy_beta")</f>
        <v>0.99123126268386841</v>
      </c>
      <c r="AD17" s="404">
        <f>Tabelad[[#This Row],[D1 P&amp;L bps]]*$AD$5/10000</f>
        <v>3680.9581154939415</v>
      </c>
      <c r="AE17" s="337"/>
      <c r="AF17" s="509" t="str">
        <f>_xll.BDP(B17&amp;" Equity","EXPECTED_REPORT_DT")</f>
        <v>#N/A N/A</v>
      </c>
      <c r="AG17" s="510">
        <f>_xll.BDP(B17&amp;" Index","CHG_PCT_1D_PRE_FROM_REGULAR")/100</f>
        <v>3.5133640000000001E-2</v>
      </c>
      <c r="AH17" s="504">
        <f t="shared" ref="AH17" si="30">(T17*AG17)/$AD$7*10000</f>
        <v>-5.2005369492668624E-2</v>
      </c>
      <c r="AI17" s="511" t="str">
        <f>_xll.BDP(B17&amp;" Equity","DVD_EX_DT")</f>
        <v>22/12/2025</v>
      </c>
    </row>
    <row r="18" spans="1:35">
      <c r="B18" s="40" t="s">
        <v>2148</v>
      </c>
      <c r="C18" t="s">
        <v>2252</v>
      </c>
      <c r="E18" t="s">
        <v>194</v>
      </c>
      <c r="F18" s="22" t="s">
        <v>99</v>
      </c>
      <c r="G18" s="15"/>
      <c r="H18" s="456">
        <v>11150</v>
      </c>
      <c r="I18" s="36" cm="1">
        <f t="array" ref="I18">_xll.BDP(B18&amp;" Equity","LAST_PRICE")</f>
        <v>333.59</v>
      </c>
      <c r="J18" s="51">
        <f t="shared" si="18"/>
        <v>1.571111043449136E-2</v>
      </c>
      <c r="K18" s="438" cm="1">
        <f t="array" ref="K18">_xll.BDP(B18&amp;" EQUITY","PX_YEST_CLOSE")</f>
        <v>328.43</v>
      </c>
      <c r="L18" s="53" cm="1">
        <f t="array" ref="L18">_xll.BDP(E18&amp;" Curncy","PX_LAST")</f>
        <v>1</v>
      </c>
      <c r="M18" s="52">
        <v>1</v>
      </c>
      <c r="N18" s="15">
        <f t="shared" si="19"/>
        <v>3719528.4999999995</v>
      </c>
      <c r="O18" s="357">
        <f>IFERROR(IF(Tabelad[[#This Row],[D1 Exp USD]]&lt;&gt;0,N18/$AE$7,0),"-")</f>
        <v>1.5522845412325025E-3</v>
      </c>
      <c r="P18" s="20">
        <f>IFERROR(IF(Tabelad[[#This Row],[D1 Exp USD]]&lt;&gt;0,((I18-K18)/L18*M18*H18)/$AD$7*10000,0),"-")</f>
        <v>0.24010876323509892</v>
      </c>
      <c r="Q18" s="15">
        <f>IF(SUM(SUMIFS(Options!$AL$4:$AL$24, Options!$D$4:$D$24, B18), SUMIFS(Options!$AL$4:$AL$24, Options!$D$4:$D$24, B18 &amp; " US"))=0,0,SUM(SUMIFS(Options!$AL$4:$AL$24, Options!$D$4:$D$24, B18), SUMIFS(Options!$AL$4:$AL$24, Options!$D$4:$D$24, B18 &amp; " US")))</f>
        <v>0</v>
      </c>
      <c r="R18" s="19">
        <f t="shared" ref="R18:R41" si="31">Q18/$AE$7</f>
        <v>0</v>
      </c>
      <c r="S18" s="20">
        <f>IF(SUM(SUMIFS(Options!$AK$4:$AK$24, Options!$D$4:$D$24, B18), SUMIFS(Options!$AK$4:$AK$24, Options!$D$4:$D$24, B18 &amp; " US"))=0,0,SUM(SUMIFS(Options!$AK$4:$AK$24, Options!$D$4:$D$24, B18), SUMIFS(Options!AK$4:$AK$24, Options!$D$4:$D$24, B18 &amp; " US")))</f>
        <v>0</v>
      </c>
      <c r="T18" s="13">
        <f t="shared" si="21"/>
        <v>3719528.4999999995</v>
      </c>
      <c r="U18" s="48">
        <f t="shared" si="22"/>
        <v>1.5522845412325025E-3</v>
      </c>
      <c r="V18" s="20">
        <f t="shared" si="23"/>
        <v>0.24010876323509892</v>
      </c>
      <c r="W18" s="15">
        <f t="shared" si="8"/>
        <v>1795.7403594232444</v>
      </c>
      <c r="X18" s="19"/>
      <c r="Y18" s="375">
        <f>Tabelad[[#This Row],[Exp %]]*$Y$10*$AD$7/Tabelad[[#This Row],[Price Today]]</f>
        <v>3902.4999999999991</v>
      </c>
      <c r="Z18" s="266">
        <f>Tabelad[[#This Row],[Vol 10d]]/16*Tabelad[[#This Row],[Exp %]]*100</f>
        <v>0.22422067773801377</v>
      </c>
      <c r="AA18" s="19">
        <f>Tabelad[[#This Row],[Exp %]]*Tabelad[[#This Row],[Beta Adj2]]</f>
        <v>1.5828013388743541E-3</v>
      </c>
      <c r="AB18" s="36">
        <f>_xll.BDP($B18&amp;" Equity","volatility_10d")</f>
        <v>23.111296598752102</v>
      </c>
      <c r="AC18" s="36" cm="1">
        <f t="array" ref="AC18">_xll.BDP(B18&amp;" EQUITY","eqy_beta")</f>
        <v>1.0196592807769775</v>
      </c>
      <c r="AD18" s="15">
        <f>Tabelad[[#This Row],[D1 P&amp;L bps]]*$AD$5/10000</f>
        <v>53929.270236014127</v>
      </c>
      <c r="AE18" s="277"/>
      <c r="AF18" s="231" t="str">
        <f>_xll.BDP(B18&amp;" Equity","EXPECTED_REPORT_DT")</f>
        <v>04/02/2026</v>
      </c>
      <c r="AG18" s="172">
        <f>_xll.BDP(B18&amp;" Index","CHG_PCT_1D_PRE_FROM_REGULAR")/100</f>
        <v>-6.0862329999999997E-5</v>
      </c>
      <c r="AH18" s="20">
        <f t="shared" si="9"/>
        <v>-9.447565400239117E-4</v>
      </c>
      <c r="AI18" s="455" t="str">
        <f>_xll.BDP(B18&amp;" Equity","DVD_EX_DT")</f>
        <v>08/12/2025</v>
      </c>
    </row>
    <row r="19" spans="1:35" s="59" customFormat="1">
      <c r="A19" s="498" t="s">
        <v>151</v>
      </c>
      <c r="B19" s="423" t="s">
        <v>2148</v>
      </c>
      <c r="C19" s="59" t="s">
        <v>2252</v>
      </c>
      <c r="E19" s="59" t="s">
        <v>194</v>
      </c>
      <c r="F19" s="163" t="s">
        <v>99</v>
      </c>
      <c r="G19" s="404"/>
      <c r="H19" s="499">
        <v>-900</v>
      </c>
      <c r="I19" s="14" cm="1">
        <f t="array" ref="I19">_xll.BDP(B19&amp;" Equity","LAST_PRICE")</f>
        <v>333.59</v>
      </c>
      <c r="J19" s="500">
        <f t="shared" ref="J19:J21" si="32">I19/K19-1</f>
        <v>1.087878787878771E-2</v>
      </c>
      <c r="K19" s="501">
        <v>330</v>
      </c>
      <c r="L19" s="8" cm="1">
        <f t="array" ref="L19">_xll.BDP(E19&amp;" Curncy","PX_LAST")</f>
        <v>1</v>
      </c>
      <c r="M19" s="502">
        <v>1</v>
      </c>
      <c r="N19" s="404">
        <f t="shared" ref="N19:N21" si="33">IFERROR(IF(((I19/L19)*H19*M19)&lt;&gt;0,((I19/L19)*H19*M19),0),"-")</f>
        <v>-300231</v>
      </c>
      <c r="O19" s="503">
        <f>IFERROR(IF(Tabelad[[#This Row],[D1 Exp USD]]&lt;&gt;0,N19/$AE$7,0),"-")</f>
        <v>-1.2529651005464148E-4</v>
      </c>
      <c r="P19" s="504">
        <f>IFERROR(IF(Tabelad[[#This Row],[D1 Exp USD]]&lt;&gt;0,((I19-K19)/L19*M19*H19)/$AD$7*10000,0),"-")</f>
        <v>-1.3484051413296552E-2</v>
      </c>
      <c r="Q19" s="404"/>
      <c r="R19" s="128"/>
      <c r="S19" s="504"/>
      <c r="T19" s="505">
        <f t="shared" ref="T19:T21" si="34">N19+Q19</f>
        <v>-300231</v>
      </c>
      <c r="U19" s="506">
        <f t="shared" ref="U19:U21" si="35">T19/$AE$7</f>
        <v>-1.2529651005464148E-4</v>
      </c>
      <c r="V19" s="504">
        <f t="shared" ref="V19:V21" si="36">P19+S19</f>
        <v>-1.3484051413296552E-2</v>
      </c>
      <c r="W19" s="404">
        <f t="shared" ref="W19:W21" si="37">$W$10/(I19/L19*M19)</f>
        <v>1795.7403594232444</v>
      </c>
      <c r="X19" s="128"/>
      <c r="Y19" s="507">
        <f>Tabelad[[#This Row],[Exp %]]*$Y$10*$AD$7/Tabelad[[#This Row],[Price Today]]</f>
        <v>-315</v>
      </c>
      <c r="Z19" s="508">
        <f>Tabelad[[#This Row],[Vol 10d]]/16*Tabelad[[#This Row],[Exp %]]*100</f>
        <v>-1.80985300416334E-2</v>
      </c>
      <c r="AA19" s="128">
        <f>Tabelad[[#This Row],[Exp %]]*Tabelad[[#This Row],[Beta Adj2]]</f>
        <v>-1.2775974932618107E-4</v>
      </c>
      <c r="AB19" s="14">
        <f>_xll.BDP($B19&amp;" Equity","volatility_10d")</f>
        <v>23.111296598752102</v>
      </c>
      <c r="AC19" s="14" cm="1">
        <f t="array" ref="AC19">_xll.BDP(B19&amp;" EQUITY","eqy_beta")</f>
        <v>1.0196592807769775</v>
      </c>
      <c r="AD19" s="404">
        <f>Tabelad[[#This Row],[D1 P&amp;L bps]]*$AD$5/10000</f>
        <v>-3028.5652332979016</v>
      </c>
      <c r="AE19" s="337"/>
      <c r="AF19" s="509" t="str">
        <f>_xll.BDP(B19&amp;" Equity","EXPECTED_REPORT_DT")</f>
        <v>04/02/2026</v>
      </c>
      <c r="AG19" s="510">
        <f>_xll.BDP(B19&amp;" Index","CHG_PCT_1D_PRE_FROM_REGULAR")/100</f>
        <v>-6.0862329999999997E-5</v>
      </c>
      <c r="AH19" s="504">
        <f t="shared" ref="AH19:AH21" si="38">(T19*AG19)/$AD$7*10000</f>
        <v>7.6258375427939076E-5</v>
      </c>
      <c r="AI19" s="511" t="str">
        <f>_xll.BDP(B19&amp;" Equity","DVD_EX_DT")</f>
        <v>08/12/2025</v>
      </c>
    </row>
    <row r="20" spans="1:35" s="59" customFormat="1">
      <c r="A20" s="498" t="s">
        <v>151</v>
      </c>
      <c r="B20" s="423" t="s">
        <v>81</v>
      </c>
      <c r="C20" s="59" t="s">
        <v>2252</v>
      </c>
      <c r="E20" s="59" t="s">
        <v>194</v>
      </c>
      <c r="F20" s="163" t="s">
        <v>99</v>
      </c>
      <c r="G20" s="404"/>
      <c r="H20" s="499">
        <v>-582</v>
      </c>
      <c r="I20" s="14" cm="1">
        <f t="array" ref="I20">_xll.BDP(B20&amp;" Equity","LAST_PRICE")</f>
        <v>672.36</v>
      </c>
      <c r="J20" s="500">
        <f t="shared" si="32"/>
        <v>-1.4702606371129745E-3</v>
      </c>
      <c r="K20" s="501">
        <v>673.35</v>
      </c>
      <c r="L20" s="8" cm="1">
        <f t="array" ref="L20">_xll.BDP(E20&amp;" Curncy","PX_LAST")</f>
        <v>1</v>
      </c>
      <c r="M20" s="502">
        <v>1</v>
      </c>
      <c r="N20" s="404">
        <f t="shared" si="33"/>
        <v>-391313.52</v>
      </c>
      <c r="O20" s="503">
        <f>IFERROR(IF(Tabelad[[#This Row],[D1 Exp USD]]&lt;&gt;0,N20/$AE$7,0),"-")</f>
        <v>-1.6330831390894729E-4</v>
      </c>
      <c r="P20" s="504">
        <f>IFERROR(IF(Tabelad[[#This Row],[D1 Exp USD]]&lt;&gt;0,((I20-K20)/L20*M20*H20)/$AD$7*10000,0),"-")</f>
        <v>2.404593235318271E-3</v>
      </c>
      <c r="Q20" s="404"/>
      <c r="R20" s="128"/>
      <c r="S20" s="504"/>
      <c r="T20" s="505">
        <f t="shared" si="34"/>
        <v>-391313.52</v>
      </c>
      <c r="U20" s="506">
        <f t="shared" si="35"/>
        <v>-1.6330831390894729E-4</v>
      </c>
      <c r="V20" s="504">
        <f t="shared" si="36"/>
        <v>2.404593235318271E-3</v>
      </c>
      <c r="W20" s="404">
        <f t="shared" si="37"/>
        <v>890.95280281396879</v>
      </c>
      <c r="X20" s="128"/>
      <c r="Y20" s="507">
        <f>Tabelad[[#This Row],[Exp %]]*$Y$10*$AD$7/Tabelad[[#This Row],[Price Today]]</f>
        <v>-203.7</v>
      </c>
      <c r="Z20" s="508">
        <f>Tabelad[[#This Row],[Vol 10d]]/16*Tabelad[[#This Row],[Exp %]]*100</f>
        <v>-4.2803380026124958E-2</v>
      </c>
      <c r="AA20" s="128">
        <f>Tabelad[[#This Row],[Exp %]]*Tabelad[[#This Row],[Beta Adj2]]</f>
        <v>-1.9719934141132541E-4</v>
      </c>
      <c r="AB20" s="14">
        <f>_xll.BDP($B20&amp;" Equity","volatility_10d")</f>
        <v>41.936265461649455</v>
      </c>
      <c r="AC20" s="14" cm="1">
        <f t="array" ref="AC20">_xll.BDP(B20&amp;" EQUITY","eqy_beta")</f>
        <v>1.2075278759002686</v>
      </c>
      <c r="AD20" s="404">
        <f>Tabelad[[#This Row],[D1 P&amp;L bps]]*$AD$5/10000</f>
        <v>540.0800730800413</v>
      </c>
      <c r="AE20" s="337"/>
      <c r="AF20" s="509" t="str">
        <f>_xll.BDP(B20&amp;" Equity","EXPECTED_REPORT_DT")</f>
        <v>28/01/2026</v>
      </c>
      <c r="AG20" s="510" t="e">
        <f>_xll.BDP(B20&amp;" Index","CHG_PCT_1D_PRE_FROM_REGULAR")/100</f>
        <v>#VALUE!</v>
      </c>
      <c r="AH20" s="504" t="e">
        <f t="shared" si="38"/>
        <v>#VALUE!</v>
      </c>
      <c r="AI20" s="511" t="str">
        <f>_xll.BDP(B20&amp;" Equity","DVD_EX_DT")</f>
        <v>15/12/2025</v>
      </c>
    </row>
    <row r="21" spans="1:35" s="59" customFormat="1">
      <c r="A21" s="498" t="s">
        <v>151</v>
      </c>
      <c r="B21" s="423" t="s">
        <v>90</v>
      </c>
      <c r="C21" s="59" t="s">
        <v>2252</v>
      </c>
      <c r="E21" s="59" t="s">
        <v>194</v>
      </c>
      <c r="F21" s="163" t="s">
        <v>99</v>
      </c>
      <c r="G21" s="404"/>
      <c r="H21" s="499">
        <v>-1250</v>
      </c>
      <c r="I21" s="14" cm="1">
        <f t="array" ref="I21">_xll.BDP(B21&amp;" Equity","LAST_PRICE")</f>
        <v>470.28</v>
      </c>
      <c r="J21" s="500">
        <f t="shared" si="32"/>
        <v>-2.9892514151244054E-3</v>
      </c>
      <c r="K21" s="501">
        <v>471.69</v>
      </c>
      <c r="L21" s="8" cm="1">
        <f t="array" ref="L21">_xll.BDP(E21&amp;" Curncy","PX_LAST")</f>
        <v>1</v>
      </c>
      <c r="M21" s="502">
        <v>1</v>
      </c>
      <c r="N21" s="404">
        <f t="shared" si="33"/>
        <v>-587850</v>
      </c>
      <c r="O21" s="503">
        <f>IFERROR(IF(Tabelad[[#This Row],[D1 Exp USD]]&lt;&gt;0,N21/$AE$7,0),"-")</f>
        <v>-2.4532960765417624E-4</v>
      </c>
      <c r="P21" s="504">
        <f>IFERROR(IF(Tabelad[[#This Row],[D1 Exp USD]]&lt;&gt;0,((I21-K21)/L21*M21*H21)/$AD$7*10000,0),"-")</f>
        <v>7.3555062259163624E-3</v>
      </c>
      <c r="Q21" s="404"/>
      <c r="R21" s="128"/>
      <c r="S21" s="504"/>
      <c r="T21" s="505">
        <f t="shared" si="34"/>
        <v>-587850</v>
      </c>
      <c r="U21" s="506">
        <f t="shared" si="35"/>
        <v>-2.4532960765417624E-4</v>
      </c>
      <c r="V21" s="504">
        <f t="shared" si="36"/>
        <v>7.3555062259163624E-3</v>
      </c>
      <c r="W21" s="404">
        <f t="shared" si="37"/>
        <v>1273.796518031811</v>
      </c>
      <c r="X21" s="128"/>
      <c r="Y21" s="507">
        <f>Tabelad[[#This Row],[Exp %]]*$Y$10*$AD$7/Tabelad[[#This Row],[Price Today]]</f>
        <v>-437.5</v>
      </c>
      <c r="Z21" s="508">
        <f>Tabelad[[#This Row],[Vol 10d]]/16*Tabelad[[#This Row],[Exp %]]*100</f>
        <v>-4.753833105476403E-2</v>
      </c>
      <c r="AA21" s="128">
        <f>Tabelad[[#This Row],[Exp %]]*Tabelad[[#This Row],[Beta Adj2]]</f>
        <v>-2.5037730499469896E-4</v>
      </c>
      <c r="AB21" s="14">
        <f>_xll.BDP($B21&amp;" Equity","volatility_10d")</f>
        <v>31.003730212148184</v>
      </c>
      <c r="AC21" s="14" cm="1">
        <f t="array" ref="AC21">_xll.BDP(B21&amp;" EQUITY","eqy_beta")</f>
        <v>1.0205751657485962</v>
      </c>
      <c r="AD21" s="404">
        <f>Tabelad[[#This Row],[D1 P&amp;L bps]]*$AD$5/10000</f>
        <v>1652.0724926300481</v>
      </c>
      <c r="AE21" s="337"/>
      <c r="AF21" s="509" t="str">
        <f>_xll.BDP(B21&amp;" Equity","EXPECTED_REPORT_DT")</f>
        <v>28/01/2026</v>
      </c>
      <c r="AG21" s="510" t="e">
        <f>_xll.BDP(B21&amp;" Index","CHG_PCT_1D_PRE_FROM_REGULAR")/100</f>
        <v>#VALUE!</v>
      </c>
      <c r="AH21" s="504" t="e">
        <f t="shared" si="38"/>
        <v>#VALUE!</v>
      </c>
      <c r="AI21" s="511" t="str">
        <f>_xll.BDP(B21&amp;" Equity","DVD_EX_DT")</f>
        <v>19/02/2026</v>
      </c>
    </row>
    <row r="22" spans="1:35" s="59" customFormat="1">
      <c r="A22" s="498" t="s">
        <v>151</v>
      </c>
      <c r="B22" s="423" t="s">
        <v>79</v>
      </c>
      <c r="C22" s="59" t="s">
        <v>2252</v>
      </c>
      <c r="E22" s="59" t="s">
        <v>194</v>
      </c>
      <c r="F22" s="163" t="s">
        <v>99</v>
      </c>
      <c r="G22" s="404"/>
      <c r="H22" s="499">
        <v>10000</v>
      </c>
      <c r="I22" s="14" cm="1">
        <f t="array" ref="I22">_xll.BDP(B22&amp;" Equity","LAST_PRICE")</f>
        <v>255.41</v>
      </c>
      <c r="J22" s="500">
        <f t="shared" ref="J22" si="39">I22/K22-1</f>
        <v>1.329048639212882E-2</v>
      </c>
      <c r="K22" s="501">
        <v>252.06</v>
      </c>
      <c r="L22" s="8" cm="1">
        <f t="array" ref="L22">_xll.BDP(E22&amp;" Curncy","PX_LAST")</f>
        <v>1</v>
      </c>
      <c r="M22" s="502">
        <v>1</v>
      </c>
      <c r="N22" s="404">
        <f t="shared" ref="N22" si="40">IFERROR(IF(((I22/L22)*H22*M22)&lt;&gt;0,((I22/L22)*H22*M22),0),"-")</f>
        <v>2554100</v>
      </c>
      <c r="O22" s="503">
        <f>IFERROR(IF(Tabelad[[#This Row],[D1 Exp USD]]&lt;&gt;0,N22/$AE$7,0),"-")</f>
        <v>1.0659119688858239E-3</v>
      </c>
      <c r="P22" s="504">
        <f>IFERROR(IF(Tabelad[[#This Row],[D1 Exp USD]]&lt;&gt;0,((I22-K22)/L22*M22*H22)/$AD$7*10000,0),"-")</f>
        <v>0.13980678500323027</v>
      </c>
      <c r="Q22" s="404"/>
      <c r="R22" s="128"/>
      <c r="S22" s="504"/>
      <c r="T22" s="505">
        <f t="shared" ref="T22" si="41">N22+Q22</f>
        <v>2554100</v>
      </c>
      <c r="U22" s="506">
        <f t="shared" ref="U22" si="42">T22/$AE$7</f>
        <v>1.0659119688858239E-3</v>
      </c>
      <c r="V22" s="504">
        <f t="shared" ref="V22" si="43">P22+S22</f>
        <v>0.13980678500323027</v>
      </c>
      <c r="W22" s="404">
        <f t="shared" ref="W22" si="44">$W$10/(I22/L22*M22)</f>
        <v>2345.409445597275</v>
      </c>
      <c r="X22" s="128"/>
      <c r="Y22" s="507">
        <f>Tabelad[[#This Row],[Exp %]]*$Y$10*$AD$7/Tabelad[[#This Row],[Price Today]]</f>
        <v>3500</v>
      </c>
      <c r="Z22" s="508">
        <f>Tabelad[[#This Row],[Vol 10d]]/16*Tabelad[[#This Row],[Exp %]]*100</f>
        <v>0.17920470977528</v>
      </c>
      <c r="AA22" s="128">
        <f>Tabelad[[#This Row],[Exp %]]*Tabelad[[#This Row],[Beta Adj2]]</f>
        <v>1.1334584178504476E-3</v>
      </c>
      <c r="AB22" s="14">
        <f>_xll.BDP($B22&amp;" Equity","volatility_10d")</f>
        <v>26.899738816157441</v>
      </c>
      <c r="AC22" s="14" cm="1">
        <f t="array" ref="AC22">_xll.BDP(B22&amp;" EQUITY","eqy_beta")</f>
        <v>1.0633696317672729</v>
      </c>
      <c r="AD22" s="404">
        <f>Tabelad[[#This Row],[D1 P&amp;L bps]]*$AD$5/10000</f>
        <v>31401.094186159171</v>
      </c>
      <c r="AE22" s="337"/>
      <c r="AF22" s="509" t="str">
        <f>_xll.BDP(B22&amp;" Equity","EXPECTED_REPORT_DT")</f>
        <v>29/01/2026</v>
      </c>
      <c r="AG22" s="510">
        <f>_xll.BDP(B22&amp;" Index","CHG_PCT_1D_PRE_FROM_REGULAR")/100</f>
        <v>1.3707499999999999E-2</v>
      </c>
      <c r="AH22" s="504">
        <f t="shared" ref="AH22" si="45">(T22*AG22)/$AD$7*10000</f>
        <v>0.14610988313502429</v>
      </c>
      <c r="AI22" s="511" t="str">
        <f>_xll.BDP(B22&amp;" Equity","DVD_EX_DT")</f>
        <v>10/11/2025</v>
      </c>
    </row>
    <row r="23" spans="1:35">
      <c r="B23" s="40" t="s">
        <v>399</v>
      </c>
      <c r="C23" t="s">
        <v>2252</v>
      </c>
      <c r="E23" t="s">
        <v>194</v>
      </c>
      <c r="F23" s="22" t="s">
        <v>99</v>
      </c>
      <c r="G23" s="15"/>
      <c r="H23" s="456">
        <v>22135</v>
      </c>
      <c r="I23" s="36" cm="1">
        <f t="array" ref="I23">_xll.BDP(B23&amp;" Equity","LAST_PRICE")</f>
        <v>238.42</v>
      </c>
      <c r="J23" s="51">
        <f t="shared" si="18"/>
        <v>-3.0941629034956231E-3</v>
      </c>
      <c r="K23" s="438" cm="1">
        <f t="array" ref="K23">_xll.BDP(B23&amp;" EQUITY","PX_YEST_CLOSE")</f>
        <v>239.16</v>
      </c>
      <c r="L23" s="53" cm="1">
        <f t="array" ref="L23">_xll.BDP(E23&amp;" Curncy","PX_LAST")</f>
        <v>1</v>
      </c>
      <c r="M23" s="52">
        <v>1</v>
      </c>
      <c r="N23" s="15">
        <f t="shared" si="19"/>
        <v>5277426.7</v>
      </c>
      <c r="O23" s="357">
        <f>IFERROR(IF(Tabelad[[#This Row],[D1 Exp USD]]&lt;&gt;0,N23/$AE$7,0),"-")</f>
        <v>2.2024479403498754E-3</v>
      </c>
      <c r="P23" s="20">
        <f>IFERROR(IF(Tabelad[[#This Row],[D1 Exp USD]]&lt;&gt;0,((I23-K23)/L23*M23*H23)/$AD$7*10000,0),"-")</f>
        <v>-6.8358840527595319E-2</v>
      </c>
      <c r="Q23" s="15">
        <f>IF(SUM(SUMIFS(Options!$AL$4:$AL$24, Options!$D$4:$D$24, B23), SUMIFS(Options!$AL$4:$AL$24, Options!$D$4:$D$24, B23 &amp; " US"))=0,0,SUM(SUMIFS(Options!$AL$4:$AL$24, Options!$D$4:$D$24, B23), SUMIFS(Options!$AL$4:$AL$24, Options!$D$4:$D$24, B23 &amp; " US")))</f>
        <v>632112.31933236122</v>
      </c>
      <c r="R23" s="19">
        <f t="shared" si="31"/>
        <v>2.6380176455759045E-4</v>
      </c>
      <c r="S23" s="20">
        <f>IF(SUM(SUMIFS(Options!$AK$4:$AK$24, Options!$D$4:$D$24, B23), SUMIFS(Options!$AK$4:$AK$24, Options!$D$4:$D$24, B23 &amp; " US"))=0,0,SUM(SUMIFS(Options!$AK$4:$AK$24, Options!$D$4:$D$24, B23), SUMIFS(Options!AK$4:$AK$24, Options!$D$4:$D$24, B23 &amp; " US")))</f>
        <v>-1.2520010597304178E-2</v>
      </c>
      <c r="T23" s="13">
        <f t="shared" si="21"/>
        <v>5909539.0193323614</v>
      </c>
      <c r="U23" s="48">
        <f t="shared" si="22"/>
        <v>2.4662497049074655E-3</v>
      </c>
      <c r="V23" s="20">
        <f t="shared" si="23"/>
        <v>-8.0878851124899495E-2</v>
      </c>
      <c r="W23" s="15">
        <f t="shared" si="8"/>
        <v>2512.5451996476809</v>
      </c>
      <c r="X23" s="19"/>
      <c r="Y23" s="375">
        <f>Tabelad[[#This Row],[Exp %]]*$Y$10*$AD$7/Tabelad[[#This Row],[Price Today]]</f>
        <v>8675.1894000768661</v>
      </c>
      <c r="Z23" s="266">
        <f>Tabelad[[#This Row],[Vol 10d]]/16*Tabelad[[#This Row],[Exp %]]*100</f>
        <v>0.44798679985834244</v>
      </c>
      <c r="AA23" s="19">
        <f>Tabelad[[#This Row],[Exp %]]*Tabelad[[#This Row],[Beta Adj2]]</f>
        <v>3.1533920931682861E-3</v>
      </c>
      <c r="AB23" s="36">
        <f>_xll.BDP($B23&amp;" Equity","volatility_10d")</f>
        <v>29.063516088702041</v>
      </c>
      <c r="AC23" s="36" cm="1">
        <f t="array" ref="AC23">_xll.BDP(B23&amp;" EQUITY","eqy_beta")</f>
        <v>1.278618335723877</v>
      </c>
      <c r="AD23" s="15">
        <f>Tabelad[[#This Row],[D1 P&amp;L bps]]*$AD$5/10000</f>
        <v>-15353.635303279871</v>
      </c>
      <c r="AE23" s="277"/>
      <c r="AF23" s="231" t="str">
        <f>_xll.BDP(B23&amp;" Equity","EXPECTED_REPORT_DT")</f>
        <v>05/02/2026</v>
      </c>
      <c r="AG23" s="172">
        <f>_xll.BDP(B23&amp;" Index","CHG_PCT_1D_PRE_FROM_REGULAR")/100</f>
        <v>3.6795019999999999E-3</v>
      </c>
      <c r="AH23" s="20">
        <f t="shared" si="9"/>
        <v>9.0745707217064306E-2</v>
      </c>
      <c r="AI23" s="455" t="str">
        <f>_xll.BDP(B23&amp;" Equity","DVD_EX_DT")</f>
        <v>#N/A Field Not Applicable</v>
      </c>
    </row>
    <row r="24" spans="1:35">
      <c r="B24" s="40" t="s">
        <v>81</v>
      </c>
      <c r="C24" t="s">
        <v>2252</v>
      </c>
      <c r="E24" t="s">
        <v>194</v>
      </c>
      <c r="F24" s="22" t="s">
        <v>99</v>
      </c>
      <c r="G24" s="15"/>
      <c r="H24" s="456">
        <v>1345</v>
      </c>
      <c r="I24" s="36" cm="1">
        <f t="array" ref="I24">_xll.BDP(B24&amp;" Equity","LAST_PRICE")</f>
        <v>672.36</v>
      </c>
      <c r="J24" s="51">
        <f t="shared" si="2"/>
        <v>2.0644847896047258E-2</v>
      </c>
      <c r="K24" s="438" cm="1">
        <f t="array" ref="K24">_xll.BDP(B24&amp;" EQUITY","PX_YEST_CLOSE")</f>
        <v>658.76</v>
      </c>
      <c r="L24" s="53" cm="1">
        <f t="array" ref="L24">_xll.BDP(E24&amp;" Curncy","PX_LAST")</f>
        <v>1</v>
      </c>
      <c r="M24" s="52">
        <v>1</v>
      </c>
      <c r="N24" s="15">
        <f t="shared" si="3"/>
        <v>904324.20000000007</v>
      </c>
      <c r="O24" s="357">
        <f>IFERROR(IF(Tabelad[[#This Row],[D1 Exp USD]]&lt;&gt;0,N24/$AE$7,0),"-")</f>
        <v>3.7740495224662218E-4</v>
      </c>
      <c r="P24" s="20">
        <f>IFERROR(IF(Tabelad[[#This Row],[D1 Exp USD]]&lt;&gt;0,((I24-K24)/L24*M24*H24)/$AD$7*10000,0),"-")</f>
        <v>7.6338677948629752E-2</v>
      </c>
      <c r="Q24" s="15">
        <f>IF(SUM(SUMIFS(Options!$AL$4:$AL$24, Options!$D$4:$D$24, B24), SUMIFS(Options!$AL$4:$AL$24, Options!$D$4:$D$24, B24 &amp; " US"))=0,0,SUM(SUMIFS(Options!$AL$4:$AL$24, Options!$D$4:$D$24, B24), SUMIFS(Options!$AL$4:$AL$24, Options!$D$4:$D$24, B24 &amp; " US")))</f>
        <v>4931326.9255685806</v>
      </c>
      <c r="R24" s="19">
        <f t="shared" si="31"/>
        <v>2.0580088455630094E-3</v>
      </c>
      <c r="S24" s="20">
        <f>IF(SUM(SUMIFS(Options!$AK$4:$AK$24, Options!$D$4:$D$24, B24), SUMIFS(Options!$AK$4:$AK$24, Options!$D$4:$D$24, B24 &amp; " US"))=0,0,SUM(SUMIFS(Options!$AK$4:$AK$24, Options!$D$4:$D$24, B24), SUMIFS(Options!AK$4:$AK$24, Options!$D$4:$D$24, B24 &amp; " US")))</f>
        <v>0.43588416894514659</v>
      </c>
      <c r="T24" s="13">
        <f t="shared" si="5"/>
        <v>5835651.1255685808</v>
      </c>
      <c r="U24" s="48">
        <f t="shared" si="6"/>
        <v>2.4354137978096317E-3</v>
      </c>
      <c r="V24" s="20">
        <f t="shared" si="7"/>
        <v>0.5122228468937764</v>
      </c>
      <c r="W24" s="15">
        <f t="shared" si="8"/>
        <v>890.95280281396879</v>
      </c>
      <c r="X24" s="19"/>
      <c r="Y24" s="375">
        <f>Tabelad[[#This Row],[Exp %]]*$Y$10*$AD$7/Tabelad[[#This Row],[Price Today]]</f>
        <v>3037.7742488384247</v>
      </c>
      <c r="Z24" s="266">
        <f>Tabelad[[#This Row],[Vol 10d]]/16*Tabelad[[#This Row],[Exp %]]*100</f>
        <v>0.63832599708692861</v>
      </c>
      <c r="AA24" s="19">
        <f>Tabelad[[#This Row],[Exp %]]*Tabelad[[#This Row],[Beta Adj2]]</f>
        <v>2.9408300502072708E-3</v>
      </c>
      <c r="AB24" s="36">
        <f>_xll.BDP($B24&amp;" Equity","volatility_10d")</f>
        <v>41.936265461649455</v>
      </c>
      <c r="AC24" s="36" cm="1">
        <f t="array" ref="AC24">_xll.BDP(B24&amp;" EQUITY","eqy_beta")</f>
        <v>1.2075278759002686</v>
      </c>
      <c r="AD24" s="15">
        <f>Tabelad[[#This Row],[D1 P&amp;L bps]]*$AD$5/10000</f>
        <v>17145.934771738073</v>
      </c>
      <c r="AE24" s="277"/>
      <c r="AF24" s="231" t="str">
        <f>_xll.BDP(B24&amp;" Equity","EXPECTED_REPORT_DT")</f>
        <v>28/01/2026</v>
      </c>
      <c r="AG24" s="172" t="e">
        <f>_xll.BDP(B24&amp;" Index","CHG_PCT_1D_PRE_FROM_REGULAR")/100</f>
        <v>#VALUE!</v>
      </c>
      <c r="AH24" s="20" t="e">
        <f t="shared" si="9"/>
        <v>#VALUE!</v>
      </c>
      <c r="AI24" s="455" t="str">
        <f>_xll.BDP(B24&amp;" Equity","DVD_EX_DT")</f>
        <v>15/12/2025</v>
      </c>
    </row>
    <row r="25" spans="1:35">
      <c r="B25" s="40" t="s">
        <v>90</v>
      </c>
      <c r="C25" t="s">
        <v>2252</v>
      </c>
      <c r="E25" t="s">
        <v>194</v>
      </c>
      <c r="F25" s="22" t="s">
        <v>99</v>
      </c>
      <c r="G25" s="15"/>
      <c r="H25" s="456">
        <v>3700</v>
      </c>
      <c r="I25" s="36" cm="1">
        <f t="array" ref="I25">_xll.BDP(B25&amp;" Equity","LAST_PRICE")</f>
        <v>470.28</v>
      </c>
      <c r="J25" s="51">
        <f t="shared" si="2"/>
        <v>9.2928425796758862E-3</v>
      </c>
      <c r="K25" s="438" cm="1">
        <f t="array" ref="K25">_xll.BDP(B25&amp;" EQUITY","PX_YEST_CLOSE")</f>
        <v>465.95</v>
      </c>
      <c r="L25" s="53" cm="1">
        <f t="array" ref="L25">_xll.BDP(E25&amp;" Curncy","PX_LAST")</f>
        <v>1</v>
      </c>
      <c r="M25" s="52">
        <v>1</v>
      </c>
      <c r="N25" s="15">
        <f t="shared" si="3"/>
        <v>1740036</v>
      </c>
      <c r="O25" s="357">
        <f>IFERROR(IF(Tabelad[[#This Row],[D1 Exp USD]]&lt;&gt;0,N25/$AE$7,0),"-")</f>
        <v>7.2617563865636176E-4</v>
      </c>
      <c r="P25" s="20">
        <f>IFERROR(IF(Tabelad[[#This Row],[D1 Exp USD]]&lt;&gt;0,((I25-K25)/L25*M25*H25)/$AD$7*10000,0),"-")</f>
        <v>6.6861029926470084E-2</v>
      </c>
      <c r="Q25" s="15">
        <f>IF(SUM(SUMIFS(Options!$AL$4:$AL$24, Options!$D$4:$D$24, B25), SUMIFS(Options!$AL$4:$AL$24, Options!$D$4:$D$24, B25 &amp; " US"))=0,0,SUM(SUMIFS(Options!$AL$4:$AL$24, Options!$D$4:$D$24, B25), SUMIFS(Options!$AL$4:$AL$24, Options!$D$4:$D$24, B25 &amp; " US")))</f>
        <v>4237741.4086997509</v>
      </c>
      <c r="R25" s="19">
        <f t="shared" si="31"/>
        <v>1.7685522448518602E-3</v>
      </c>
      <c r="S25" s="20">
        <f>IF(SUM(SUMIFS(Options!$AK$4:$AK$24, Options!$D$4:$D$24, B25), SUMIFS(Options!$AK$4:$AK$24, Options!$D$4:$D$24, B25 &amp; " US"))=0,0,SUM(SUMIFS(Options!$AK$4:$AK$24, Options!$D$4:$D$24, B25), SUMIFS(Options!AK$4:$AK$24, Options!$D$4:$D$24, B25 &amp; " US")))</f>
        <v>0.15258762915464524</v>
      </c>
      <c r="T25" s="13">
        <f t="shared" si="5"/>
        <v>5977777.4086997509</v>
      </c>
      <c r="U25" s="48">
        <f t="shared" si="6"/>
        <v>2.4947278835082218E-3</v>
      </c>
      <c r="V25" s="20">
        <f t="shared" si="7"/>
        <v>0.21944865908111533</v>
      </c>
      <c r="W25" s="15">
        <f t="shared" si="8"/>
        <v>1273.796518031811</v>
      </c>
      <c r="X25" s="19"/>
      <c r="Y25" s="375">
        <f>Tabelad[[#This Row],[Exp %]]*$Y$10*$AD$7/Tabelad[[#This Row],[Price Today]]</f>
        <v>4448.8859680294991</v>
      </c>
      <c r="Z25" s="266">
        <f>Tabelad[[#This Row],[Vol 10d]]/16*Tabelad[[#This Row],[Exp %]]*100</f>
        <v>0.48341168908132726</v>
      </c>
      <c r="AA25" s="19">
        <f>Tabelad[[#This Row],[Exp %]]*Tabelad[[#This Row],[Beta Adj2]]</f>
        <v>2.5460573232090481E-3</v>
      </c>
      <c r="AB25" s="36">
        <f>_xll.BDP($B25&amp;" Equity","volatility_10d")</f>
        <v>31.003730212148184</v>
      </c>
      <c r="AC25" s="36" cm="1">
        <f t="array" ref="AC25">_xll.BDP(B25&amp;" EQUITY","eqy_beta")</f>
        <v>1.0205751657485962</v>
      </c>
      <c r="AD25" s="15">
        <f>Tabelad[[#This Row],[D1 P&amp;L bps]]*$AD$5/10000</f>
        <v>15017.221789744926</v>
      </c>
      <c r="AE25" s="277"/>
      <c r="AF25" s="231" t="str">
        <f>_xll.BDP(B25&amp;" Equity","EXPECTED_REPORT_DT")</f>
        <v>28/01/2026</v>
      </c>
      <c r="AG25" s="172" t="e">
        <f>_xll.BDP(B25&amp;" Index","CHG_PCT_1D_PRE_FROM_REGULAR")/100</f>
        <v>#VALUE!</v>
      </c>
      <c r="AH25" s="20" t="e">
        <f t="shared" si="9"/>
        <v>#VALUE!</v>
      </c>
      <c r="AI25" s="455" t="str">
        <f>_xll.BDP(B25&amp;" Equity","DVD_EX_DT")</f>
        <v>19/02/2026</v>
      </c>
    </row>
    <row r="26" spans="1:35">
      <c r="B26" s="452" t="s">
        <v>2285</v>
      </c>
      <c r="C26" t="s">
        <v>2137</v>
      </c>
      <c r="E26" t="s">
        <v>2110</v>
      </c>
      <c r="F26" s="22" t="s">
        <v>99</v>
      </c>
      <c r="G26" s="15"/>
      <c r="H26" s="456">
        <v>2400</v>
      </c>
      <c r="I26" s="36" cm="1">
        <f t="array" ref="I26">_xll.BDP(B26&amp;" Equity","LAST_PRICE")</f>
        <v>736000</v>
      </c>
      <c r="J26" s="51">
        <f t="shared" si="2"/>
        <v>-4.0417209908735319E-2</v>
      </c>
      <c r="K26" s="438" cm="1">
        <f t="array" ref="K26">_xll.BDP(B26&amp;" EQUITY","PX_YEST_CLOSE")</f>
        <v>767000</v>
      </c>
      <c r="L26" s="53" cm="1">
        <f t="array" ref="L26">_xll.BDP(E26&amp;" Curncy","PX_LAST")</f>
        <v>1441.95</v>
      </c>
      <c r="M26" s="52">
        <v>1</v>
      </c>
      <c r="N26" s="15">
        <f t="shared" si="3"/>
        <v>1225007.8019348797</v>
      </c>
      <c r="O26" s="357">
        <f>IFERROR(IF(Tabelad[[#This Row],[D1 Exp USD]]&lt;&gt;0,N26/$AE$7,0),"-")</f>
        <v>5.112370220668349E-4</v>
      </c>
      <c r="P26" s="20">
        <f>IFERROR(IF(Tabelad[[#This Row],[D1 Exp USD]]&lt;&gt;0,((I26-K26)/L26*M26*H26)/$AD$7*10000,0),"-")</f>
        <v>-0.21533081092488968</v>
      </c>
      <c r="Q26" s="15">
        <f>IF(SUM(SUMIFS(Options!$AL$4:$AL$24, Options!$D$4:$D$24, B26), SUMIFS(Options!$AL$4:$AL$24, Options!$D$4:$D$24, B26 &amp; " US"))=0,0,SUM(SUMIFS(Options!$AL$4:$AL$24, Options!$D$4:$D$24, B26), SUMIFS(Options!$AL$4:$AL$24, Options!$D$4:$D$24, B26 &amp; " US")))</f>
        <v>0</v>
      </c>
      <c r="R26" s="19">
        <f t="shared" si="31"/>
        <v>0</v>
      </c>
      <c r="S26" s="20">
        <f>IF(SUM(SUMIFS(Options!$AK$4:$AK$24, Options!$D$4:$D$24, B26), SUMIFS(Options!$AK$4:$AK$24, Options!$D$4:$D$24, B26 &amp; " US"))=0,0,SUM(SUMIFS(Options!$AK$4:$AK$24, Options!$D$4:$D$24, B26), SUMIFS(Options!AK$4:$AK$24, Options!$D$4:$D$24, B26 &amp; " US")))</f>
        <v>0</v>
      </c>
      <c r="T26" s="13">
        <f t="shared" si="5"/>
        <v>1225007.8019348797</v>
      </c>
      <c r="U26" s="48">
        <f t="shared" si="6"/>
        <v>5.112370220668349E-4</v>
      </c>
      <c r="V26" s="20">
        <f t="shared" si="7"/>
        <v>-0.21533081092488968</v>
      </c>
      <c r="W26" s="15">
        <f t="shared" si="8"/>
        <v>1173.6239241327107</v>
      </c>
      <c r="X26" s="19"/>
      <c r="Y26" s="375">
        <f>Tabelad[[#This Row],[Exp %]]*$Y$10*$AD$7/Tabelad[[#This Row],[Price Today]]</f>
        <v>0.58254447102881501</v>
      </c>
      <c r="Z26" s="266">
        <f>Tabelad[[#This Row],[Vol 10d]]/16*Tabelad[[#This Row],[Exp %]]*100</f>
        <v>0.10715671767933317</v>
      </c>
      <c r="AA26" s="19">
        <f>Tabelad[[#This Row],[Exp %]]*Tabelad[[#This Row],[Beta Adj2]]</f>
        <v>8.0673968937679643E-4</v>
      </c>
      <c r="AB26" s="36">
        <f>_xll.BDP($B26&amp;" Equity","volatility_10d")</f>
        <v>33.536450000000002</v>
      </c>
      <c r="AC26" s="36" cm="1">
        <f t="array" ref="AC26">_xll.BDP(B26&amp;" EQUITY","eqy_beta")</f>
        <v>1.5780149999999999</v>
      </c>
      <c r="AD26" s="15">
        <f>Tabelad[[#This Row],[D1 P&amp;L bps]]*$AD$5/10000</f>
        <v>-48364.055255817977</v>
      </c>
      <c r="AE26" s="277"/>
      <c r="AF26" s="231" t="str">
        <f>_xll.BDP(B26&amp;" Equity","EXPECTED_REPORT_DT")</f>
        <v>29/01/2026</v>
      </c>
      <c r="AG26" s="172" t="e">
        <f>_xll.BDP(B26&amp;" Index","CHG_PCT_1D_PRE_FROM_REGULAR")/100</f>
        <v>#VALUE!</v>
      </c>
      <c r="AH26" s="20" t="e">
        <f t="shared" si="9"/>
        <v>#VALUE!</v>
      </c>
      <c r="AI26" s="455" t="str">
        <f>_xll.BDP(B26&amp;" Equity","DVD_EX_DT")</f>
        <v>27/11/2025</v>
      </c>
    </row>
    <row r="27" spans="1:35">
      <c r="B27" s="40" t="s">
        <v>1754</v>
      </c>
      <c r="C27" t="s">
        <v>2137</v>
      </c>
      <c r="E27" t="s">
        <v>194</v>
      </c>
      <c r="F27" s="22" t="s">
        <v>99</v>
      </c>
      <c r="G27" s="15"/>
      <c r="H27" s="456">
        <v>42000</v>
      </c>
      <c r="I27" s="36" cm="1">
        <f t="array" ref="I27">_xll.BDP(B27&amp;" Equity","LAST_PRICE")</f>
        <v>117.32</v>
      </c>
      <c r="J27" s="51">
        <f t="shared" si="2"/>
        <v>-5.5098753920488353E-3</v>
      </c>
      <c r="K27" s="438" cm="1">
        <f t="array" ref="K27">_xll.BDP(B27&amp;" EQUITY","PX_YEST_CLOSE")</f>
        <v>117.97</v>
      </c>
      <c r="L27" s="53" cm="1">
        <f t="array" ref="L27">_xll.BDP(E27&amp;" Curncy","PX_LAST")</f>
        <v>1</v>
      </c>
      <c r="M27" s="52">
        <v>1</v>
      </c>
      <c r="N27" s="15">
        <f t="shared" si="3"/>
        <v>4927440</v>
      </c>
      <c r="O27" s="357">
        <f>IFERROR(IF(Tabelad[[#This Row],[D1 Exp USD]]&lt;&gt;0,N27/$AE$7,0),"-")</f>
        <v>2.056386700586024E-3</v>
      </c>
      <c r="P27" s="20">
        <f>IFERROR(IF(Tabelad[[#This Row],[D1 Exp USD]]&lt;&gt;0,((I27-K27)/L27*M27*H27)/$AD$7*10000,0),"-")</f>
        <v>-0.11393209643546943</v>
      </c>
      <c r="Q27" s="15">
        <f>IF(SUM(SUMIFS(Options!$AL$4:$AL$24, Options!$D$4:$D$24, B27), SUMIFS(Options!$AL$4:$AL$24, Options!$D$4:$D$24, B27 &amp; " US"))=0,0,SUM(SUMIFS(Options!$AL$4:$AL$24, Options!$D$4:$D$24, B27), SUMIFS(Options!$AL$4:$AL$24, Options!$D$4:$D$24, B27 &amp; " US")))</f>
        <v>0</v>
      </c>
      <c r="R27" s="19">
        <f t="shared" si="31"/>
        <v>0</v>
      </c>
      <c r="S27" s="20">
        <f>IF(SUM(SUMIFS(Options!$AK$4:$AK$24, Options!$D$4:$D$24, B27), SUMIFS(Options!$AK$4:$AK$24, Options!$D$4:$D$24, B27 &amp; " US"))=0,0,SUM(SUMIFS(Options!$AK$4:$AK$24, Options!$D$4:$D$24, B27), SUMIFS(Options!AK$4:$AK$24, Options!$D$4:$D$24, B27 &amp; " US")))</f>
        <v>0</v>
      </c>
      <c r="T27" s="13">
        <f t="shared" si="5"/>
        <v>4927440</v>
      </c>
      <c r="U27" s="48">
        <f t="shared" si="6"/>
        <v>2.056386700586024E-3</v>
      </c>
      <c r="V27" s="20">
        <f t="shared" si="7"/>
        <v>-0.11393209643546943</v>
      </c>
      <c r="W27" s="15">
        <f t="shared" si="8"/>
        <v>5106.0435262529836</v>
      </c>
      <c r="X27" s="19"/>
      <c r="Y27" s="375">
        <f>Tabelad[[#This Row],[Exp %]]*$Y$10*$AD$7/Tabelad[[#This Row],[Price Today]]</f>
        <v>14699.999999999998</v>
      </c>
      <c r="Z27" s="266">
        <f>Tabelad[[#This Row],[Vol 10d]]/16*Tabelad[[#This Row],[Exp %]]*100</f>
        <v>0.3549828603913911</v>
      </c>
      <c r="AA27" s="19">
        <f>Tabelad[[#This Row],[Exp %]]*Tabelad[[#This Row],[Beta Adj2]]</f>
        <v>1.9186790822238119E-3</v>
      </c>
      <c r="AB27" s="36">
        <f>_xll.BDP($B27&amp;" Equity","volatility_10d")</f>
        <v>27.619930456872062</v>
      </c>
      <c r="AC27" s="36" cm="1">
        <f t="array" ref="AC27">_xll.BDP(B27&amp;" EQUITY","eqy_beta")</f>
        <v>0.93303418159484863</v>
      </c>
      <c r="AD27" s="15">
        <f>Tabelad[[#This Row],[D1 P&amp;L bps]]*$AD$5/10000</f>
        <v>-25589.548396482216</v>
      </c>
      <c r="AE27" s="277"/>
      <c r="AF27" s="231" t="str">
        <f>_xll.BDP(B27&amp;" Equity","EXPECTED_REPORT_DT")</f>
        <v>#N/A N/A</v>
      </c>
      <c r="AG27" s="172">
        <f>_xll.BDP(B27&amp;" Index","CHG_PCT_1D_PRE_FROM_REGULAR")/100</f>
        <v>-5.4251029999999997E-3</v>
      </c>
      <c r="AH27" s="20">
        <f t="shared" si="9"/>
        <v>-0.1115610965850934</v>
      </c>
      <c r="AI27" s="455" t="str">
        <f>_xll.BDP(B27&amp;" Equity","DVD_EX_DT")</f>
        <v>16/12/2025</v>
      </c>
    </row>
    <row r="28" spans="1:35">
      <c r="B28" s="40" t="s">
        <v>2063</v>
      </c>
      <c r="C28" t="s">
        <v>2064</v>
      </c>
      <c r="E28" t="s">
        <v>194</v>
      </c>
      <c r="F28" s="22" t="s">
        <v>99</v>
      </c>
      <c r="G28" s="15"/>
      <c r="H28" s="456">
        <v>1900</v>
      </c>
      <c r="I28" s="36" cm="1">
        <f t="array" ref="I28">_xll.BDP(B28&amp;" Equity","LAST_PRICE")</f>
        <v>332.45</v>
      </c>
      <c r="J28" s="51">
        <f t="shared" si="2"/>
        <v>-1.9870868834576561E-2</v>
      </c>
      <c r="K28" s="438" cm="1">
        <f t="array" ref="K28">_xll.BDP(B28&amp;" EQUITY","PX_YEST_CLOSE")</f>
        <v>339.19</v>
      </c>
      <c r="L28" s="53" cm="1">
        <f t="array" ref="L28">_xll.BDP(E28&amp;" Curncy","PX_LAST")</f>
        <v>1</v>
      </c>
      <c r="M28" s="52">
        <v>1</v>
      </c>
      <c r="N28" s="15">
        <f t="shared" si="3"/>
        <v>631655</v>
      </c>
      <c r="O28" s="357">
        <f>IFERROR(IF(Tabelad[[#This Row],[D1 Exp USD]]&lt;&gt;0,N28/$AE$7,0),"-")</f>
        <v>2.6361090979467331E-4</v>
      </c>
      <c r="P28" s="20">
        <f>IFERROR(IF(Tabelad[[#This Row],[D1 Exp USD]]&lt;&gt;0,((I28-K28)/L28*M28*H28)/$AD$7*10000,0),"-")</f>
        <v>-5.3443751903026034E-2</v>
      </c>
      <c r="Q28" s="15">
        <f>IF(SUM(SUMIFS(Options!$AL$4:$AL$24, Options!$D$4:$D$24, B28), SUMIFS(Options!$AL$4:$AL$24, Options!$D$4:$D$24, B28 &amp; " US"))=0,0,SUM(SUMIFS(Options!$AL$4:$AL$24, Options!$D$4:$D$24, B28), SUMIFS(Options!$AL$4:$AL$24, Options!$D$4:$D$24, B28 &amp; " US")))</f>
        <v>712510.69747209549</v>
      </c>
      <c r="R28" s="19">
        <f t="shared" si="31"/>
        <v>2.9735471610144198E-4</v>
      </c>
      <c r="S28" s="20">
        <f>IF(SUM(SUMIFS(Options!$AK$4:$AK$24, Options!$D$4:$D$24, B28), SUMIFS(Options!$AK$4:$AK$24, Options!$D$4:$D$24, B28 &amp; " US"))=0,0,SUM(SUMIFS(Options!$AK$4:$AK$24, Options!$D$4:$D$24, B28), SUMIFS(Options!AK$4:$AK$24, Options!$D$4:$D$24, B28 &amp; " US")))</f>
        <v>-0.12019210173412066</v>
      </c>
      <c r="T28" s="13">
        <f t="shared" si="5"/>
        <v>1344165.6974720955</v>
      </c>
      <c r="U28" s="48">
        <f t="shared" si="6"/>
        <v>5.6096562589611528E-4</v>
      </c>
      <c r="V28" s="20">
        <f t="shared" si="7"/>
        <v>-0.1736358536371467</v>
      </c>
      <c r="W28" s="15">
        <f t="shared" si="8"/>
        <v>1801.898109490149</v>
      </c>
      <c r="X28" s="19"/>
      <c r="Y28" s="375">
        <f>Tabelad[[#This Row],[Exp %]]*$Y$10*$AD$7/Tabelad[[#This Row],[Price Today]]</f>
        <v>1415.1240611076353</v>
      </c>
      <c r="Z28" s="266">
        <f>Tabelad[[#This Row],[Vol 10d]]/16*Tabelad[[#This Row],[Exp %]]*100</f>
        <v>0.33512872090776613</v>
      </c>
      <c r="AA28" s="19">
        <f>Tabelad[[#This Row],[Exp %]]*Tabelad[[#This Row],[Beta Adj2]]</f>
        <v>1.1308116275657201E-3</v>
      </c>
      <c r="AB28" s="36">
        <f>_xll.BDP($B28&amp;" Equity","volatility_10d")</f>
        <v>95.586240706970756</v>
      </c>
      <c r="AC28" s="36" cm="1">
        <f t="array" ref="AC28">_xll.BDP(B28&amp;" EQUITY","eqy_beta")</f>
        <v>2.0158305168151855</v>
      </c>
      <c r="AD28" s="15">
        <f>Tabelad[[#This Row],[D1 P&amp;L bps]]*$AD$5/10000</f>
        <v>-12003.65409396882</v>
      </c>
      <c r="AE28" s="277"/>
      <c r="AF28" s="231" t="str">
        <f>_xll.BDP(B28&amp;" Equity","EXPECTED_REPORT_DT")</f>
        <v>03/02/2026</v>
      </c>
      <c r="AG28" s="172" t="e">
        <f>_xll.BDP(B28&amp;" Index","CHG_PCT_1D_PRE_FROM_REGULAR")/100</f>
        <v>#VALUE!</v>
      </c>
      <c r="AH28" s="20" t="e">
        <f t="shared" si="9"/>
        <v>#VALUE!</v>
      </c>
      <c r="AI28" s="455" t="str">
        <f>_xll.BDP(B28&amp;" Equity","DVD_EX_DT")</f>
        <v>#N/A N/A</v>
      </c>
    </row>
    <row r="29" spans="1:35" s="59" customFormat="1">
      <c r="A29" s="498" t="s">
        <v>151</v>
      </c>
      <c r="B29" s="423" t="s">
        <v>2379</v>
      </c>
      <c r="C29" s="59" t="s">
        <v>2064</v>
      </c>
      <c r="E29" s="59" t="s">
        <v>194</v>
      </c>
      <c r="F29" s="163" t="s">
        <v>99</v>
      </c>
      <c r="G29" s="404"/>
      <c r="H29" s="499">
        <v>18073</v>
      </c>
      <c r="I29" s="14" cm="1">
        <f t="array" ref="I29">_xll.BDP(B29&amp;" Equity","LAST_PRICE")</f>
        <v>77.010000000000005</v>
      </c>
      <c r="J29" s="500">
        <f t="shared" ref="J29" si="46">I29/K29-1</f>
        <v>-2.5963910164861215E-4</v>
      </c>
      <c r="K29" s="501">
        <v>77.03</v>
      </c>
      <c r="L29" s="8" cm="1">
        <f t="array" ref="L29">_xll.BDP(E29&amp;" Curncy","PX_LAST")</f>
        <v>1</v>
      </c>
      <c r="M29" s="502">
        <v>1</v>
      </c>
      <c r="N29" s="404">
        <f t="shared" ref="N29" si="47">IFERROR(IF(((I29/L29)*H29*M29)&lt;&gt;0,((I29/L29)*H29*M29),0),"-")</f>
        <v>1391801.73</v>
      </c>
      <c r="O29" s="503">
        <f>IFERROR(IF(Tabelad[[#This Row],[D1 Exp USD]]&lt;&gt;0,N29/$AE$7,0),"-")</f>
        <v>5.8084574696487838E-4</v>
      </c>
      <c r="P29" s="504">
        <f>IFERROR(IF(Tabelad[[#This Row],[D1 Exp USD]]&lt;&gt;0,((I29-K29)/L29*M29*H29)/$AD$7*10000,0),"-")</f>
        <v>-1.508494343500228E-3</v>
      </c>
      <c r="Q29" s="404"/>
      <c r="R29" s="128"/>
      <c r="S29" s="504"/>
      <c r="T29" s="505">
        <f t="shared" ref="T29" si="48">N29+Q29</f>
        <v>1391801.73</v>
      </c>
      <c r="U29" s="506">
        <f t="shared" ref="U29" si="49">T29/$AE$7</f>
        <v>5.8084574696487838E-4</v>
      </c>
      <c r="V29" s="504">
        <f t="shared" ref="V29" si="50">P29+S29</f>
        <v>-1.508494343500228E-3</v>
      </c>
      <c r="W29" s="404">
        <f t="shared" ref="W29" si="51">$W$10/(I29/L29*M29)</f>
        <v>7778.7433644981174</v>
      </c>
      <c r="X29" s="128"/>
      <c r="Y29" s="507">
        <f>Tabelad[[#This Row],[Exp %]]*$Y$10*$AD$7/Tabelad[[#This Row],[Price Today]]</f>
        <v>6325.5499999999993</v>
      </c>
      <c r="Z29" s="508">
        <f>Tabelad[[#This Row],[Vol 10d]]/16*Tabelad[[#This Row],[Exp %]]*100</f>
        <v>9.8858381121102054E-2</v>
      </c>
      <c r="AA29" s="128">
        <f>Tabelad[[#This Row],[Exp %]]*Tabelad[[#This Row],[Beta Adj2]]</f>
        <v>5.3657387120704546E-4</v>
      </c>
      <c r="AB29" s="14">
        <f>_xll.BDP($B29&amp;" Equity","volatility_10d")</f>
        <v>27.231568901085101</v>
      </c>
      <c r="AC29" s="14" cm="1">
        <f t="array" ref="AC29">_xll.BDP(B29&amp;" EQUITY","eqy_beta")</f>
        <v>0.92378032207489014</v>
      </c>
      <c r="AD29" s="404">
        <f>Tabelad[[#This Row],[D1 P&amp;L bps]]*$AD$5/10000</f>
        <v>-338.81311953811502</v>
      </c>
      <c r="AE29" s="337"/>
      <c r="AF29" s="509" t="str">
        <f>_xll.BDP(B29&amp;" Equity","EXPECTED_REPORT_DT")</f>
        <v>12/02/2026</v>
      </c>
      <c r="AG29" s="510">
        <f>_xll.BDP(B29&amp;" Index","CHG_PCT_1D_PRE_FROM_REGULAR")/100</f>
        <v>2.5874790000000002E-2</v>
      </c>
      <c r="AH29" s="504">
        <f t="shared" ref="AH29" si="52">(T29*AG29)/$AD$7*10000</f>
        <v>0.15029261725109366</v>
      </c>
      <c r="AI29" s="511" t="str">
        <f>_xll.BDP(B29&amp;" Equity","DVD_EX_DT")</f>
        <v>02/01/2026</v>
      </c>
    </row>
    <row r="30" spans="1:35">
      <c r="B30" s="40" t="s">
        <v>137</v>
      </c>
      <c r="C30" t="s">
        <v>1880</v>
      </c>
      <c r="E30" t="s">
        <v>194</v>
      </c>
      <c r="F30" s="22" t="s">
        <v>99</v>
      </c>
      <c r="G30" s="15"/>
      <c r="H30" s="456">
        <v>1930</v>
      </c>
      <c r="I30" s="36" cm="1">
        <f t="array" ref="I30">_xll.BDP(B30&amp;" Equity","LAST_PRICE")</f>
        <v>324.85000000000002</v>
      </c>
      <c r="J30" s="51">
        <f t="shared" si="2"/>
        <v>1.4997656616153821E-2</v>
      </c>
      <c r="K30" s="438" cm="1">
        <f t="array" ref="K30">_xll.BDP(B30&amp;" EQUITY","PX_YEST_CLOSE")</f>
        <v>320.05</v>
      </c>
      <c r="L30" s="53" cm="1">
        <f t="array" ref="L30">_xll.BDP(E30&amp;" Curncy","PX_LAST")</f>
        <v>1</v>
      </c>
      <c r="M30" s="52">
        <v>1</v>
      </c>
      <c r="N30" s="15">
        <f t="shared" si="3"/>
        <v>626960.5</v>
      </c>
      <c r="O30" s="357">
        <f>IFERROR(IF(Tabelad[[#This Row],[D1 Exp USD]]&lt;&gt;0,N30/$AE$7,0),"-")</f>
        <v>2.6165173680303845E-4</v>
      </c>
      <c r="P30" s="20">
        <f>IFERROR(IF(Tabelad[[#This Row],[D1 Exp USD]]&lt;&gt;0,((I30-K30)/L30*M30*H30)/$AD$7*10000,0),"-")</f>
        <v>3.8661792724475535E-2</v>
      </c>
      <c r="Q30" s="15">
        <f>IF(SUM(SUMIFS(Options!$AL$4:$AL$24, Options!$D$4:$D$24, B30), SUMIFS(Options!$AL$4:$AL$24, Options!$D$4:$D$24, B30 &amp; " US"))=0,0,SUM(SUMIFS(Options!$AL$4:$AL$24, Options!$D$4:$D$24, B30), SUMIFS(Options!$AL$4:$AL$24, Options!$D$4:$D$24, B30 &amp; " US")))</f>
        <v>1890141.5587127209</v>
      </c>
      <c r="R30" s="19">
        <f t="shared" si="31"/>
        <v>7.8881974484961293E-4</v>
      </c>
      <c r="S30" s="20">
        <f>IF(SUM(SUMIFS(Options!$AK$4:$AK$24, Options!$D$4:$D$24, B30), SUMIFS(Options!$AK$4:$AK$24, Options!$D$4:$D$24, B30 &amp; " US"))=0,0,SUM(SUMIFS(Options!$AK$4:$AK$24, Options!$D$4:$D$24, B30), SUMIFS(Options!AK$4:$AK$24, Options!$D$4:$D$24, B30 &amp; " US")))</f>
        <v>9.0394476512536473E-2</v>
      </c>
      <c r="T30" s="13">
        <f t="shared" si="5"/>
        <v>2517102.0587127209</v>
      </c>
      <c r="U30" s="48">
        <f t="shared" si="6"/>
        <v>1.0504714816526514E-3</v>
      </c>
      <c r="V30" s="20">
        <f t="shared" si="7"/>
        <v>0.12905626923701202</v>
      </c>
      <c r="W30" s="15">
        <f t="shared" si="8"/>
        <v>1844.0542604278899</v>
      </c>
      <c r="X30" s="19"/>
      <c r="Y30" s="375">
        <f>Tabelad[[#This Row],[Exp %]]*$Y$10*$AD$7/Tabelad[[#This Row],[Price Today]]</f>
        <v>2711.9769756793976</v>
      </c>
      <c r="Z30" s="266">
        <f>Tabelad[[#This Row],[Vol 10d]]/16*Tabelad[[#This Row],[Exp %]]*100</f>
        <v>0.28563302954366054</v>
      </c>
      <c r="AA30" s="19">
        <f>Tabelad[[#This Row],[Exp %]]*Tabelad[[#This Row],[Beta Adj2]]</f>
        <v>2.1302831550520447E-3</v>
      </c>
      <c r="AB30" s="36">
        <f>_xll.BDP($B30&amp;" Equity","volatility_10d")</f>
        <v>43.505497793320636</v>
      </c>
      <c r="AC30" s="36" cm="1">
        <f t="array" ref="AC30">_xll.BDP(B30&amp;" EQUITY","eqy_beta")</f>
        <v>2.0279304981231689</v>
      </c>
      <c r="AD30" s="15">
        <f>Tabelad[[#This Row],[D1 P&amp;L bps]]*$AD$5/10000</f>
        <v>8683.574225091932</v>
      </c>
      <c r="AE30" s="277"/>
      <c r="AF30" s="231" t="str">
        <f>_xll.BDP(B30&amp;" Equity","EXPECTED_REPORT_DT")</f>
        <v>06/03/2026</v>
      </c>
      <c r="AG30" s="172">
        <f>_xll.BDP(B30&amp;" Index","CHG_PCT_1D_PRE_FROM_REGULAR")/100</f>
        <v>1.5628280000000002E-4</v>
      </c>
      <c r="AH30" s="20">
        <f t="shared" si="9"/>
        <v>1.6417062447282502E-3</v>
      </c>
      <c r="AI30" s="455" t="str">
        <f>_xll.BDP(B30&amp;" Equity","DVD_EX_DT")</f>
        <v>22/12/2025</v>
      </c>
    </row>
    <row r="31" spans="1:35" s="59" customFormat="1">
      <c r="A31" s="498" t="s">
        <v>151</v>
      </c>
      <c r="B31" s="423" t="s">
        <v>137</v>
      </c>
      <c r="C31" s="59" t="s">
        <v>1880</v>
      </c>
      <c r="E31" s="59" t="s">
        <v>194</v>
      </c>
      <c r="F31" s="163" t="s">
        <v>99</v>
      </c>
      <c r="G31" s="404"/>
      <c r="H31" s="499">
        <v>-1277</v>
      </c>
      <c r="I31" s="14" cm="1">
        <f t="array" ref="I31">_xll.BDP(B31&amp;" Equity","LAST_PRICE")</f>
        <v>324.85000000000002</v>
      </c>
      <c r="J31" s="500">
        <f t="shared" ref="J31" si="53">I31/K31-1</f>
        <v>5.2296076247060341E-3</v>
      </c>
      <c r="K31" s="501">
        <v>323.16000000000003</v>
      </c>
      <c r="L31" s="8" cm="1">
        <f t="array" ref="L31">_xll.BDP(E31&amp;" Curncy","PX_LAST")</f>
        <v>1</v>
      </c>
      <c r="M31" s="502">
        <v>1</v>
      </c>
      <c r="N31" s="404">
        <f t="shared" ref="N31" si="54">IFERROR(IF(((I31/L31)*H31*M31)&lt;&gt;0,((I31/L31)*H31*M31),0),"-")</f>
        <v>-414833.45</v>
      </c>
      <c r="O31" s="503">
        <f>IFERROR(IF(Tabelad[[#This Row],[D1 Exp USD]]&lt;&gt;0,N31/$AE$7,0),"-")</f>
        <v>-1.7312397300387573E-4</v>
      </c>
      <c r="P31" s="504">
        <f>IFERROR(IF(Tabelad[[#This Row],[D1 Exp USD]]&lt;&gt;0,((I31-K31)/L31*M31*H31)/$AD$7*10000,0),"-")</f>
        <v>-9.006603490120042E-3</v>
      </c>
      <c r="Q31" s="404"/>
      <c r="R31" s="128"/>
      <c r="S31" s="504"/>
      <c r="T31" s="505">
        <f t="shared" ref="T31" si="55">N31+Q31</f>
        <v>-414833.45</v>
      </c>
      <c r="U31" s="506">
        <f t="shared" ref="U31" si="56">T31/$AE$7</f>
        <v>-1.7312397300387573E-4</v>
      </c>
      <c r="V31" s="504">
        <f t="shared" ref="V31" si="57">P31+S31</f>
        <v>-9.006603490120042E-3</v>
      </c>
      <c r="W31" s="404">
        <f t="shared" ref="W31" si="58">$W$10/(I31/L31*M31)</f>
        <v>1844.0542604278899</v>
      </c>
      <c r="X31" s="128"/>
      <c r="Y31" s="507">
        <f>Tabelad[[#This Row],[Exp %]]*$Y$10*$AD$7/Tabelad[[#This Row],[Price Today]]</f>
        <v>-446.94999999999993</v>
      </c>
      <c r="Z31" s="508">
        <f>Tabelad[[#This Row],[Vol 10d]]/16*Tabelad[[#This Row],[Exp %]]*100</f>
        <v>-4.7074028909318853E-2</v>
      </c>
      <c r="AA31" s="128">
        <f>Tabelad[[#This Row],[Exp %]]*Tabelad[[#This Row],[Beta Adj2]]</f>
        <v>-3.5108338481081177E-4</v>
      </c>
      <c r="AB31" s="14">
        <f>_xll.BDP($B31&amp;" Equity","volatility_10d")</f>
        <v>43.505497793320636</v>
      </c>
      <c r="AC31" s="14" cm="1">
        <f t="array" ref="AC31">_xll.BDP(B31&amp;" EQUITY","eqy_beta")</f>
        <v>2.0279304981231689</v>
      </c>
      <c r="AD31" s="404">
        <f>Tabelad[[#This Row],[D1 P&amp;L bps]]*$AD$5/10000</f>
        <v>-2022.9147282380804</v>
      </c>
      <c r="AE31" s="337"/>
      <c r="AF31" s="509" t="str">
        <f>_xll.BDP(B31&amp;" Equity","EXPECTED_REPORT_DT")</f>
        <v>06/03/2026</v>
      </c>
      <c r="AG31" s="510">
        <f>_xll.BDP(B31&amp;" Index","CHG_PCT_1D_PRE_FROM_REGULAR")/100</f>
        <v>1.5628280000000002E-4</v>
      </c>
      <c r="AH31" s="504">
        <f t="shared" ref="AH31" si="59">(T31*AG31)/$AD$7*10000</f>
        <v>-2.7056299248170117E-4</v>
      </c>
      <c r="AI31" s="511" t="str">
        <f>_xll.BDP(B31&amp;" Equity","DVD_EX_DT")</f>
        <v>22/12/2025</v>
      </c>
    </row>
    <row r="32" spans="1:35">
      <c r="B32" s="40" t="s">
        <v>96</v>
      </c>
      <c r="C32" t="s">
        <v>1880</v>
      </c>
      <c r="E32" t="s">
        <v>194</v>
      </c>
      <c r="F32" s="22" t="s">
        <v>99</v>
      </c>
      <c r="G32" s="15"/>
      <c r="H32" s="456">
        <v>4100</v>
      </c>
      <c r="I32" s="36" cm="1">
        <f t="array" ref="I32">_xll.BDP(B32&amp;" Equity","LAST_PRICE")</f>
        <v>332.71</v>
      </c>
      <c r="J32" s="51">
        <f t="shared" si="2"/>
        <v>-6.4502642816616218E-3</v>
      </c>
      <c r="K32" s="438" cm="1">
        <f t="array" ref="K32">_xll.BDP(B32&amp;" EQUITY","PX_YEST_CLOSE")</f>
        <v>334.87</v>
      </c>
      <c r="L32" s="53" cm="1">
        <f t="array" ref="L32">_xll.BDP(E32&amp;" Curncy","PX_LAST")</f>
        <v>1</v>
      </c>
      <c r="M32" s="52">
        <v>1</v>
      </c>
      <c r="N32" s="15">
        <f t="shared" si="3"/>
        <v>1364111</v>
      </c>
      <c r="O32" s="357">
        <f>IFERROR(IF(Tabelad[[#This Row],[D1 Exp USD]]&lt;&gt;0,N32/$AE$7,0),"-")</f>
        <v>5.6928947252997538E-4</v>
      </c>
      <c r="P32" s="20">
        <f>IFERROR(IF(Tabelad[[#This Row],[D1 Exp USD]]&lt;&gt;0,((I32-K32)/L32*M32*H32)/$AD$7*10000,0),"-")</f>
        <v>-3.6959071283242495E-2</v>
      </c>
      <c r="Q32" s="15">
        <f>IF(SUM(SUMIFS(Options!$AL$4:$AL$24, Options!$D$4:$D$24, B32), SUMIFS(Options!$AL$4:$AL$24, Options!$D$4:$D$24, B32 &amp; " US"))=0,0,SUM(SUMIFS(Options!$AL$4:$AL$24, Options!$D$4:$D$24, B32), SUMIFS(Options!$AL$4:$AL$24, Options!$D$4:$D$24, B32 &amp; " US")))</f>
        <v>11080203.263619542</v>
      </c>
      <c r="R32" s="19">
        <f t="shared" si="31"/>
        <v>4.6241420760267165E-3</v>
      </c>
      <c r="S32" s="20">
        <f>IF(SUM(SUMIFS(Options!$AK$4:$AK$24, Options!$D$4:$D$24, B32), SUMIFS(Options!$AK$4:$AK$24, Options!$D$4:$D$24, B32 &amp; " US"))=0,0,SUM(SUMIFS(Options!$AK$4:$AK$24, Options!$D$4:$D$24, B32), SUMIFS(Options!AK$4:$AK$24, Options!$D$4:$D$24, B32 &amp; " US")))</f>
        <v>-0.71113660192688144</v>
      </c>
      <c r="T32" s="13">
        <f t="shared" si="5"/>
        <v>12444314.263619542</v>
      </c>
      <c r="U32" s="48">
        <f t="shared" si="6"/>
        <v>5.1934315485566923E-3</v>
      </c>
      <c r="V32" s="20">
        <f t="shared" si="7"/>
        <v>-0.74809567321012393</v>
      </c>
      <c r="W32" s="15">
        <f t="shared" si="8"/>
        <v>1800.4899957921316</v>
      </c>
      <c r="X32" s="19"/>
      <c r="Y32" s="375">
        <f>Tabelad[[#This Row],[Exp %]]*$Y$10*$AD$7/Tabelad[[#This Row],[Price Today]]</f>
        <v>13091.010165810585</v>
      </c>
      <c r="Z32" s="266">
        <f>Tabelad[[#This Row],[Vol 10d]]/16*Tabelad[[#This Row],[Exp %]]*100</f>
        <v>1.265933700361771</v>
      </c>
      <c r="AA32" s="19">
        <f>Tabelad[[#This Row],[Exp %]]*Tabelad[[#This Row],[Beta Adj2]]</f>
        <v>7.6551650357060278E-3</v>
      </c>
      <c r="AB32" s="36">
        <f>_xll.BDP($B32&amp;" Equity","volatility_10d")</f>
        <v>39.001070903528884</v>
      </c>
      <c r="AC32" s="36" cm="1">
        <f t="array" ref="AC32">_xll.BDP(B32&amp;" EQUITY","eqy_beta")</f>
        <v>1.4740090370178223</v>
      </c>
      <c r="AD32" s="15">
        <f>Tabelad[[#This Row],[D1 P&amp;L bps]]*$AD$5/10000</f>
        <v>-8301.1370182874416</v>
      </c>
      <c r="AE32" s="277"/>
      <c r="AF32" s="231" t="str">
        <f>_xll.BDP(B32&amp;" Equity","EXPECTED_REPORT_DT")</f>
        <v>17/04/2026</v>
      </c>
      <c r="AG32" s="172" t="e">
        <f>_xll.BDP(B32&amp;" Index","CHG_PCT_1D_PRE_FROM_REGULAR")/100</f>
        <v>#VALUE!</v>
      </c>
      <c r="AH32" s="20" t="e">
        <f t="shared" si="9"/>
        <v>#VALUE!</v>
      </c>
      <c r="AI32" s="455" t="str">
        <f>_xll.BDP(B32&amp;" Equity","DVD_EX_DT")</f>
        <v>17/03/2026</v>
      </c>
    </row>
    <row r="33" spans="1:35">
      <c r="B33" s="40" t="s">
        <v>708</v>
      </c>
      <c r="C33" t="s">
        <v>1880</v>
      </c>
      <c r="E33" t="s">
        <v>194</v>
      </c>
      <c r="F33" s="22" t="s">
        <v>99</v>
      </c>
      <c r="G33" s="15"/>
      <c r="H33" s="456"/>
      <c r="I33" s="36" cm="1">
        <f t="array" ref="I33">_xll.BDP(B33&amp;" Equity","LAST_PRICE")</f>
        <v>42.49</v>
      </c>
      <c r="J33" s="51">
        <f t="shared" ref="J33" si="60">I33/K33-1</f>
        <v>-5.7244286665187438E-2</v>
      </c>
      <c r="K33" s="438" cm="1">
        <f t="array" ref="K33">_xll.BDP(B33&amp;" EQUITY","PX_YEST_CLOSE")</f>
        <v>45.07</v>
      </c>
      <c r="L33" s="53" cm="1">
        <f t="array" ref="L33">_xll.BDP(E33&amp;" Curncy","PX_LAST")</f>
        <v>1</v>
      </c>
      <c r="M33" s="52">
        <v>1</v>
      </c>
      <c r="N33" s="15">
        <f t="shared" ref="N33" si="61">IFERROR(IF(((I33/L33)*H33*M33)&lt;&gt;0,((I33/L33)*H33*M33),0),"-")</f>
        <v>0</v>
      </c>
      <c r="O33" s="357">
        <f>IFERROR(IF(Tabelad[[#This Row],[D1 Exp USD]]&lt;&gt;0,N33/$AE$7,0),"-")</f>
        <v>0</v>
      </c>
      <c r="P33" s="20">
        <f>IFERROR(IF(Tabelad[[#This Row],[D1 Exp USD]]&lt;&gt;0,((I33-K33)/L33*M33*H33)/$AD$7*10000,0),"-")</f>
        <v>0</v>
      </c>
      <c r="Q33" s="15">
        <f>IF(SUM(SUMIFS(Options!$AL$4:$AL$24, Options!$D$4:$D$24, B33), SUMIFS(Options!$AL$4:$AL$24, Options!$D$4:$D$24, B33 &amp; " US"))=0,0,SUM(SUMIFS(Options!$AL$4:$AL$24, Options!$D$4:$D$24, B33), SUMIFS(Options!$AL$4:$AL$24, Options!$D$4:$D$24, B33 &amp; " US")))</f>
        <v>323215.65665155649</v>
      </c>
      <c r="R33" s="19">
        <f t="shared" ref="R33" si="62">Q33/$AE$7</f>
        <v>1.3488878154973769E-4</v>
      </c>
      <c r="S33" s="20">
        <f>IF(SUM(SUMIFS(Options!$AK$4:$AK$24, Options!$D$4:$D$24, B33), SUMIFS(Options!$AK$4:$AK$24, Options!$D$4:$D$24, B33 &amp; " US"))=0,0,SUM(SUMIFS(Options!$AK$4:$AK$24, Options!$D$4:$D$24, B33), SUMIFS(Options!AK$4:$AK$24, Options!$D$4:$D$24, B33 &amp; " US")))</f>
        <v>-7.6372064643555726E-2</v>
      </c>
      <c r="T33" s="13">
        <f t="shared" ref="T33" si="63">N33+Q33</f>
        <v>323215.65665155649</v>
      </c>
      <c r="U33" s="48">
        <f t="shared" ref="U33" si="64">T33/$AE$7</f>
        <v>1.3488878154973769E-4</v>
      </c>
      <c r="V33" s="20">
        <f t="shared" ref="V33" si="65">P33+S33</f>
        <v>-7.6372064643555726E-2</v>
      </c>
      <c r="W33" s="15">
        <f t="shared" ref="W33" si="66">$W$10/(I33/L33*M33)</f>
        <v>14098.40024711697</v>
      </c>
      <c r="X33" s="19"/>
      <c r="Y33" s="375">
        <f>Tabelad[[#This Row],[Exp %]]*$Y$10*$AD$7/Tabelad[[#This Row],[Price Today]]</f>
        <v>2662.4024435877795</v>
      </c>
      <c r="Z33" s="266">
        <f>Tabelad[[#This Row],[Vol 10d]]/16*Tabelad[[#This Row],[Exp %]]*100</f>
        <v>0.11619020509553299</v>
      </c>
      <c r="AA33" s="19">
        <f>Tabelad[[#This Row],[Exp %]]*Tabelad[[#This Row],[Beta Adj2]]</f>
        <v>1.9758666307937383E-4</v>
      </c>
      <c r="AB33" s="36">
        <f>_xll.BDP($B33&amp;" Equity","volatility_10d")</f>
        <v>137.82045179517326</v>
      </c>
      <c r="AC33" s="36" cm="1">
        <f t="array" ref="AC33">_xll.BDP(B33&amp;" EQUITY","eqy_beta")</f>
        <v>1.4648116827011108</v>
      </c>
      <c r="AD33" s="15">
        <f>Tabelad[[#This Row],[D1 P&amp;L bps]]*$AD$5/10000</f>
        <v>0</v>
      </c>
      <c r="AE33" s="277"/>
      <c r="AF33" s="231" t="str">
        <f>_xll.BDP(B33&amp;" Equity","EXPECTED_REPORT_DT")</f>
        <v>24/04/2026</v>
      </c>
      <c r="AG33" s="172" t="e">
        <f>_xll.BDP(B33&amp;" Index","CHG_PCT_1D_PRE_FROM_REGULAR")/100</f>
        <v>#VALUE!</v>
      </c>
      <c r="AH33" s="20" t="e">
        <f t="shared" ref="AH33" si="67">(T33*AG33)/$AD$7*10000</f>
        <v>#VALUE!</v>
      </c>
      <c r="AI33" s="455" t="str">
        <f>_xll.BDP(B33&amp;" Equity","DVD_EX_DT")</f>
        <v>03/09/2024</v>
      </c>
    </row>
    <row r="34" spans="1:35">
      <c r="B34" s="40" t="s">
        <v>448</v>
      </c>
      <c r="C34" t="s">
        <v>1880</v>
      </c>
      <c r="E34" t="s">
        <v>194</v>
      </c>
      <c r="F34" s="22" t="s">
        <v>99</v>
      </c>
      <c r="G34" s="15"/>
      <c r="H34" s="456">
        <v>4500</v>
      </c>
      <c r="I34" s="36" cm="1">
        <f t="array" ref="I34">_xll.BDP(B34&amp;" Equity","LAST_PRICE")</f>
        <v>251.23500000000001</v>
      </c>
      <c r="J34" s="51">
        <f t="shared" ref="J34" si="68">I34/K34-1</f>
        <v>-3.252079482439918E-2</v>
      </c>
      <c r="K34" s="438" cm="1">
        <f t="array" ref="K34">_xll.BDP(B34&amp;" EQUITY","PX_YEST_CLOSE")</f>
        <v>259.68</v>
      </c>
      <c r="L34" s="53" cm="1">
        <f t="array" ref="L34">_xll.BDP(E34&amp;" Curncy","PX_LAST")</f>
        <v>1</v>
      </c>
      <c r="M34" s="52">
        <v>1</v>
      </c>
      <c r="N34" s="15">
        <f t="shared" ref="N34" si="69">IFERROR(IF(((I34/L34)*H34*M34)&lt;&gt;0,((I34/L34)*H34*M34),0),"-")</f>
        <v>1130557.5</v>
      </c>
      <c r="O34" s="357">
        <f>IFERROR(IF(Tabelad[[#This Row],[D1 Exp USD]]&lt;&gt;0,N34/$AE$7,0),"-")</f>
        <v>4.7181972936205898E-4</v>
      </c>
      <c r="P34" s="20">
        <f>IFERROR(IF(Tabelad[[#This Row],[D1 Exp USD]]&lt;&gt;0,((I34-K34)/L34*M34*H34)/$AD$7*10000,0),"-")</f>
        <v>-0.15859723424135111</v>
      </c>
      <c r="Q34" s="15">
        <f>IF(SUM(SUMIFS(Options!$AL$4:$AL$24, Options!$D$4:$D$24, B34), SUMIFS(Options!$AL$4:$AL$24, Options!$D$4:$D$24, B34 &amp; " US"))=0,0,SUM(SUMIFS(Options!$AL$4:$AL$24, Options!$D$4:$D$24, B34), SUMIFS(Options!$AL$4:$AL$24, Options!$D$4:$D$24, B34 &amp; " US")))</f>
        <v>0</v>
      </c>
      <c r="R34" s="19">
        <f t="shared" ref="R34" si="70">Q34/$AE$7</f>
        <v>0</v>
      </c>
      <c r="S34" s="20">
        <f>IF(SUM(SUMIFS(Options!$AK$4:$AK$24, Options!$D$4:$D$24, B34), SUMIFS(Options!$AK$4:$AK$24, Options!$D$4:$D$24, B34 &amp; " US"))=0,0,SUM(SUMIFS(Options!$AK$4:$AK$24, Options!$D$4:$D$24, B34), SUMIFS(Options!AK$4:$AK$24, Options!$D$4:$D$24, B34 &amp; " US")))</f>
        <v>0</v>
      </c>
      <c r="T34" s="13">
        <f t="shared" ref="T34" si="71">N34+Q34</f>
        <v>1130557.5</v>
      </c>
      <c r="U34" s="48">
        <f t="shared" ref="U34" si="72">T34/$AE$7</f>
        <v>4.7181972936205898E-4</v>
      </c>
      <c r="V34" s="20">
        <f t="shared" ref="V34" si="73">P34+S34</f>
        <v>-0.15859723424135111</v>
      </c>
      <c r="W34" s="15">
        <f t="shared" ref="W34" si="74">$W$10/(I34/L34*M34)</f>
        <v>2384.3852429000735</v>
      </c>
      <c r="X34" s="19"/>
      <c r="Y34" s="375">
        <f>Tabelad[[#This Row],[Exp %]]*$Y$10*$AD$7/Tabelad[[#This Row],[Price Today]]</f>
        <v>1575</v>
      </c>
      <c r="Z34" s="266">
        <f>Tabelad[[#This Row],[Vol 10d]]/16*Tabelad[[#This Row],[Exp %]]*100</f>
        <v>0.15084441834486537</v>
      </c>
      <c r="AA34" s="19">
        <f>Tabelad[[#This Row],[Exp %]]*Tabelad[[#This Row],[Beta Adj2]]</f>
        <v>7.3336490574074447E-4</v>
      </c>
      <c r="AB34" s="36">
        <f>_xll.BDP($B34&amp;" Equity","volatility_10d")</f>
        <v>51.153238055159768</v>
      </c>
      <c r="AC34" s="36" cm="1">
        <f t="array" ref="AC34">_xll.BDP(B34&amp;" EQUITY","eqy_beta")</f>
        <v>1.5543328523635864</v>
      </c>
      <c r="AD34" s="15">
        <f>Tabelad[[#This Row],[D1 P&amp;L bps]]*$AD$5/10000</f>
        <v>-35621.494979388503</v>
      </c>
      <c r="AE34" s="277"/>
      <c r="AF34" s="231" t="str">
        <f>_xll.BDP(B34&amp;" Equity","EXPECTED_REPORT_DT")</f>
        <v>03/02/2026</v>
      </c>
      <c r="AG34" s="172" t="e">
        <f>_xll.BDP(B34&amp;" Index","CHG_PCT_1D_PRE_FROM_REGULAR")/100</f>
        <v>#VALUE!</v>
      </c>
      <c r="AH34" s="20" t="e">
        <f t="shared" ref="AH34" si="75">(T34*AG34)/$AD$7*10000</f>
        <v>#VALUE!</v>
      </c>
      <c r="AI34" s="455" t="str">
        <f>_xll.BDP(B34&amp;" Equity","DVD_EX_DT")</f>
        <v>27/04/1995</v>
      </c>
    </row>
    <row r="35" spans="1:35">
      <c r="B35" s="40" t="s">
        <v>94</v>
      </c>
      <c r="C35" t="s">
        <v>1880</v>
      </c>
      <c r="E35" t="s">
        <v>194</v>
      </c>
      <c r="F35" s="22" t="s">
        <v>99</v>
      </c>
      <c r="G35" s="15"/>
      <c r="H35" s="456">
        <f>25392-2384</f>
        <v>23008</v>
      </c>
      <c r="I35" s="36" cm="1">
        <f t="array" ref="I35">_xll.BDP(B35&amp;" Equity","LAST_PRICE")</f>
        <v>186.47</v>
      </c>
      <c r="J35" s="51">
        <f t="shared" si="2"/>
        <v>-6.3942025896519539E-3</v>
      </c>
      <c r="K35" s="438" cm="1">
        <f t="array" ref="K35">_xll.BDP(B35&amp;" EQUITY","PX_YEST_CLOSE")</f>
        <v>187.67</v>
      </c>
      <c r="L35" s="53" cm="1">
        <f t="array" ref="L35">_xll.BDP(E35&amp;" Curncy","PX_LAST")</f>
        <v>1</v>
      </c>
      <c r="M35" s="52">
        <v>1</v>
      </c>
      <c r="N35" s="15">
        <f t="shared" si="3"/>
        <v>4290301.76</v>
      </c>
      <c r="O35" s="357">
        <f>IFERROR(IF(Tabelad[[#This Row],[D1 Exp USD]]&lt;&gt;0,N35/$AE$7,0),"-")</f>
        <v>1.7904874500277652E-3</v>
      </c>
      <c r="P35" s="20">
        <f>IFERROR(IF(Tabelad[[#This Row],[D1 Exp USD]]&lt;&gt;0,((I35-K35)/L35*M35*H35)/$AD$7*10000,0),"-")</f>
        <v>-0.11522416152910912</v>
      </c>
      <c r="Q35" s="15">
        <f>IF(SUM(SUMIFS(Options!$AL$4:$AL$24, Options!$D$4:$D$24, B35), SUMIFS(Options!$AL$4:$AL$24, Options!$D$4:$D$24, B35 &amp; " US"))=0,0,SUM(SUMIFS(Options!$AL$4:$AL$24, Options!$D$4:$D$24, B35), SUMIFS(Options!$AL$4:$AL$24, Options!$D$4:$D$24, B35 &amp; " US")))</f>
        <v>0</v>
      </c>
      <c r="R35" s="19">
        <f t="shared" si="31"/>
        <v>0</v>
      </c>
      <c r="S35" s="20">
        <f>IF(SUM(SUMIFS(Options!$AK$4:$AK$24, Options!$D$4:$D$24, B35), SUMIFS(Options!$AK$4:$AK$24, Options!$D$4:$D$24, B35 &amp; " US"))=0,0,SUM(SUMIFS(Options!$AK$4:$AK$24, Options!$D$4:$D$24, B35), SUMIFS(Options!AK$4:$AK$24, Options!$D$4:$D$24, B35 &amp; " US")))</f>
        <v>0</v>
      </c>
      <c r="T35" s="13">
        <f t="shared" si="5"/>
        <v>4290301.76</v>
      </c>
      <c r="U35" s="48">
        <f t="shared" si="6"/>
        <v>1.7904874500277652E-3</v>
      </c>
      <c r="V35" s="20">
        <f t="shared" si="7"/>
        <v>-0.11522416152910912</v>
      </c>
      <c r="W35" s="15">
        <f t="shared" si="8"/>
        <v>3212.5329892207865</v>
      </c>
      <c r="X35" s="19"/>
      <c r="Y35" s="375">
        <f>Tabelad[[#This Row],[Exp %]]*$Y$10*$AD$7/Tabelad[[#This Row],[Price Today]]</f>
        <v>8052.7999999999984</v>
      </c>
      <c r="Z35" s="266">
        <f>Tabelad[[#This Row],[Vol 10d]]/16*Tabelad[[#This Row],[Exp %]]*100</f>
        <v>0.39742372797483733</v>
      </c>
      <c r="AA35" s="19">
        <f>Tabelad[[#This Row],[Exp %]]*Tabelad[[#This Row],[Beta Adj2]]</f>
        <v>3.3256331404983232E-3</v>
      </c>
      <c r="AB35" s="36">
        <f>_xll.BDP($B35&amp;" Equity","volatility_10d")</f>
        <v>35.51423746365154</v>
      </c>
      <c r="AC35" s="36" cm="1">
        <f t="array" ref="AC35">_xll.BDP(B35&amp;" EQUITY","eqy_beta")</f>
        <v>1.8573898077011108</v>
      </c>
      <c r="AD35" s="15">
        <f>Tabelad[[#This Row],[D1 P&amp;L bps]]*$AD$5/10000</f>
        <v>-25879.75074752756</v>
      </c>
      <c r="AE35" s="277"/>
      <c r="AF35" s="231" t="str">
        <f>_xll.BDP(B35&amp;" Equity","EXPECTED_REPORT_DT")</f>
        <v>25/02/2026</v>
      </c>
      <c r="AG35" s="172">
        <f>_xll.BDP(B35&amp;" Index","CHG_PCT_1D_PRE_FROM_REGULAR")/100</f>
        <v>-2.6642510000000003E-3</v>
      </c>
      <c r="AH35" s="20">
        <f t="shared" si="9"/>
        <v>-4.7703079792239242E-2</v>
      </c>
      <c r="AI35" s="455" t="str">
        <f>_xll.BDP(B35&amp;" Equity","DVD_EX_DT")</f>
        <v>04/12/2025</v>
      </c>
    </row>
    <row r="36" spans="1:35">
      <c r="B36" s="40" t="s">
        <v>138</v>
      </c>
      <c r="C36" t="s">
        <v>1880</v>
      </c>
      <c r="E36" t="s">
        <v>194</v>
      </c>
      <c r="F36" s="22" t="s">
        <v>100</v>
      </c>
      <c r="G36" s="15"/>
      <c r="H36" s="456">
        <v>-49</v>
      </c>
      <c r="I36" s="36" cm="1">
        <f t="array" ref="I36">_xll.BDP(B36&amp;" Equity","LAST_PRICE")</f>
        <v>81.77</v>
      </c>
      <c r="J36" s="51">
        <f t="shared" si="2"/>
        <v>1.9194814907141922E-2</v>
      </c>
      <c r="K36" s="438" cm="1">
        <f t="array" ref="K36">_xll.BDP(B36&amp;" EQUITY","PX_YEST_CLOSE")</f>
        <v>80.23</v>
      </c>
      <c r="L36" s="53" cm="1">
        <f t="array" ref="L36">_xll.BDP(E36&amp;" Curncy","PX_LAST")</f>
        <v>1</v>
      </c>
      <c r="M36" s="52">
        <v>1</v>
      </c>
      <c r="N36" s="15">
        <f t="shared" si="3"/>
        <v>-4006.73</v>
      </c>
      <c r="O36" s="357">
        <f>IFERROR(IF(Tabelad[[#This Row],[D1 Exp USD]]&lt;&gt;0,N36/$AE$7,0),"-")</f>
        <v>-1.6721434020178916E-6</v>
      </c>
      <c r="P36" s="20">
        <f>IFERROR(IF(Tabelad[[#This Row],[D1 Exp USD]]&lt;&gt;0,((I36-K36)/L36*M36*H36)/$AD$7*10000,0),"-")</f>
        <v>-3.1491999989085722E-4</v>
      </c>
      <c r="Q36" s="15">
        <f>IF(SUM(SUMIFS(Options!$AL$4:$AL$24, Options!$D$4:$D$24, B36), SUMIFS(Options!$AL$4:$AL$24, Options!$D$4:$D$24, B36 &amp; " US"))=0,0,SUM(SUMIFS(Options!$AL$4:$AL$24, Options!$D$4:$D$24, B36), SUMIFS(Options!$AL$4:$AL$24, Options!$D$4:$D$24, B36 &amp; " US")))</f>
        <v>-595836.75579801213</v>
      </c>
      <c r="R36" s="19">
        <f t="shared" si="31"/>
        <v>-2.4866274989514937E-4</v>
      </c>
      <c r="S36" s="20">
        <f>IF(SUM(SUMIFS(Options!$AK$4:$AK$24, Options!$D$4:$D$24, B36), SUMIFS(Options!$AK$4:$AK$24, Options!$D$4:$D$24, B36 &amp; " US"))=0,0,SUM(SUMIFS(Options!$AK$4:$AK$24, Options!$D$4:$D$24, B36), SUMIFS(Options!AK$4:$AK$24, Options!$D$4:$D$24, B36 &amp; " US")))</f>
        <v>-4.8306374221265561E-2</v>
      </c>
      <c r="T36" s="13">
        <f t="shared" si="5"/>
        <v>-599843.48579801212</v>
      </c>
      <c r="U36" s="48">
        <f t="shared" si="6"/>
        <v>-2.5033489329716725E-4</v>
      </c>
      <c r="V36" s="20">
        <f t="shared" si="7"/>
        <v>-4.8621294221156415E-2</v>
      </c>
      <c r="W36" s="15">
        <f t="shared" si="8"/>
        <v>7325.9267029472921</v>
      </c>
      <c r="X36" s="19"/>
      <c r="Y36" s="375">
        <f>Tabelad[[#This Row],[Exp %]]*$Y$10*$AD$7/Tabelad[[#This Row],[Price Today]]</f>
        <v>-2567.5091112792497</v>
      </c>
      <c r="Z36" s="266">
        <f>Tabelad[[#This Row],[Vol 10d]]/16*Tabelad[[#This Row],[Exp %]]*100</f>
        <v>-5.1718820572286918E-2</v>
      </c>
      <c r="AA36" s="19">
        <f>Tabelad[[#This Row],[Exp %]]*Tabelad[[#This Row],[Beta Adj2]]</f>
        <v>-4.9498856924439416E-4</v>
      </c>
      <c r="AB36" s="36">
        <f>_xll.BDP($B36&amp;" Equity","volatility_10d")</f>
        <v>33.055764550341038</v>
      </c>
      <c r="AC36" s="36" cm="1">
        <f t="array" ref="AC36">_xll.BDP(B36&amp;" EQUITY","eqy_beta")</f>
        <v>1.97730553150177</v>
      </c>
      <c r="AD36" s="15">
        <f>Tabelad[[#This Row],[D1 P&amp;L bps]]*$AD$5/10000</f>
        <v>-70.732136336942148</v>
      </c>
      <c r="AE36" s="277"/>
      <c r="AF36" s="231" t="str">
        <f>_xll.BDP(B36&amp;" Equity","EXPECTED_REPORT_DT")</f>
        <v>05/03/2026</v>
      </c>
      <c r="AG36" s="172">
        <f>_xll.BDP(B36&amp;" Index","CHG_PCT_1D_PRE_FROM_REGULAR")/100</f>
        <v>-4.8611119999999999E-3</v>
      </c>
      <c r="AH36" s="20">
        <f t="shared" si="9"/>
        <v>1.2169059538255792E-2</v>
      </c>
      <c r="AI36" s="455" t="str">
        <f>_xll.BDP(B36&amp;" Equity","DVD_EX_DT")</f>
        <v>09/01/2026</v>
      </c>
    </row>
    <row r="37" spans="1:35">
      <c r="B37" s="40" t="s">
        <v>2131</v>
      </c>
      <c r="C37" t="s">
        <v>2132</v>
      </c>
      <c r="E37" t="s">
        <v>194</v>
      </c>
      <c r="F37" s="22" t="s">
        <v>99</v>
      </c>
      <c r="G37" s="15"/>
      <c r="H37" s="456">
        <v>26813</v>
      </c>
      <c r="I37" s="36" cm="1">
        <f t="array" ref="I37">_xll.BDP(B37&amp;" Equity","LAST_PRICE")</f>
        <v>16.23</v>
      </c>
      <c r="J37" s="51">
        <f>I37/K37-1</f>
        <v>-6.0763888888888951E-2</v>
      </c>
      <c r="K37" s="438" cm="1">
        <f t="array" ref="K37">_xll.BDP(B37&amp;" EQUITY","PX_YEST_CLOSE")</f>
        <v>17.28</v>
      </c>
      <c r="L37" s="53" cm="1">
        <f t="array" ref="L37">_xll.BDP(E37&amp;" Curncy","PX_LAST")</f>
        <v>1</v>
      </c>
      <c r="M37" s="52">
        <v>1</v>
      </c>
      <c r="N37" s="15">
        <f>IFERROR(IF(((I37/L37)*H37*M37)&lt;&gt;0,((I37/L37)*H37*M37),0),"-")</f>
        <v>435174.99</v>
      </c>
      <c r="O37" s="357">
        <f>IFERROR(IF(Tabelad[[#This Row],[D1 Exp USD]]&lt;&gt;0,N37/$AE$7,0),"-")</f>
        <v>1.816131828827253E-4</v>
      </c>
      <c r="P37" s="20">
        <f>IFERROR(IF(Tabelad[[#This Row],[D1 Exp USD]]&lt;&gt;0,((I37-K37)/L37*M37*H37)/$AD$7*10000,0),"-")</f>
        <v>-0.11749466545093143</v>
      </c>
      <c r="Q37" s="15">
        <f>IF(SUM(SUMIFS(Options!$AL$4:$AL$24, Options!$D$4:$D$24, B37), SUMIFS(Options!$AL$4:$AL$24, Options!$D$4:$D$24, B37 &amp; " US"))=0,0,SUM(SUMIFS(Options!$AL$4:$AL$24, Options!$D$4:$D$24, B37), SUMIFS(Options!$AL$4:$AL$24, Options!$D$4:$D$24, B37 &amp; " US")))</f>
        <v>0</v>
      </c>
      <c r="R37" s="19">
        <f t="shared" si="31"/>
        <v>0</v>
      </c>
      <c r="S37" s="20">
        <f>IF(SUM(SUMIFS(Options!$AK$4:$AK$24, Options!$D$4:$D$24, B37), SUMIFS(Options!$AK$4:$AK$24, Options!$D$4:$D$24, B37 &amp; " US"))=0,0,SUM(SUMIFS(Options!$AK$4:$AK$24, Options!$D$4:$D$24, B37), SUMIFS(Options!AK$4:$AK$24, Options!$D$4:$D$24, B37 &amp; " US")))</f>
        <v>0</v>
      </c>
      <c r="T37" s="13">
        <f>N37+Q37</f>
        <v>435174.99</v>
      </c>
      <c r="U37" s="48">
        <f>T37/$AE$7</f>
        <v>1.816131828827253E-4</v>
      </c>
      <c r="V37" s="20">
        <f>P37+S37</f>
        <v>-0.11749466545093143</v>
      </c>
      <c r="W37" s="15">
        <f>$W$10/(I37/L37*M37)</f>
        <v>36909.490234134319</v>
      </c>
      <c r="X37" s="19"/>
      <c r="Y37" s="375">
        <f>Tabelad[[#This Row],[Exp %]]*$Y$10*$AD$7/Tabelad[[#This Row],[Price Today]]</f>
        <v>9384.5500000000011</v>
      </c>
      <c r="Z37" s="266">
        <f>Tabelad[[#This Row],[Vol 10d]]/16*Tabelad[[#This Row],[Exp %]]*100</f>
        <v>0.1210683445054556</v>
      </c>
      <c r="AA37" s="19">
        <f>Tabelad[[#This Row],[Exp %]]*Tabelad[[#This Row],[Beta Adj2]]</f>
        <v>3.7484764122709923E-4</v>
      </c>
      <c r="AB37" s="36">
        <f>_xll.BDP($B37&amp;" Equity","volatility_10d")</f>
        <v>106.66040214372248</v>
      </c>
      <c r="AC37" s="36" cm="1">
        <f t="array" ref="AC37">_xll.BDP(B37&amp;" EQUITY","eqy_beta")</f>
        <v>2.0639891624450684</v>
      </c>
      <c r="AD37" s="15">
        <f>Tabelad[[#This Row],[D1 P&amp;L bps]]*$AD$5/10000</f>
        <v>-26389.713890572002</v>
      </c>
      <c r="AE37" s="277"/>
      <c r="AF37" s="231" t="str">
        <f>_xll.BDP(B37&amp;" Equity","EXPECTED_REPORT_DT")</f>
        <v>24/02/2026</v>
      </c>
      <c r="AG37" s="172">
        <f>_xll.BDP(B37&amp;" Index","CHG_PCT_1D_PRE_FROM_REGULAR")/100</f>
        <v>-5.7870580000000003E-3</v>
      </c>
      <c r="AH37" s="20">
        <f>(T37*AG37)/$AD$7*10000</f>
        <v>-1.0510060229069387E-2</v>
      </c>
      <c r="AI37" s="455" t="str">
        <f>_xll.BDP(B37&amp;" Equity","DVD_EX_DT")</f>
        <v>12/10/2017</v>
      </c>
    </row>
    <row r="38" spans="1:35" s="59" customFormat="1">
      <c r="A38" s="498" t="s">
        <v>151</v>
      </c>
      <c r="B38" s="423" t="s">
        <v>2131</v>
      </c>
      <c r="C38" s="59" t="s">
        <v>2132</v>
      </c>
      <c r="E38" s="59" t="s">
        <v>194</v>
      </c>
      <c r="F38" s="163" t="s">
        <v>99</v>
      </c>
      <c r="G38" s="404"/>
      <c r="H38" s="499">
        <v>4787</v>
      </c>
      <c r="I38" s="14" cm="1">
        <f t="array" ref="I38">_xll.BDP(B38&amp;" Equity","LAST_PRICE")</f>
        <v>16.23</v>
      </c>
      <c r="J38" s="500">
        <f>I38/K38-1</f>
        <v>-1.9927536231883924E-2</v>
      </c>
      <c r="K38" s="501">
        <v>16.559999999999999</v>
      </c>
      <c r="L38" s="8" cm="1">
        <f t="array" ref="L38">_xll.BDP(E38&amp;" Curncy","PX_LAST")</f>
        <v>1</v>
      </c>
      <c r="M38" s="502">
        <v>1</v>
      </c>
      <c r="N38" s="404">
        <f>IFERROR(IF(((I38/L38)*H38*M38)&lt;&gt;0,((I38/L38)*H38*M38),0),"-")</f>
        <v>77693.010000000009</v>
      </c>
      <c r="O38" s="503">
        <f>IFERROR(IF(Tabelad[[#This Row],[D1 Exp USD]]&lt;&gt;0,N38/$AE$7,0),"-")</f>
        <v>3.2423910284548772E-5</v>
      </c>
      <c r="P38" s="504">
        <f>IFERROR(IF(Tabelad[[#This Row],[D1 Exp USD]]&lt;&gt;0,((I38-K38)/L38*M38*H38)/$AD$7*10000,0),"-")</f>
        <v>-6.5926619802224506E-3</v>
      </c>
      <c r="Q38" s="404"/>
      <c r="R38" s="128"/>
      <c r="S38" s="504"/>
      <c r="T38" s="505">
        <f>N38+Q38</f>
        <v>77693.010000000009</v>
      </c>
      <c r="U38" s="506">
        <f>T38/$AE$7</f>
        <v>3.2423910284548772E-5</v>
      </c>
      <c r="V38" s="504">
        <f>P38+S38</f>
        <v>-6.5926619802224506E-3</v>
      </c>
      <c r="W38" s="404">
        <f>$W$10/(I38/L38*M38)</f>
        <v>36909.490234134319</v>
      </c>
      <c r="X38" s="128"/>
      <c r="Y38" s="507">
        <f>Tabelad[[#This Row],[Exp %]]*$Y$10*$AD$7/Tabelad[[#This Row],[Price Today]]</f>
        <v>1675.45</v>
      </c>
      <c r="Z38" s="508">
        <f>Tabelad[[#This Row],[Vol 10d]]/16*Tabelad[[#This Row],[Exp %]]*100</f>
        <v>2.1614670687637196E-2</v>
      </c>
      <c r="AA38" s="128">
        <f>Tabelad[[#This Row],[Exp %]]*Tabelad[[#This Row],[Beta Adj2]]</f>
        <v>6.6922599431399856E-5</v>
      </c>
      <c r="AB38" s="14">
        <f>_xll.BDP($B38&amp;" Equity","volatility_10d")</f>
        <v>106.66040214372248</v>
      </c>
      <c r="AC38" s="14" cm="1">
        <f t="array" ref="AC38">_xll.BDP(B38&amp;" EQUITY","eqy_beta")</f>
        <v>2.0639891624450684</v>
      </c>
      <c r="AD38" s="404">
        <f>Tabelad[[#This Row],[D1 P&amp;L bps]]*$AD$5/10000</f>
        <v>-1480.7349999049948</v>
      </c>
      <c r="AE38" s="337"/>
      <c r="AF38" s="509" t="str">
        <f>_xll.BDP(B38&amp;" Equity","EXPECTED_REPORT_DT")</f>
        <v>24/02/2026</v>
      </c>
      <c r="AG38" s="510">
        <f>_xll.BDP(B38&amp;" Index","CHG_PCT_1D_PRE_FROM_REGULAR")/100</f>
        <v>-5.7870580000000003E-3</v>
      </c>
      <c r="AH38" s="504">
        <f>(T38*AG38)/$AD$7*10000</f>
        <v>-1.8763904940348026E-3</v>
      </c>
      <c r="AI38" s="511" t="str">
        <f>_xll.BDP(B38&amp;" Equity","DVD_EX_DT")</f>
        <v>12/10/2017</v>
      </c>
    </row>
    <row r="39" spans="1:35">
      <c r="B39" s="40" t="s">
        <v>88</v>
      </c>
      <c r="C39" t="s">
        <v>2258</v>
      </c>
      <c r="E39" t="s">
        <v>194</v>
      </c>
      <c r="F39" s="22" t="s">
        <v>99</v>
      </c>
      <c r="G39" s="15"/>
      <c r="H39" s="456">
        <v>45750</v>
      </c>
      <c r="I39" s="36" cm="1">
        <f t="array" ref="I39">_xll.BDP(B39&amp;" Equity","LAST_PRICE")</f>
        <v>53.41</v>
      </c>
      <c r="J39" s="51">
        <f t="shared" ref="J39:J41" si="76">I39/K39-1</f>
        <v>6.4066327491991704E-3</v>
      </c>
      <c r="K39" s="438" cm="1">
        <f t="array" ref="K39">_xll.BDP(B39&amp;" EQUITY","PX_YEST_CLOSE")</f>
        <v>53.07</v>
      </c>
      <c r="L39" s="53" cm="1">
        <f t="array" ref="L39">_xll.BDP(E39&amp;" Curncy","PX_LAST")</f>
        <v>1</v>
      </c>
      <c r="M39" s="52">
        <v>1</v>
      </c>
      <c r="N39" s="15">
        <f t="shared" ref="N39:N41" si="77">IFERROR(IF(((I39/L39)*H39*M39)&lt;&gt;0,((I39/L39)*H39*M39),0),"-")</f>
        <v>2443507.5</v>
      </c>
      <c r="O39" s="357">
        <f>IFERROR(IF(Tabelad[[#This Row],[D1 Exp USD]]&lt;&gt;0,N39/$AE$7,0),"-")</f>
        <v>1.0197579931530783E-3</v>
      </c>
      <c r="P39" s="20">
        <f>IFERROR(IF(Tabelad[[#This Row],[D1 Exp USD]]&lt;&gt;0,((I39-K39)/L39*M39*H39)/$AD$7*10000,0),"-")</f>
        <v>6.491625494702169E-2</v>
      </c>
      <c r="Q39" s="15">
        <f>IF(SUM(SUMIFS(Options!$AL$4:$AL$24, Options!$D$4:$D$24, B39), SUMIFS(Options!$AL$4:$AL$24, Options!$D$4:$D$24, B39 &amp; " US"))=0,0,SUM(SUMIFS(Options!$AL$4:$AL$24, Options!$D$4:$D$24, B39), SUMIFS(Options!$AL$4:$AL$24, Options!$D$4:$D$24, B39 &amp; " US")))</f>
        <v>0</v>
      </c>
      <c r="R39" s="19">
        <f t="shared" si="31"/>
        <v>0</v>
      </c>
      <c r="S39" s="20">
        <f>IF(SUM(SUMIFS(Options!$AK$4:$AK$24, Options!$D$4:$D$24, B39), SUMIFS(Options!$AK$4:$AK$24, Options!$D$4:$D$24, B39 &amp; " US"))=0,0,SUM(SUMIFS(Options!$AK$4:$AK$24, Options!$D$4:$D$24, B39), SUMIFS(Options!AK$4:$AK$24, Options!$D$4:$D$24, B39 &amp; " US")))</f>
        <v>0</v>
      </c>
      <c r="T39" s="13">
        <f t="shared" ref="T39:T41" si="78">N39+Q39</f>
        <v>2443507.5</v>
      </c>
      <c r="U39" s="48">
        <f t="shared" ref="U39:U41" si="79">T39/$AE$7</f>
        <v>1.0197579931530783E-3</v>
      </c>
      <c r="V39" s="20">
        <f t="shared" ref="V39:V41" si="80">P39+S39</f>
        <v>6.491625494702169E-2</v>
      </c>
      <c r="W39" s="15">
        <f t="shared" ref="W39:W41" si="81">$W$10/(I39/L39*M39)</f>
        <v>11215.89639580603</v>
      </c>
      <c r="X39" s="19"/>
      <c r="Y39" s="375">
        <f>Tabelad[[#This Row],[Exp %]]*$Y$10*$AD$7/Tabelad[[#This Row],[Price Today]]</f>
        <v>16012.499999999998</v>
      </c>
      <c r="Z39" s="266">
        <f>Tabelad[[#This Row],[Vol 10d]]/16*Tabelad[[#This Row],[Exp %]]*100</f>
        <v>0.12070279496634187</v>
      </c>
      <c r="AA39" s="19">
        <f>Tabelad[[#This Row],[Exp %]]*Tabelad[[#This Row],[Beta Adj2]]</f>
        <v>1.0195902947516802E-3</v>
      </c>
      <c r="AB39" s="36">
        <f>_xll.BDP($B39&amp;" Equity","volatility_10d")</f>
        <v>18.938265082777992</v>
      </c>
      <c r="AC39" s="36">
        <f>_xll.BDP(B39&amp;" EQUITY","eqy_beta")</f>
        <v>0.9998355507850647</v>
      </c>
      <c r="AD39" s="15">
        <f>Tabelad[[#This Row],[D1 P&amp;L bps]]*$AD$5/10000</f>
        <v>14580.41850942392</v>
      </c>
      <c r="AE39" s="277"/>
      <c r="AF39" s="231" t="str">
        <f>_xll.BDP(B39&amp;" Equity","EXPECTED_REPORT_DT")</f>
        <v>#N/A N/A</v>
      </c>
      <c r="AG39" s="172">
        <f>_xll.BDP(B39&amp;" Index","CHG_PCT_1D_PRE_FROM_REGULAR")/100</f>
        <v>5.6526809999999999E-4</v>
      </c>
      <c r="AH39" s="20">
        <f t="shared" ref="AH39:AH41" si="82">(T39*AG39)/$AD$7*10000</f>
        <v>5.7643666324945358E-3</v>
      </c>
      <c r="AI39" s="455" t="str">
        <f>_xll.BDP(B39&amp;" Equity","DVD_EX_DT")</f>
        <v>22/12/2025</v>
      </c>
    </row>
    <row r="40" spans="1:35">
      <c r="B40" s="40" t="s">
        <v>2276</v>
      </c>
      <c r="C40" t="s">
        <v>2258</v>
      </c>
      <c r="E40" t="s">
        <v>194</v>
      </c>
      <c r="F40" s="22" t="s">
        <v>100</v>
      </c>
      <c r="G40" s="15"/>
      <c r="H40" s="456">
        <v>-10000</v>
      </c>
      <c r="I40" s="36" cm="1">
        <f t="array" ref="I40">_xll.BDP(B40&amp;" Equity","LAST_PRICE")</f>
        <v>23.58</v>
      </c>
      <c r="J40" s="51">
        <f t="shared" ref="J40" si="83">I40/K40-1</f>
        <v>1.6379310344827536E-2</v>
      </c>
      <c r="K40" s="438" cm="1">
        <f t="array" ref="K40">_xll.BDP(B40&amp;" EQUITY","PX_YEST_CLOSE")</f>
        <v>23.2</v>
      </c>
      <c r="L40" s="53" cm="1">
        <f t="array" ref="L40">_xll.BDP(E40&amp;" Curncy","PX_LAST")</f>
        <v>1</v>
      </c>
      <c r="M40" s="52">
        <v>1</v>
      </c>
      <c r="N40" s="15">
        <f t="shared" ref="N40" si="84">IFERROR(IF(((I40/L40)*H40*M40)&lt;&gt;0,((I40/L40)*H40*M40),0),"-")</f>
        <v>-235799.99999999997</v>
      </c>
      <c r="O40" s="357">
        <f>IFERROR(IF(Tabelad[[#This Row],[D1 Exp USD]]&lt;&gt;0,N40/$AE$7,0),"-")</f>
        <v>-9.8407283294811188E-5</v>
      </c>
      <c r="P40" s="20">
        <f>IFERROR(IF(Tabelad[[#This Row],[D1 Exp USD]]&lt;&gt;0,((I40-K40)/L40*M40*H40)/$AD$7*10000,0),"-")</f>
        <v>-1.5858680089918642E-2</v>
      </c>
      <c r="Q40" s="15">
        <f>IF(SUM(SUMIFS(Options!$AL$4:$AL$24, Options!$D$4:$D$24, B40), SUMIFS(Options!$AL$4:$AL$24, Options!$D$4:$D$24, B40 &amp; " US"))=0,0,SUM(SUMIFS(Options!$AL$4:$AL$24, Options!$D$4:$D$24, B40), SUMIFS(Options!$AL$4:$AL$24, Options!$D$4:$D$24, B40 &amp; " US")))</f>
        <v>0</v>
      </c>
      <c r="R40" s="19">
        <f t="shared" si="31"/>
        <v>0</v>
      </c>
      <c r="S40" s="20">
        <f>IF(SUM(SUMIFS(Options!$AK$4:$AK$24, Options!$D$4:$D$24, B40), SUMIFS(Options!$AK$4:$AK$24, Options!$D$4:$D$24, B40 &amp; " US"))=0,0,SUM(SUMIFS(Options!$AK$4:$AK$24, Options!$D$4:$D$24, B40), SUMIFS(Options!AK$4:$AK$24, Options!$D$4:$D$24, B40 &amp; " US")))</f>
        <v>0</v>
      </c>
      <c r="T40" s="13">
        <f t="shared" ref="T40" si="85">N40+Q40</f>
        <v>-235799.99999999997</v>
      </c>
      <c r="U40" s="48">
        <f t="shared" ref="U40" si="86">T40/$AE$7</f>
        <v>-9.8407283294811188E-5</v>
      </c>
      <c r="V40" s="20">
        <f t="shared" ref="V40" si="87">P40+S40</f>
        <v>-1.5858680089918642E-2</v>
      </c>
      <c r="W40" s="15">
        <f t="shared" ref="W40" si="88">$W$10/(I40/L40*M40)</f>
        <v>25404.623685326551</v>
      </c>
      <c r="X40" s="19"/>
      <c r="Y40" s="375">
        <f>Tabelad[[#This Row],[Exp %]]*$Y$10*$AD$7/Tabelad[[#This Row],[Price Today]]</f>
        <v>-3499.9999999999995</v>
      </c>
      <c r="Z40" s="266">
        <f>Tabelad[[#This Row],[Vol 10d]]/16*Tabelad[[#This Row],[Exp %]]*100</f>
        <v>-2.8352390685987685E-2</v>
      </c>
      <c r="AA40" s="19">
        <f>Tabelad[[#This Row],[Exp %]]*Tabelad[[#This Row],[Beta Adj2]]</f>
        <v>-3.616157151595546E-5</v>
      </c>
      <c r="AB40" s="36">
        <f>_xll.BDP($B40&amp;" Equity","volatility_10d")</f>
        <v>46.098036221239973</v>
      </c>
      <c r="AC40" s="36">
        <f>_xll.BDP(B40&amp;" EQUITY","eqy_beta")</f>
        <v>0.3674684464931488</v>
      </c>
      <c r="AD40" s="15">
        <f>Tabelad[[#This Row],[D1 P&amp;L bps]]*$AD$5/10000</f>
        <v>-3561.9151614150664</v>
      </c>
      <c r="AE40" s="277"/>
      <c r="AF40" s="231" t="str">
        <f>_xll.BDP(B40&amp;" Equity","EXPECTED_REPORT_DT")</f>
        <v>11/02/2026</v>
      </c>
      <c r="AG40" s="172" t="e">
        <f>_xll.BDP(B40&amp;" Index","CHG_PCT_1D_PRE_FROM_REGULAR")/100</f>
        <v>#VALUE!</v>
      </c>
      <c r="AH40" s="20" t="e">
        <f t="shared" ref="AH40" si="89">(T40*AG40)/$AD$7*10000</f>
        <v>#VALUE!</v>
      </c>
      <c r="AI40" s="455" t="str">
        <f>_xll.BDP(B40&amp;" Equity","DVD_EX_DT")</f>
        <v>28/11/2025</v>
      </c>
    </row>
    <row r="41" spans="1:35">
      <c r="B41" s="40" t="s">
        <v>4</v>
      </c>
      <c r="C41" t="s">
        <v>2258</v>
      </c>
      <c r="E41" t="s">
        <v>194</v>
      </c>
      <c r="F41" s="22" t="s">
        <v>100</v>
      </c>
      <c r="G41" s="15"/>
      <c r="H41" s="456">
        <v>-27500</v>
      </c>
      <c r="I41" s="36" cm="1">
        <f t="array" ref="I41">_xll.BDP(B41&amp;" Equity","LAST_PRICE")</f>
        <v>82.78</v>
      </c>
      <c r="J41" s="51">
        <f t="shared" si="76"/>
        <v>-1.5679652635387509E-3</v>
      </c>
      <c r="K41" s="438" cm="1">
        <f t="array" ref="K41">_xll.BDP(B41&amp;" EQUITY","PX_YEST_CLOSE")</f>
        <v>82.91</v>
      </c>
      <c r="L41" s="53" cm="1">
        <f t="array" ref="L41">_xll.BDP(E41&amp;" Curncy","PX_LAST")</f>
        <v>1</v>
      </c>
      <c r="M41" s="52">
        <v>1</v>
      </c>
      <c r="N41" s="15">
        <f t="shared" si="77"/>
        <v>-2276450</v>
      </c>
      <c r="O41" s="357">
        <f>IFERROR(IF(Tabelad[[#This Row],[D1 Exp USD]]&lt;&gt;0,N41/$AE$7,0),"-")</f>
        <v>-9.500392708077733E-4</v>
      </c>
      <c r="P41" s="20">
        <f>IFERROR(IF(Tabelad[[#This Row],[D1 Exp USD]]&lt;&gt;0,((I41-K41)/L41*M41*H41)/$AD$7*10000,0),"-")</f>
        <v>1.4919679295120345E-2</v>
      </c>
      <c r="Q41" s="15">
        <f>IF(SUM(SUMIFS(Options!$AL$4:$AL$24, Options!$D$4:$D$24, B41), SUMIFS(Options!$AL$4:$AL$24, Options!$D$4:$D$24, B41 &amp; " US"))=0,0,SUM(SUMIFS(Options!$AL$4:$AL$24, Options!$D$4:$D$24, B41), SUMIFS(Options!$AL$4:$AL$24, Options!$D$4:$D$24, B41 &amp; " US")))</f>
        <v>0</v>
      </c>
      <c r="R41" s="19">
        <f t="shared" si="31"/>
        <v>0</v>
      </c>
      <c r="S41" s="20">
        <f>IF(SUM(SUMIFS(Options!$AK$4:$AK$24, Options!$D$4:$D$24, B41), SUMIFS(Options!$AK$4:$AK$24, Options!$D$4:$D$24, B41 &amp; " US"))=0,0,SUM(SUMIFS(Options!$AK$4:$AK$24, Options!$D$4:$D$24, B41), SUMIFS(Options!AK$4:$AK$24, Options!$D$4:$D$24, B41 &amp; " US")))</f>
        <v>0</v>
      </c>
      <c r="T41" s="13">
        <f t="shared" si="78"/>
        <v>-2276450</v>
      </c>
      <c r="U41" s="48">
        <f t="shared" si="79"/>
        <v>-9.500392708077733E-4</v>
      </c>
      <c r="V41" s="20">
        <f t="shared" si="80"/>
        <v>1.4919679295120345E-2</v>
      </c>
      <c r="W41" s="15">
        <f t="shared" si="81"/>
        <v>7236.5429632761543</v>
      </c>
      <c r="X41" s="19"/>
      <c r="Y41" s="375">
        <f>Tabelad[[#This Row],[Exp %]]*$Y$10*$AD$7/Tabelad[[#This Row],[Price Today]]</f>
        <v>-9624.9999999999982</v>
      </c>
      <c r="Z41" s="266">
        <f>Tabelad[[#This Row],[Vol 10d]]/16*Tabelad[[#This Row],[Exp %]]*100</f>
        <v>-5.6989737436891674E-2</v>
      </c>
      <c r="AA41" s="19">
        <f>Tabelad[[#This Row],[Exp %]]*Tabelad[[#This Row],[Beta Adj2]]</f>
        <v>-9.5304105499804178E-4</v>
      </c>
      <c r="AB41" s="36">
        <f>_xll.BDP($B41&amp;" Equity","volatility_10d")</f>
        <v>9.5978748143218962</v>
      </c>
      <c r="AC41" s="36">
        <f>_xll.BDP(B41&amp;" EQUITY","eqy_beta")</f>
        <v>1.0031596422195435</v>
      </c>
      <c r="AD41" s="15">
        <f>Tabelad[[#This Row],[D1 P&amp;L bps]]*$AD$5/10000</f>
        <v>3351.0122900153815</v>
      </c>
      <c r="AE41" s="277"/>
      <c r="AF41" s="231" t="str">
        <f>_xll.BDP(B41&amp;" Equity","EXPECTED_REPORT_DT")</f>
        <v>#N/A N/A</v>
      </c>
      <c r="AG41" s="172">
        <f>_xll.BDP(B41&amp;" Index","CHG_PCT_1D_PRE_FROM_REGULAR")/100</f>
        <v>1.688571E-3</v>
      </c>
      <c r="AH41" s="20">
        <f t="shared" si="82"/>
        <v>-1.6042087615471528E-2</v>
      </c>
      <c r="AI41" s="455" t="str">
        <f>_xll.BDP(B41&amp;" Equity","DVD_EX_DT")</f>
        <v>22/12/2025</v>
      </c>
    </row>
    <row r="42" spans="1:35">
      <c r="C42" s="40"/>
      <c r="D42" s="40"/>
      <c r="E42" s="40"/>
      <c r="H42" s="13"/>
      <c r="I42" s="53"/>
      <c r="K42" s="53"/>
      <c r="L42" s="53"/>
      <c r="M42" s="36"/>
      <c r="S42" s="277"/>
      <c r="U42" s="71"/>
      <c r="V42" s="65"/>
      <c r="X42" s="53"/>
      <c r="Y42" s="453"/>
      <c r="Z42" s="19"/>
      <c r="AG42" s="53"/>
      <c r="AI42" s="48"/>
    </row>
    <row r="43" spans="1:35">
      <c r="C43" s="21"/>
      <c r="D43" s="21"/>
      <c r="E43" s="21"/>
      <c r="H43" s="13"/>
      <c r="L43" s="3"/>
      <c r="S43" s="276"/>
    </row>
    <row r="44" spans="1:35">
      <c r="C44" s="21"/>
      <c r="D44" s="21"/>
      <c r="E44" s="21"/>
      <c r="H44" s="13"/>
      <c r="L44" s="3"/>
      <c r="S44" s="276"/>
    </row>
    <row r="45" spans="1:35">
      <c r="C45" s="21"/>
      <c r="D45" s="21"/>
      <c r="E45" s="21"/>
      <c r="H45" s="13"/>
      <c r="L45" s="3"/>
      <c r="S45" s="276"/>
    </row>
    <row r="46" spans="1:35">
      <c r="C46" s="21"/>
      <c r="D46" s="21"/>
      <c r="E46" s="21"/>
      <c r="H46" s="13"/>
      <c r="S46" s="276"/>
    </row>
    <row r="47" spans="1:35">
      <c r="C47" s="21"/>
      <c r="D47" s="21"/>
      <c r="E47" s="21"/>
      <c r="H47" s="13"/>
      <c r="S47" s="276"/>
    </row>
    <row r="48" spans="1:35">
      <c r="C48" s="21"/>
      <c r="D48" s="21"/>
      <c r="E48" s="21"/>
      <c r="H48" s="13"/>
    </row>
    <row r="49" spans="3:5">
      <c r="C49" s="21"/>
      <c r="D49" s="21"/>
      <c r="E49" s="21"/>
    </row>
    <row r="50" spans="3:5">
      <c r="C50" s="21"/>
      <c r="D50" s="21"/>
      <c r="E50" s="21"/>
    </row>
    <row r="51" spans="3:5">
      <c r="C51" s="21"/>
      <c r="D51" s="21"/>
      <c r="E51" s="21"/>
    </row>
    <row r="52" spans="3:5">
      <c r="C52" s="21"/>
      <c r="D52" s="21"/>
      <c r="E52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5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51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1">
    <cfRule type="dataBar" priority="55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1">
    <cfRule type="colorScale" priority="55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1">
    <cfRule type="dataBar" priority="5519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1">
    <cfRule type="colorScale" priority="55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1">
    <cfRule type="colorScale" priority="552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1">
    <cfRule type="colorScale" priority="55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1">
    <cfRule type="colorScale" priority="55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AB12:AB41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3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B25" sqref="B25"/>
    </sheetView>
  </sheetViews>
  <sheetFormatPr defaultRowHeight="15" outlineLevelCol="1"/>
  <cols>
    <col min="1" max="1" width="3.5703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1.5459351722005521E-2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SUM(V4:V24)</f>
        <v>20.52772590860269</v>
      </c>
      <c r="W1" s="50">
        <f>SUM(W4:W24)</f>
        <v>18.990685940940303</v>
      </c>
      <c r="X1" s="50">
        <f>SUM(X4:X24)</f>
        <v>13.349999999999994</v>
      </c>
      <c r="Y1" s="269"/>
      <c r="AG1" s="43"/>
      <c r="AI1" s="415">
        <f>SUM(AI4:AI24)*252</f>
        <v>-12.967623855087517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2124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 s="59" customFormat="1">
      <c r="A4" s="356"/>
      <c r="B4" t="s">
        <v>2308</v>
      </c>
      <c r="C4" t="str" cm="1">
        <f t="array" ref="C4">_xll.BDP($B4&amp;" Equity","opt_put_call")</f>
        <v>Call</v>
      </c>
      <c r="D4" t="str" cm="1">
        <f t="array" ref="D4">_xll.BDP(B4&amp;" Equity","OPT_UNDL_TICKER")</f>
        <v>AMZN US</v>
      </c>
      <c r="E4" t="str" cm="1">
        <f t="array" ref="E4">_xll.BDP($B4&amp;" Equity","mifid_Maturity_date")</f>
        <v>17/07/2026</v>
      </c>
      <c r="F4" cm="1">
        <f t="array" ref="F4">_xll.BDP($B4&amp;" Equity","opt_days_expire")</f>
        <v>172</v>
      </c>
      <c r="G4" t="str" cm="1">
        <f t="array" ref="G4">_xll.BDP(B4&amp;" Equity","QUOTED_CURRENCY_REALTIME")</f>
        <v>USD</v>
      </c>
      <c r="H4" s="15">
        <v>50</v>
      </c>
      <c r="I4" s="410">
        <v>19.59</v>
      </c>
      <c r="J4" s="14">
        <f>VLOOKUP(B4,Precificação!$B:$O,14,FALSE)</f>
        <v>22.049999999999997</v>
      </c>
      <c r="K4" s="14">
        <f t="shared" ref="K4" si="0">+J4</f>
        <v>22.049999999999997</v>
      </c>
      <c r="L4" s="74" cm="1">
        <f t="array" ref="L4">_xll.BDP($B4&amp;" Equity","mid")</f>
        <v>21.45</v>
      </c>
      <c r="M4" s="19">
        <f t="shared" ref="M4:M24" si="1">L4/Z4</f>
        <v>8.996728462377318E-2</v>
      </c>
      <c r="N4" s="350"/>
      <c r="O4" s="19">
        <f t="shared" ref="O4:O24" si="2">L4/K4-1</f>
        <v>-2.7210884353741416E-2</v>
      </c>
      <c r="P4" s="36" cm="1">
        <f t="array" ref="P4">_xll.BDP($B4&amp;" Equity","bid")</f>
        <v>21.35</v>
      </c>
      <c r="Q4" s="36" cm="1">
        <f t="array" ref="Q4">_xll.BDP($B4&amp;" Equity","ask")</f>
        <v>21.55</v>
      </c>
      <c r="R4" s="40">
        <f t="shared" ref="R4:R24" si="3">(Q4/P4-1)</f>
        <v>9.3676814988290502E-3</v>
      </c>
      <c r="S4" s="36" cm="1">
        <f t="array" ref="S4">_xll.BDP(G4&amp;" Curncy","PX_LAST")</f>
        <v>1</v>
      </c>
      <c r="T4" s="15" cm="1">
        <f t="array" ref="T4">_xll.BDP(B4&amp;" Equity","OPT_MULTIPLIER")</f>
        <v>100</v>
      </c>
      <c r="U4" s="15">
        <f t="shared" ref="U4:U24" si="4">(L4/S4)*H4*T4</f>
        <v>107250</v>
      </c>
      <c r="V4" s="124">
        <f>U4/'Master P&amp;L'!$AD$7*10000</f>
        <v>0.44759037885362596</v>
      </c>
      <c r="W4" s="124">
        <f>(Y4*H4*T4/S4)/'Master P&amp;L'!$AD$7*10000</f>
        <v>0.44759037885362596</v>
      </c>
      <c r="X4" s="413">
        <f t="shared" ref="X4:X24" si="5">IF(C4="Put",IF(Z4&lt;AA4,AA4-Z4,0),IF(Z4&gt;AA4,Z4-AA4,0))</f>
        <v>0</v>
      </c>
      <c r="Y4" s="273">
        <f t="shared" ref="Y4:Y24" si="6">L4-X4</f>
        <v>21.45</v>
      </c>
      <c r="Z4" s="37">
        <f>_xll.BDP(D4&amp;" Equity","LAST_PRICE")</f>
        <v>238.42</v>
      </c>
      <c r="AA4" s="37" cm="1">
        <f t="array" ref="AA4">_xll.BDP(B4&amp;" Equity","OPT_STRIKE_PX")</f>
        <v>245</v>
      </c>
      <c r="AB4" s="40">
        <f t="shared" ref="AB4:AB24" si="7">AA4/Z4-1</f>
        <v>2.7598355842630706E-2</v>
      </c>
      <c r="AC4" s="324" cm="1">
        <f t="array" ref="AC4">_xll.BDP($D4&amp;" Equity","volatility_10d")</f>
        <v>29.060906979168021</v>
      </c>
      <c r="AD4" s="37" cm="1">
        <f t="array" ref="AD4">_xll.BDP(B4&amp;" Equity","ivol_mid")</f>
        <v>34.57291</v>
      </c>
      <c r="AE4" s="37">
        <f t="shared" ref="AE4:AE24" si="8">AD4/AC4</f>
        <v>1.1896707155349004</v>
      </c>
      <c r="AF4" s="38" cm="1">
        <f t="array" ref="AF4">_xll.BDP(B4&amp;" Equity","DELTA_MID_RT")</f>
        <v>0.53025108575820923</v>
      </c>
      <c r="AG4" s="19">
        <f>AL4/'Master P&amp;L'!$AE$7</f>
        <v>2.6380176455759045E-4</v>
      </c>
      <c r="AH4" s="19">
        <f>AM4/'Master P&amp;L'!$AE$7</f>
        <v>4.9750348776821216E-4</v>
      </c>
      <c r="AI4" s="434">
        <f>AO4/'Master P&amp;L'!$AD$7*10000</f>
        <v>-1.3189256571553658E-3</v>
      </c>
      <c r="AJ4" s="350">
        <f t="shared" ref="AJ4:AJ24" si="9">(252*AI4)/$AI$1</f>
        <v>2.5630699140980678E-2</v>
      </c>
      <c r="AK4" s="38">
        <f>AP4/'Master P&amp;L'!$AD$7*10000</f>
        <v>-1.2520010597304178E-2</v>
      </c>
      <c r="AL4" s="15">
        <f t="shared" ref="AL4:AL24" si="10">Z4*AF4*H4*T4/S4</f>
        <v>632112.31933236122</v>
      </c>
      <c r="AM4" s="15">
        <f t="shared" ref="AM4:AM24" si="11">IF(C4="Put",-Z4*H4*T4/S4,Z4*H4*T4/S4)</f>
        <v>1192100</v>
      </c>
      <c r="AN4" s="38" cm="1">
        <f t="array" ref="AN4">_xll.BDP($B4&amp;" Equity","theta_mid_rt")</f>
        <v>-6.3207246363162994E-2</v>
      </c>
      <c r="AO4" s="15">
        <f t="shared" ref="AO4:AO24" si="12">AN4*H4*T4/S4</f>
        <v>-316.03623181581497</v>
      </c>
      <c r="AP4" s="15">
        <f t="shared" ref="AP4:AP24" si="13">(L4-K4)*T4/S4*H4</f>
        <v>-2999.9999999999895</v>
      </c>
      <c r="AQ4" s="36" t="str" cm="1">
        <f t="array" ref="AQ4">_xll.BDP($D4&amp;" Equity","EXPECTED_REPORT_DT")</f>
        <v>05/02/2026</v>
      </c>
      <c r="AR4" s="66" cm="1">
        <f t="array" ref="AR4">_xll.BDP($B4&amp;" Equity","GAMMA_LAST")</f>
        <v>1.6722999999999998E-2</v>
      </c>
      <c r="AS4">
        <f t="shared" ref="AS4:AS24" si="14">$Z4*($AR4*$Z4*$AS$3)*$H4*$T4/$S4</f>
        <v>47530.191204859992</v>
      </c>
      <c r="AT4">
        <f t="shared" ref="AT4:AT24" si="15">$Z4*($AR4*$Z4*$AT$3)*$H4*$T4/$S4</f>
        <v>237650.95602429996</v>
      </c>
      <c r="AU4" t="s">
        <v>151</v>
      </c>
      <c r="AV4" s="277" cm="1">
        <f t="array" ref="AV4">_xll.BDP($D4&amp;" Equity","EST_PE_NXT_YR")*(AA4/Z4)</f>
        <v>26.424036510721489</v>
      </c>
      <c r="AW4"/>
      <c r="AX4" s="15"/>
      <c r="AY4" s="15">
        <v>21.45</v>
      </c>
      <c r="AZ4" s="355"/>
      <c r="BA4" s="15">
        <f t="shared" ref="BA4:BA24" si="16">+AY4</f>
        <v>21.45</v>
      </c>
      <c r="BB4" s="414">
        <f t="shared" ref="BB4:BB24" si="17">+J4</f>
        <v>22.049999999999997</v>
      </c>
      <c r="BC4" s="414">
        <f t="shared" ref="BC4:BC24" si="18">(BB4-BA4)*H4*100</f>
        <v>2999.9999999999895</v>
      </c>
      <c r="BD4" s="414">
        <f>BC4/'Master P&amp;L'!$AD$7*10000</f>
        <v>1.2520010597304178E-2</v>
      </c>
    </row>
    <row r="5" spans="1:56">
      <c r="A5" s="335"/>
      <c r="B5" s="73" t="s">
        <v>2227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ASHR US</v>
      </c>
      <c r="E5" s="73" t="str" cm="1">
        <f t="array" ref="E5">_xll.BDP($B5&amp;" Equity","mifid_Maturity_date")</f>
        <v>20/02/2026</v>
      </c>
      <c r="F5" s="73" cm="1">
        <f t="array" ref="F5">_xll.BDP($B5&amp;" Equity","opt_days_expire")</f>
        <v>25</v>
      </c>
      <c r="G5" s="73" t="str" cm="1">
        <f t="array" ref="G5">_xll.BDP(B5&amp;" Equity","QUOTED_CURRENCY_REALTIME")</f>
        <v>USD</v>
      </c>
      <c r="H5" s="42">
        <v>2000</v>
      </c>
      <c r="I5" s="409">
        <v>0.48</v>
      </c>
      <c r="J5" s="14">
        <f>VLOOKUP(B5,Precificação!$B:$O,14,FALSE)</f>
        <v>0.23729489812379725</v>
      </c>
      <c r="K5" s="14">
        <f t="shared" ref="K5:K24" si="19">+J5</f>
        <v>0.23729489812379725</v>
      </c>
      <c r="L5" s="74" cm="1">
        <f t="array" ref="L5">_xll.BDP($B5&amp;" Equity","mid")</f>
        <v>0.24</v>
      </c>
      <c r="M5" s="75">
        <f t="shared" si="1"/>
        <v>7.1216617210682481E-3</v>
      </c>
      <c r="N5" s="352"/>
      <c r="O5" s="75">
        <f t="shared" si="2"/>
        <v>1.1399747308479702E-2</v>
      </c>
      <c r="P5" s="74" cm="1">
        <f t="array" ref="P5">_xll.BDP($B5&amp;" Equity","bid")</f>
        <v>0.22</v>
      </c>
      <c r="Q5" s="74" cm="1">
        <f t="array" ref="Q5">_xll.BDP($B5&amp;" Equity","ask")</f>
        <v>0.26</v>
      </c>
      <c r="R5" s="76">
        <f t="shared" si="3"/>
        <v>0.18181818181818188</v>
      </c>
      <c r="S5" s="36" cm="1">
        <f t="array" ref="S5">_xll.BDP(G5&amp;" Curncy","PX_LAST")</f>
        <v>1</v>
      </c>
      <c r="T5" s="42" cm="1">
        <f t="array" ref="T5">_xll.BDP(B5&amp;" Equity","OPT_MULTIPLIER")</f>
        <v>100</v>
      </c>
      <c r="U5" s="42">
        <f t="shared" si="4"/>
        <v>48000</v>
      </c>
      <c r="V5" s="113">
        <f>U5/'Master P&amp;L'!$AD$7*10000</f>
        <v>0.20032016955686757</v>
      </c>
      <c r="W5" s="113">
        <f>(Y5*H5*T5/S5)/'Master P&amp;L'!$AD$7*10000</f>
        <v>0.20032016955686757</v>
      </c>
      <c r="X5" s="118">
        <f t="shared" si="5"/>
        <v>0</v>
      </c>
      <c r="Y5" s="272">
        <f t="shared" si="6"/>
        <v>0.24</v>
      </c>
      <c r="Z5" s="77">
        <f>_xll.BDP(D5&amp;" Equity","LAST_PRICE")</f>
        <v>33.700000000000003</v>
      </c>
      <c r="AA5" s="77" cm="1">
        <f t="array" ref="AA5">_xll.BDP(B5&amp;" Equity","OPT_STRIKE_PX")</f>
        <v>35</v>
      </c>
      <c r="AB5" s="76">
        <f t="shared" si="7"/>
        <v>3.8575667655786239E-2</v>
      </c>
      <c r="AC5" s="323" cm="1">
        <f t="array" ref="AC5">_xll.BDP($D5&amp;" Equity","volatility_10d")</f>
        <v>12.307458446551561</v>
      </c>
      <c r="AD5" s="77" cm="1">
        <f t="array" ref="AD5">_xll.BDP(B5&amp;" Equity","ivol_mid")</f>
        <v>19.184940000000001</v>
      </c>
      <c r="AE5" s="77">
        <f t="shared" si="8"/>
        <v>1.5588059942120258</v>
      </c>
      <c r="AF5" s="78" cm="1">
        <f t="array" ref="AF5">_xll.BDP(B5&amp;" Equity","DELTA_MID_RT")</f>
        <v>0.24486030638217926</v>
      </c>
      <c r="AG5" s="75">
        <f>AL5/'Master P&amp;L'!$AE$7</f>
        <v>6.8875018237832188E-4</v>
      </c>
      <c r="AH5" s="75">
        <f>AM5/'Master P&amp;L'!$AE$7</f>
        <v>2.8128290475276821E-3</v>
      </c>
      <c r="AI5" s="435">
        <f>AO5/'Master P&amp;L'!$AD$7*10000</f>
        <v>-8.579454039602941E-3</v>
      </c>
      <c r="AJ5" s="350">
        <f t="shared" si="9"/>
        <v>0.1667246399294445</v>
      </c>
      <c r="AK5" s="78">
        <f>AP5/'Master P&amp;L'!$AD$7*10000</f>
        <v>2.2578602771230532E-3</v>
      </c>
      <c r="AL5" s="42">
        <f t="shared" si="10"/>
        <v>1650358.4650158887</v>
      </c>
      <c r="AM5" s="42">
        <f t="shared" si="11"/>
        <v>6740000</v>
      </c>
      <c r="AN5" s="78" cm="1">
        <f t="array" ref="AN5">_xll.BDP($B5&amp;" Equity","theta_mid_rt")</f>
        <v>-1.0278889909386635E-2</v>
      </c>
      <c r="AO5" s="42">
        <f t="shared" si="12"/>
        <v>-2055.777981877327</v>
      </c>
      <c r="AP5" s="42">
        <f t="shared" si="13"/>
        <v>541.02037524054731</v>
      </c>
      <c r="AQ5" s="74" t="str" cm="1">
        <f t="array" ref="AQ5">_xll.BDP($D5&amp;" Equity","EXPECTED_REPORT_DT")</f>
        <v>#N/A N/A</v>
      </c>
      <c r="AR5" s="235" cm="1">
        <f t="array" ref="AR5">_xll.BDP($B5&amp;" Equity","GAMMA_LAST")</f>
        <v>6.3404000000000002E-2</v>
      </c>
      <c r="AS5" s="73">
        <f t="shared" si="14"/>
        <v>144014.57752000002</v>
      </c>
      <c r="AT5" s="73">
        <f t="shared" si="15"/>
        <v>720072.88760000025</v>
      </c>
      <c r="AU5" s="73" t="s">
        <v>151</v>
      </c>
      <c r="AV5" s="322" t="e" cm="1">
        <f t="array" ref="AV5">_xll.BDP($D5&amp;" Equity","EST_PE_NXT_YR")*(AA5/Z5)</f>
        <v>#VALUE!</v>
      </c>
      <c r="AW5" s="73"/>
      <c r="AX5" s="42"/>
      <c r="AY5" s="42">
        <v>0.24</v>
      </c>
      <c r="AZ5" s="354"/>
      <c r="BA5" s="42">
        <f t="shared" si="16"/>
        <v>0.24</v>
      </c>
      <c r="BB5" s="346">
        <f t="shared" si="17"/>
        <v>0.23729489812379725</v>
      </c>
      <c r="BC5" s="346">
        <f t="shared" si="18"/>
        <v>-541.02037524054742</v>
      </c>
      <c r="BD5" s="346">
        <f>BC5/'Master P&amp;L'!$AD$7*10000</f>
        <v>-2.2578602771230537E-3</v>
      </c>
    </row>
    <row r="6" spans="1:56" s="59" customFormat="1">
      <c r="A6" s="356"/>
      <c r="B6" t="s">
        <v>2105</v>
      </c>
      <c r="C6" t="str" cm="1">
        <f t="array" ref="C6">_xll.BDP($B6&amp;" Equity","opt_put_call")</f>
        <v>Call</v>
      </c>
      <c r="D6" t="str" cm="1">
        <f t="array" ref="D6">_xll.BDP(B6&amp;" Equity","OPT_UNDL_TICKER")</f>
        <v>AVGO US</v>
      </c>
      <c r="E6" t="str" cm="1">
        <f t="array" ref="E6">_xll.BDP($B6&amp;" Equity","mifid_Maturity_date")</f>
        <v>18/06/2026</v>
      </c>
      <c r="F6" cm="1">
        <f t="array" ref="F6">_xll.BDP($B6&amp;" Equity","opt_days_expire")</f>
        <v>143</v>
      </c>
      <c r="G6" t="str" cm="1">
        <f t="array" ref="G6">_xll.BDP(B6&amp;" Equity","QUOTED_CURRENCY_REALTIME")</f>
        <v>USD</v>
      </c>
      <c r="H6" s="15">
        <v>120</v>
      </c>
      <c r="I6" s="410">
        <v>37.5</v>
      </c>
      <c r="J6" s="14">
        <f>VLOOKUP(B6,Precificação!$B:$O,14,FALSE)</f>
        <v>30.074999999999999</v>
      </c>
      <c r="K6" s="14">
        <f t="shared" si="19"/>
        <v>30.074999999999999</v>
      </c>
      <c r="L6" s="74" cm="1">
        <f t="array" ref="L6">_xll.BDP($B6&amp;" Equity","mid")</f>
        <v>31.88</v>
      </c>
      <c r="M6" s="19">
        <f t="shared" si="1"/>
        <v>9.8137601970140056E-2</v>
      </c>
      <c r="N6" s="350"/>
      <c r="O6" s="19">
        <f t="shared" si="2"/>
        <v>6.0016625103906929E-2</v>
      </c>
      <c r="P6" s="36" cm="1">
        <f t="array" ref="P6">_xll.BDP($B6&amp;" Equity","bid")</f>
        <v>31.75</v>
      </c>
      <c r="Q6" s="36" cm="1">
        <f t="array" ref="Q6">_xll.BDP($B6&amp;" Equity","ask")</f>
        <v>32</v>
      </c>
      <c r="R6" s="40">
        <f t="shared" si="3"/>
        <v>7.8740157480314821E-3</v>
      </c>
      <c r="S6" s="36" cm="1">
        <f t="array" ref="S6">_xll.BDP(G6&amp;" Curncy","PX_LAST")</f>
        <v>1</v>
      </c>
      <c r="T6" s="15" cm="1">
        <f t="array" ref="T6">_xll.BDP(B6&amp;" Equity","OPT_MULTIPLIER")</f>
        <v>100</v>
      </c>
      <c r="U6" s="15">
        <f t="shared" si="4"/>
        <v>382560</v>
      </c>
      <c r="V6" s="124">
        <f>U6/'Master P&amp;L'!$AD$7*10000</f>
        <v>1.5965517513682346</v>
      </c>
      <c r="W6" s="124">
        <f>(Y6*H6*T6/S6)/'Master P&amp;L'!$AD$7*10000</f>
        <v>1.5965517513682346</v>
      </c>
      <c r="X6" s="413">
        <f t="shared" si="5"/>
        <v>0</v>
      </c>
      <c r="Y6" s="273">
        <f t="shared" si="6"/>
        <v>31.88</v>
      </c>
      <c r="Z6" s="37">
        <f>_xll.BDP(D6&amp;" Equity","LAST_PRICE")</f>
        <v>324.85000000000002</v>
      </c>
      <c r="AA6" s="37" cm="1">
        <f t="array" ref="AA6">_xll.BDP(B6&amp;" Equity","OPT_STRIKE_PX")</f>
        <v>350</v>
      </c>
      <c r="AB6" s="40">
        <f t="shared" si="7"/>
        <v>7.7420347852855009E-2</v>
      </c>
      <c r="AC6" s="324" cm="1">
        <f t="array" ref="AC6">_xll.BDP($D6&amp;" Equity","volatility_10d")</f>
        <v>43.514533323872058</v>
      </c>
      <c r="AD6" s="37" cm="1">
        <f t="array" ref="AD6">_xll.BDP(B6&amp;" Equity","ivol_mid")</f>
        <v>49.1843</v>
      </c>
      <c r="AE6" s="37">
        <f t="shared" si="8"/>
        <v>1.1302959320264043</v>
      </c>
      <c r="AF6" s="38" cm="1">
        <f t="array" ref="AF6">_xll.BDP(B6&amp;" Equity","DELTA_MID_RT")</f>
        <v>0.48487547039985657</v>
      </c>
      <c r="AG6" s="19">
        <f>AL6/'Master P&amp;L'!$AE$7</f>
        <v>7.8881974484961293E-4</v>
      </c>
      <c r="AH6" s="19">
        <f>AM6/'Master P&amp;L'!$AE$7</f>
        <v>1.6268501770137108E-3</v>
      </c>
      <c r="AI6" s="434">
        <f>AO6/'Master P&amp;L'!$AD$7*10000</f>
        <v>-6.8350840630035372E-3</v>
      </c>
      <c r="AJ6" s="350">
        <f t="shared" si="9"/>
        <v>0.13282627589488072</v>
      </c>
      <c r="AK6" s="38">
        <f>AP6/'Master P&amp;L'!$AD$7*10000</f>
        <v>9.0394476512536473E-2</v>
      </c>
      <c r="AL6" s="15">
        <f t="shared" si="10"/>
        <v>1890141.5587127209</v>
      </c>
      <c r="AM6" s="15">
        <f t="shared" si="11"/>
        <v>3898200</v>
      </c>
      <c r="AN6" s="38" cm="1">
        <f t="array" ref="AN6">_xll.BDP($B6&amp;" Equity","theta_mid_rt")</f>
        <v>-0.13648319244384766</v>
      </c>
      <c r="AO6" s="15">
        <f t="shared" si="12"/>
        <v>-1637.7983093261719</v>
      </c>
      <c r="AP6" s="15">
        <f t="shared" si="13"/>
        <v>21659.999999999996</v>
      </c>
      <c r="AQ6" s="36" t="str" cm="1">
        <f t="array" ref="AQ6">_xll.BDP($D6&amp;" Equity","EXPECTED_REPORT_DT")</f>
        <v>06/03/2026</v>
      </c>
      <c r="AR6" s="66" cm="1">
        <f t="array" ref="AR6">_xll.BDP($B6&amp;" Equity","GAMMA_LAST")</f>
        <v>1.2852000000000001E-2</v>
      </c>
      <c r="AS6">
        <f t="shared" si="14"/>
        <v>162748.76630040005</v>
      </c>
      <c r="AT6">
        <f t="shared" si="15"/>
        <v>813743.83150200022</v>
      </c>
      <c r="AU6" t="s">
        <v>151</v>
      </c>
      <c r="AV6" s="277" cm="1">
        <f t="array" ref="AV6">_xll.BDP($D6&amp;" Equity","EST_PE_NXT_YR")*(AA6/Z6)</f>
        <v>24.956136657068363</v>
      </c>
      <c r="AW6"/>
      <c r="AX6" s="15"/>
      <c r="AY6" s="15">
        <v>31.88</v>
      </c>
      <c r="AZ6" s="355"/>
      <c r="BA6" s="15">
        <f t="shared" si="16"/>
        <v>31.88</v>
      </c>
      <c r="BB6" s="414">
        <f t="shared" si="17"/>
        <v>30.074999999999999</v>
      </c>
      <c r="BC6" s="414">
        <f t="shared" si="18"/>
        <v>-21659.999999999996</v>
      </c>
      <c r="BD6" s="414">
        <f>BC6/'Master P&amp;L'!$AD$7*10000</f>
        <v>-9.0394476512536473E-2</v>
      </c>
    </row>
    <row r="7" spans="1:56">
      <c r="A7" s="335"/>
      <c r="B7" s="73" t="s">
        <v>2274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GDX US</v>
      </c>
      <c r="E7" s="73" t="str" cm="1">
        <f t="array" ref="E7">_xll.BDP($B7&amp;" Equity","mifid_Maturity_date")</f>
        <v>18/09/2026</v>
      </c>
      <c r="F7" s="73" cm="1">
        <f t="array" ref="F7">_xll.BDP($B7&amp;" Equity","opt_days_expire")</f>
        <v>235</v>
      </c>
      <c r="G7" s="73" t="str" cm="1">
        <f t="array" ref="G7">_xll.BDP(B7&amp;" Equity","QUOTED_CURRENCY_REALTIME")</f>
        <v>USD</v>
      </c>
      <c r="H7" s="42">
        <v>1100</v>
      </c>
      <c r="I7" s="409">
        <v>14.73</v>
      </c>
      <c r="J7" s="14">
        <f>VLOOKUP(B7,Precificação!$B:$O,14,FALSE)</f>
        <v>16.700000000000003</v>
      </c>
      <c r="K7" s="14">
        <f t="shared" si="19"/>
        <v>16.700000000000003</v>
      </c>
      <c r="L7" s="74" cm="1">
        <f t="array" ref="L7">_xll.BDP($B7&amp;" Equity","mid")</f>
        <v>18.850000000000001</v>
      </c>
      <c r="M7" s="75">
        <f t="shared" si="1"/>
        <v>0.17538146631931523</v>
      </c>
      <c r="N7" s="352"/>
      <c r="O7" s="75">
        <f t="shared" si="2"/>
        <v>0.12874251497005984</v>
      </c>
      <c r="P7" s="74" cm="1">
        <f t="array" ref="P7">_xll.BDP($B7&amp;" Equity","bid")</f>
        <v>18.25</v>
      </c>
      <c r="Q7" s="74" cm="1">
        <f t="array" ref="Q7">_xll.BDP($B7&amp;" Equity","ask")</f>
        <v>19.45</v>
      </c>
      <c r="R7" s="76">
        <f t="shared" si="3"/>
        <v>6.5753424657534199E-2</v>
      </c>
      <c r="S7" s="36" cm="1">
        <f t="array" ref="S7">_xll.BDP(G7&amp;" Curncy","PX_LAST")</f>
        <v>1</v>
      </c>
      <c r="T7" s="42" cm="1">
        <f t="array" ref="T7">_xll.BDP(B7&amp;" Equity","OPT_MULTIPLIER")</f>
        <v>100</v>
      </c>
      <c r="U7" s="42">
        <f t="shared" si="4"/>
        <v>2073500</v>
      </c>
      <c r="V7" s="113">
        <f>U7/'Master P&amp;L'!$AD$7*10000</f>
        <v>8.6534139911701029</v>
      </c>
      <c r="W7" s="113">
        <f>(Y7*H7*T7/S7)/'Master P&amp;L'!$AD$7*10000</f>
        <v>7.5149276941885699</v>
      </c>
      <c r="X7" s="118">
        <f t="shared" si="5"/>
        <v>2.480000000000004</v>
      </c>
      <c r="Y7" s="272">
        <f t="shared" si="6"/>
        <v>16.369999999999997</v>
      </c>
      <c r="Z7" s="77">
        <f>_xll.BDP(D7&amp;" Equity","LAST_PRICE")</f>
        <v>107.48</v>
      </c>
      <c r="AA7" s="77" cm="1">
        <f t="array" ref="AA7">_xll.BDP(B7&amp;" Equity","OPT_STRIKE_PX")</f>
        <v>105</v>
      </c>
      <c r="AB7" s="76">
        <f t="shared" si="7"/>
        <v>-2.307406029028658E-2</v>
      </c>
      <c r="AC7" s="323" cm="1">
        <f t="array" ref="AC7">_xll.BDP($D7&amp;" Equity","volatility_10d")</f>
        <v>34.012634553760407</v>
      </c>
      <c r="AD7" s="77" cm="1">
        <f t="array" ref="AD7">_xll.BDP(B7&amp;" Equity","ivol_mid")</f>
        <v>47.052610000000001</v>
      </c>
      <c r="AE7" s="77">
        <f t="shared" si="8"/>
        <v>1.3833862215415449</v>
      </c>
      <c r="AF7" s="78" cm="1">
        <f t="array" ref="AF7">_xll.BDP(B7&amp;" Equity","DELTA_MID_RT")</f>
        <v>0.62351810932159424</v>
      </c>
      <c r="AG7" s="75">
        <f>AL7/'Master P&amp;L'!$AE$7</f>
        <v>3.076471216820466E-3</v>
      </c>
      <c r="AH7" s="75">
        <f>AM7/'Master P&amp;L'!$AE$7</f>
        <v>4.9340527096602789E-3</v>
      </c>
      <c r="AI7" s="435">
        <f>AO7/'Master P&amp;L'!$AD$7*10000</f>
        <v>-1.4243919201385104E-2</v>
      </c>
      <c r="AJ7" s="350">
        <f t="shared" si="9"/>
        <v>0.27680226376560191</v>
      </c>
      <c r="AK7" s="78">
        <f>AP7/'Master P&amp;L'!$AD$7*10000</f>
        <v>0.98699416875414892</v>
      </c>
      <c r="AL7" s="42">
        <f t="shared" si="10"/>
        <v>7371729.9028873444</v>
      </c>
      <c r="AM7" s="42">
        <f t="shared" si="11"/>
        <v>11822800</v>
      </c>
      <c r="AN7" s="78" cm="1">
        <f t="array" ref="AN7">_xll.BDP($B7&amp;" Equity","theta_mid_rt")</f>
        <v>-3.1027970835566521E-2</v>
      </c>
      <c r="AO7" s="42">
        <f t="shared" si="12"/>
        <v>-3413.0767919123173</v>
      </c>
      <c r="AP7" s="42">
        <f t="shared" si="13"/>
        <v>236499.99999999985</v>
      </c>
      <c r="AQ7" s="74" t="str" cm="1">
        <f t="array" ref="AQ7">_xll.BDP($D7&amp;" Equity","EXPECTED_REPORT_DT")</f>
        <v>#N/A N/A</v>
      </c>
      <c r="AR7" s="235" cm="1">
        <f t="array" ref="AR7">_xll.BDP($B7&amp;" Equity","GAMMA_LAST")</f>
        <v>9.5069999999999998E-3</v>
      </c>
      <c r="AS7" s="73">
        <f t="shared" si="14"/>
        <v>120806.83169808002</v>
      </c>
      <c r="AT7" s="73">
        <f t="shared" si="15"/>
        <v>604034.15849040006</v>
      </c>
      <c r="AU7" s="73" t="s">
        <v>151</v>
      </c>
      <c r="AV7" s="322" t="e" cm="1">
        <f t="array" ref="AV7">_xll.BDP($D7&amp;" Equity","EST_PE_NXT_YR")*(AA7/Z7)</f>
        <v>#VALUE!</v>
      </c>
      <c r="AW7" s="73"/>
      <c r="AX7" s="42"/>
      <c r="AY7" s="42">
        <v>18.850000000000001</v>
      </c>
      <c r="AZ7" s="354"/>
      <c r="BA7" s="42">
        <f t="shared" si="16"/>
        <v>18.850000000000001</v>
      </c>
      <c r="BB7" s="346">
        <f t="shared" si="17"/>
        <v>16.700000000000003</v>
      </c>
      <c r="BC7" s="346">
        <f t="shared" si="18"/>
        <v>-236499.99999999985</v>
      </c>
      <c r="BD7" s="346">
        <f>BC7/'Master P&amp;L'!$AD$7*10000</f>
        <v>-0.98699416875414892</v>
      </c>
    </row>
    <row r="8" spans="1:56" s="59" customFormat="1">
      <c r="A8" s="356"/>
      <c r="B8" t="s">
        <v>2275</v>
      </c>
      <c r="C8" t="str" cm="1">
        <f t="array" ref="C8">_xll.BDP($B8&amp;" Equity","opt_put_call")</f>
        <v>Call</v>
      </c>
      <c r="D8" t="str" cm="1">
        <f t="array" ref="D8">_xll.BDP(B8&amp;" Equity","OPT_UNDL_TICKER")</f>
        <v>GDX US</v>
      </c>
      <c r="E8" t="str" cm="1">
        <f t="array" ref="E8">_xll.BDP($B8&amp;" Equity","mifid_Maturity_date")</f>
        <v>18/09/2026</v>
      </c>
      <c r="F8" cm="1">
        <f t="array" ref="F8">_xll.BDP($B8&amp;" Equity","opt_days_expire")</f>
        <v>235</v>
      </c>
      <c r="G8" t="str" cm="1">
        <f t="array" ref="G8">_xll.BDP(B8&amp;" Equity","QUOTED_CURRENCY_REALTIME")</f>
        <v>USD</v>
      </c>
      <c r="H8" s="15">
        <v>-1100</v>
      </c>
      <c r="I8" s="410">
        <v>11.13</v>
      </c>
      <c r="J8" s="14">
        <f>VLOOKUP(B8,Precificação!$B:$O,14,FALSE)</f>
        <v>13.399999999999999</v>
      </c>
      <c r="K8" s="14">
        <f t="shared" si="19"/>
        <v>13.399999999999999</v>
      </c>
      <c r="L8" s="74" cm="1">
        <f t="array" ref="L8">_xll.BDP($B8&amp;" Equity","mid")</f>
        <v>14.07</v>
      </c>
      <c r="M8" s="19">
        <f t="shared" si="1"/>
        <v>0.1309080759211016</v>
      </c>
      <c r="N8" s="350"/>
      <c r="O8" s="19">
        <f t="shared" si="2"/>
        <v>5.0000000000000044E-2</v>
      </c>
      <c r="P8" s="36" cm="1">
        <f t="array" ref="P8">_xll.BDP($B8&amp;" Equity","bid")</f>
        <v>13.25</v>
      </c>
      <c r="Q8" s="36" cm="1">
        <f t="array" ref="Q8">_xll.BDP($B8&amp;" Equity","ask")</f>
        <v>14.9</v>
      </c>
      <c r="R8" s="40">
        <f t="shared" si="3"/>
        <v>0.12452830188679243</v>
      </c>
      <c r="S8" s="36" cm="1">
        <f t="array" ref="S8">_xll.BDP(G8&amp;" Curncy","PX_LAST")</f>
        <v>1</v>
      </c>
      <c r="T8" s="15" cm="1">
        <f t="array" ref="T8">_xll.BDP(B8&amp;" Equity","OPT_MULTIPLIER")</f>
        <v>100</v>
      </c>
      <c r="U8" s="15">
        <f t="shared" si="4"/>
        <v>-1547700</v>
      </c>
      <c r="V8" s="124">
        <f>U8/'Master P&amp;L'!$AD$7*10000</f>
        <v>-6.4590734671492491</v>
      </c>
      <c r="W8" s="124">
        <f>(Y8*H8*T8/S8)/'Master P&amp;L'!$AD$7*10000</f>
        <v>-6.4590734671492491</v>
      </c>
      <c r="X8" s="413">
        <f t="shared" si="5"/>
        <v>0</v>
      </c>
      <c r="Y8" s="273">
        <f t="shared" si="6"/>
        <v>14.07</v>
      </c>
      <c r="Z8" s="37">
        <f>_xll.BDP(D8&amp;" Equity","LAST_PRICE")</f>
        <v>107.48</v>
      </c>
      <c r="AA8" s="37" cm="1">
        <f t="array" ref="AA8">_xll.BDP(B8&amp;" Equity","OPT_STRIKE_PX")</f>
        <v>115</v>
      </c>
      <c r="AB8" s="40">
        <f t="shared" si="7"/>
        <v>6.9966505396352741E-2</v>
      </c>
      <c r="AC8" s="324" cm="1">
        <f t="array" ref="AC8">_xll.BDP($D8&amp;" Equity","volatility_10d")</f>
        <v>34.012634553760407</v>
      </c>
      <c r="AD8" s="37" cm="1">
        <f t="array" ref="AD8">_xll.BDP(B8&amp;" Equity","ivol_mid")</f>
        <v>46.344810000000003</v>
      </c>
      <c r="AE8" s="37">
        <f t="shared" si="8"/>
        <v>1.3625763075408741</v>
      </c>
      <c r="AF8" s="38" cm="1">
        <f t="array" ref="AF8">_xll.BDP(B8&amp;" Equity","DELTA_MID_RT")</f>
        <v>0.52797150611877441</v>
      </c>
      <c r="AG8" s="19">
        <f>AL8/'Master P&amp;L'!$AE$7</f>
        <v>-2.6050392403887579E-3</v>
      </c>
      <c r="AH8" s="19">
        <f>AM8/'Master P&amp;L'!$AE$7</f>
        <v>-4.9340527096602789E-3</v>
      </c>
      <c r="AI8" s="434">
        <f>AO8/'Master P&amp;L'!$AD$7*10000</f>
        <v>1.4573865978986208E-2</v>
      </c>
      <c r="AJ8" s="350">
        <f t="shared" si="9"/>
        <v>-0.28321412370884491</v>
      </c>
      <c r="AK8" s="38">
        <f>AP8/'Master P&amp;L'!$AD$7*10000</f>
        <v>-0.30757492700710787</v>
      </c>
      <c r="AL8" s="15">
        <f t="shared" si="10"/>
        <v>-6242101.5225410471</v>
      </c>
      <c r="AM8" s="15">
        <f t="shared" si="11"/>
        <v>-11822800</v>
      </c>
      <c r="AN8" s="38" cm="1">
        <f t="array" ref="AN8">_xll.BDP($B8&amp;" Equity","theta_mid_rt")</f>
        <v>-3.1746704131364822E-2</v>
      </c>
      <c r="AO8" s="15">
        <f t="shared" si="12"/>
        <v>3492.1374544501305</v>
      </c>
      <c r="AP8" s="15">
        <f t="shared" si="13"/>
        <v>-73700.000000000189</v>
      </c>
      <c r="AQ8" s="36" t="str" cm="1">
        <f t="array" ref="AQ8">_xll.BDP($D8&amp;" Equity","EXPECTED_REPORT_DT")</f>
        <v>#N/A N/A</v>
      </c>
      <c r="AR8" s="66" cm="1">
        <f t="array" ref="AR8">_xll.BDP($B8&amp;" Equity","GAMMA_LAST")</f>
        <v>1.0403000000000001E-2</v>
      </c>
      <c r="AS8">
        <f t="shared" si="14"/>
        <v>-132192.43401232001</v>
      </c>
      <c r="AT8">
        <f t="shared" si="15"/>
        <v>-660962.17006160005</v>
      </c>
      <c r="AU8" t="s">
        <v>151</v>
      </c>
      <c r="AV8" s="277" t="e" cm="1">
        <f t="array" ref="AV8">_xll.BDP($D8&amp;" Equity","EST_PE_NXT_YR")*(AA8/Z8)</f>
        <v>#VALUE!</v>
      </c>
      <c r="AW8"/>
      <c r="AX8" s="15"/>
      <c r="AY8" s="15">
        <v>14.07</v>
      </c>
      <c r="AZ8" s="355"/>
      <c r="BA8" s="15">
        <f t="shared" si="16"/>
        <v>14.07</v>
      </c>
      <c r="BB8" s="414">
        <f t="shared" si="17"/>
        <v>13.399999999999999</v>
      </c>
      <c r="BC8" s="414">
        <f t="shared" si="18"/>
        <v>73700.000000000175</v>
      </c>
      <c r="BD8" s="414">
        <f>BC8/'Master P&amp;L'!$AD$7*10000</f>
        <v>0.30757492700710781</v>
      </c>
    </row>
    <row r="9" spans="1:56">
      <c r="A9" s="335"/>
      <c r="B9" s="73" t="s">
        <v>2306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LITE US</v>
      </c>
      <c r="E9" s="73" t="str" cm="1">
        <f t="array" ref="E9">_xll.BDP($B9&amp;" Equity","mifid_Maturity_date")</f>
        <v>20/03/2026</v>
      </c>
      <c r="F9" s="73" cm="1">
        <f t="array" ref="F9">_xll.BDP($B9&amp;" Equity","opt_days_expire")</f>
        <v>53</v>
      </c>
      <c r="G9" s="73" t="str" cm="1">
        <f t="array" ref="G9">_xll.BDP(B9&amp;" Equity","QUOTED_CURRENCY_REALTIME")</f>
        <v>USD</v>
      </c>
      <c r="H9" s="42">
        <v>60</v>
      </c>
      <c r="I9" s="409">
        <v>39.83</v>
      </c>
      <c r="J9" s="14">
        <f>VLOOKUP(B9,Precificação!$B:$O,14,FALSE)</f>
        <v>30.950000000000003</v>
      </c>
      <c r="K9" s="14">
        <f t="shared" si="19"/>
        <v>30.950000000000003</v>
      </c>
      <c r="L9" s="74" cm="1">
        <f t="array" ref="L9">_xll.BDP($B9&amp;" Equity","mid")</f>
        <v>26.15</v>
      </c>
      <c r="M9" s="75">
        <f t="shared" si="1"/>
        <v>7.865844487892916E-2</v>
      </c>
      <c r="N9" s="352"/>
      <c r="O9" s="75">
        <f t="shared" si="2"/>
        <v>-0.15508885298869157</v>
      </c>
      <c r="P9" s="74" cm="1">
        <f t="array" ref="P9">_xll.BDP($B9&amp;" Equity","bid")</f>
        <v>24.5</v>
      </c>
      <c r="Q9" s="74" cm="1">
        <f t="array" ref="Q9">_xll.BDP($B9&amp;" Equity","ask")</f>
        <v>27.8</v>
      </c>
      <c r="R9" s="76">
        <f t="shared" si="3"/>
        <v>0.13469387755102047</v>
      </c>
      <c r="S9" s="36" cm="1">
        <f t="array" ref="S9">_xll.BDP(G9&amp;" Curncy","PX_LAST")</f>
        <v>1</v>
      </c>
      <c r="T9" s="42" cm="1">
        <f t="array" ref="T9">_xll.BDP(B9&amp;" Equity","OPT_MULTIPLIER")</f>
        <v>100</v>
      </c>
      <c r="U9" s="42">
        <f t="shared" si="4"/>
        <v>156900</v>
      </c>
      <c r="V9" s="113">
        <f>U9/'Master P&amp;L'!$AD$7*10000</f>
        <v>0.65479655423901095</v>
      </c>
      <c r="W9" s="113">
        <f>(Y9*H9*T9/S9)/'Master P&amp;L'!$AD$7*10000</f>
        <v>0.65479655423901095</v>
      </c>
      <c r="X9" s="118">
        <f t="shared" si="5"/>
        <v>0</v>
      </c>
      <c r="Y9" s="272">
        <f t="shared" si="6"/>
        <v>26.15</v>
      </c>
      <c r="Z9" s="77">
        <f>_xll.BDP(D9&amp;" Equity","LAST_PRICE")</f>
        <v>332.45</v>
      </c>
      <c r="AA9" s="77" cm="1">
        <f t="array" ref="AA9">_xll.BDP(B9&amp;" Equity","OPT_STRIKE_PX")</f>
        <v>420</v>
      </c>
      <c r="AB9" s="76">
        <f t="shared" si="7"/>
        <v>0.26334787186043029</v>
      </c>
      <c r="AC9" s="323" cm="1">
        <f t="array" ref="AC9">_xll.BDP($D9&amp;" Equity","volatility_10d")</f>
        <v>95.568146641682802</v>
      </c>
      <c r="AD9" s="77" cm="1">
        <f t="array" ref="AD9">_xll.BDP(B9&amp;" Equity","ivol_mid")</f>
        <v>103.9761</v>
      </c>
      <c r="AE9" s="77">
        <f t="shared" si="8"/>
        <v>1.0879786168695043</v>
      </c>
      <c r="AF9" s="78" cm="1">
        <f t="array" ref="AF9">_xll.BDP(B9&amp;" Equity","DELTA_MID_RT")</f>
        <v>0.35720193386077881</v>
      </c>
      <c r="AG9" s="75">
        <f>AL9/'Master P&amp;L'!$AE$7</f>
        <v>2.9735471610144198E-4</v>
      </c>
      <c r="AH9" s="75">
        <f>AM9/'Master P&amp;L'!$AE$7</f>
        <v>8.3245550461475781E-4</v>
      </c>
      <c r="AI9" s="435">
        <f>AO9/'Master P&amp;L'!$AD$7*10000</f>
        <v>-1.1195166207522599E-2</v>
      </c>
      <c r="AJ9" s="350">
        <f t="shared" si="9"/>
        <v>0.21755580789682422</v>
      </c>
      <c r="AK9" s="78">
        <f>AP9/'Master P&amp;L'!$AD$7*10000</f>
        <v>-0.12019210173412066</v>
      </c>
      <c r="AL9" s="42">
        <f t="shared" si="10"/>
        <v>712510.69747209549</v>
      </c>
      <c r="AM9" s="42">
        <f t="shared" si="11"/>
        <v>1994700</v>
      </c>
      <c r="AN9" s="78" cm="1">
        <f t="array" ref="AN9">_xll.BDP($B9&amp;" Equity","theta_mid_rt")</f>
        <v>-0.44709092378616333</v>
      </c>
      <c r="AO9" s="42">
        <f t="shared" si="12"/>
        <v>-2682.54554271698</v>
      </c>
      <c r="AP9" s="42">
        <f t="shared" si="13"/>
        <v>-28800.000000000029</v>
      </c>
      <c r="AQ9" s="74" t="str" cm="1">
        <f t="array" ref="AQ9">_xll.BDP($D9&amp;" Equity","EXPECTED_REPORT_DT")</f>
        <v>03/02/2026</v>
      </c>
      <c r="AR9" s="235" cm="1">
        <f t="array" ref="AR9">_xll.BDP($B9&amp;" Equity","GAMMA_LAST")</f>
        <v>9.2329999999999999E-3</v>
      </c>
      <c r="AS9" s="73">
        <f t="shared" si="14"/>
        <v>61227.532924949992</v>
      </c>
      <c r="AT9" s="73">
        <f t="shared" si="15"/>
        <v>306137.66462475003</v>
      </c>
      <c r="AU9" s="73" t="s">
        <v>151</v>
      </c>
      <c r="AV9" s="322" cm="1">
        <f t="array" ref="AV9">_xll.BDP($D9&amp;" Equity","EST_PE_NXT_YR")*(AA9/Z9)</f>
        <v>45.209060207898034</v>
      </c>
      <c r="AW9" s="73"/>
      <c r="AX9" s="42"/>
      <c r="AY9" s="42">
        <v>26.15</v>
      </c>
      <c r="AZ9" s="354"/>
      <c r="BA9" s="42">
        <f t="shared" si="16"/>
        <v>26.15</v>
      </c>
      <c r="BB9" s="346">
        <f t="shared" si="17"/>
        <v>30.950000000000003</v>
      </c>
      <c r="BC9" s="346">
        <f t="shared" si="18"/>
        <v>28800.000000000022</v>
      </c>
      <c r="BD9" s="346">
        <f>BC9/'Master P&amp;L'!$AD$7*10000</f>
        <v>0.12019210173412063</v>
      </c>
    </row>
    <row r="10" spans="1:56" s="59" customFormat="1">
      <c r="A10" s="356"/>
      <c r="B10" t="s">
        <v>2068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81</v>
      </c>
      <c r="G10" t="str" cm="1">
        <f t="array" ref="G10">_xll.BDP(B10&amp;" Equity","QUOTED_CURRENCY_REALTIME")</f>
        <v>USD</v>
      </c>
      <c r="H10" s="15">
        <v>60</v>
      </c>
      <c r="I10" s="410">
        <v>43.12</v>
      </c>
      <c r="J10" s="14">
        <f>VLOOKUP(B10,Precificação!$B:$O,14,FALSE)</f>
        <v>34.325000000000003</v>
      </c>
      <c r="K10" s="14">
        <f t="shared" si="19"/>
        <v>34.325000000000003</v>
      </c>
      <c r="L10" s="74" cm="1">
        <f t="array" ref="L10">_xll.BDP($B10&amp;" Equity","mid")</f>
        <v>41.17</v>
      </c>
      <c r="M10" s="19">
        <f t="shared" si="1"/>
        <v>6.1232078053423761E-2</v>
      </c>
      <c r="N10" s="350"/>
      <c r="O10" s="19">
        <f t="shared" si="2"/>
        <v>0.19941733430444275</v>
      </c>
      <c r="P10" s="36" cm="1">
        <f t="array" ref="P10">_xll.BDP($B10&amp;" Equity","bid")</f>
        <v>41.05</v>
      </c>
      <c r="Q10" s="36" cm="1">
        <f t="array" ref="Q10">_xll.BDP($B10&amp;" Equity","ask")</f>
        <v>41.3</v>
      </c>
      <c r="R10" s="40">
        <f t="shared" si="3"/>
        <v>6.0901339829475543E-3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4"/>
        <v>247020.00000000003</v>
      </c>
      <c r="V10" s="124">
        <f>U10/'Master P&amp;L'!$AD$7*10000</f>
        <v>1.03089767258203</v>
      </c>
      <c r="W10" s="124">
        <f>(Y10*H10*T10/S10)/'Master P&amp;L'!$AD$7*10000</f>
        <v>1.03089767258203</v>
      </c>
      <c r="X10" s="413">
        <f t="shared" si="5"/>
        <v>0</v>
      </c>
      <c r="Y10" s="273">
        <f t="shared" si="6"/>
        <v>41.17</v>
      </c>
      <c r="Z10" s="37">
        <f>_xll.BDP(D10&amp;" Equity","LAST_PRICE")</f>
        <v>672.36</v>
      </c>
      <c r="AA10" s="37" cm="1">
        <f t="array" ref="AA10">_xll.BDP(B10&amp;" Equity","OPT_STRIKE_PX")</f>
        <v>690</v>
      </c>
      <c r="AB10" s="40">
        <f t="shared" si="7"/>
        <v>2.6235945029448482E-2</v>
      </c>
      <c r="AC10" s="324" cm="1">
        <f t="array" ref="AC10">_xll.BDP($D10&amp;" Equity","volatility_10d")</f>
        <v>41.927171065491862</v>
      </c>
      <c r="AD10" s="37" cm="1">
        <f t="array" ref="AD10">_xll.BDP(B10&amp;" Equity","ivol_mid")</f>
        <v>36.624809999999997</v>
      </c>
      <c r="AE10" s="37">
        <f t="shared" si="8"/>
        <v>0.87353401312935297</v>
      </c>
      <c r="AF10" s="38" cm="1">
        <f t="array" ref="AF10">_xll.BDP(B10&amp;" Equity","DELTA_MID_RT")</f>
        <v>0.49404162168502808</v>
      </c>
      <c r="AG10" s="19">
        <f>AL10/'Master P&amp;L'!$AE$7</f>
        <v>8.3176396121880357E-4</v>
      </c>
      <c r="AH10" s="19">
        <f>AM10/'Master P&amp;L'!$AE$7</f>
        <v>1.6835908650406936E-3</v>
      </c>
      <c r="AI10" s="434">
        <f>AO10/'Master P&amp;L'!$AD$7*10000</f>
        <v>-6.9582960374872478E-3</v>
      </c>
      <c r="AJ10" s="350">
        <f t="shared" si="9"/>
        <v>0.13522065576870115</v>
      </c>
      <c r="AK10" s="38">
        <f>AP10/'Master P&amp;L'!$AD$7*10000</f>
        <v>0.17139894507709477</v>
      </c>
      <c r="AL10" s="15">
        <f t="shared" si="10"/>
        <v>1993042.9485368731</v>
      </c>
      <c r="AM10" s="15">
        <f t="shared" si="11"/>
        <v>4034160</v>
      </c>
      <c r="AN10" s="38" cm="1">
        <f t="array" ref="AN10">_xll.BDP($B10&amp;" Equity","theta_mid_rt")</f>
        <v>-0.27788698673248291</v>
      </c>
      <c r="AO10" s="15">
        <f t="shared" si="12"/>
        <v>-1667.3219203948975</v>
      </c>
      <c r="AP10" s="15">
        <f t="shared" si="13"/>
        <v>41069.999999999993</v>
      </c>
      <c r="AQ10" s="36" t="str" cm="1">
        <f t="array" ref="AQ10">_xll.BDP($D10&amp;" Equity","EXPECTED_REPORT_DT")</f>
        <v>28/01/2026</v>
      </c>
      <c r="AR10" s="66" cm="1">
        <f t="array" ref="AR10">_xll.BDP($B10&amp;" Equity","GAMMA_LAST")</f>
        <v>2.2842999999999999E-2</v>
      </c>
      <c r="AS10">
        <f t="shared" si="14"/>
        <v>619595.31777436798</v>
      </c>
      <c r="AT10">
        <f t="shared" si="15"/>
        <v>3097976.5888718399</v>
      </c>
      <c r="AU10" t="s">
        <v>151</v>
      </c>
      <c r="AV10" s="277" cm="1">
        <f t="array" ref="AV10">_xll.BDP($D10&amp;" Equity","EST_PE_NXT_YR")*(AA10/Z10)</f>
        <v>20.655254421350534</v>
      </c>
      <c r="AW10"/>
      <c r="AX10" s="15"/>
      <c r="AY10" s="15">
        <v>41.17</v>
      </c>
      <c r="AZ10" s="355"/>
      <c r="BA10" s="15">
        <f t="shared" si="16"/>
        <v>41.17</v>
      </c>
      <c r="BB10" s="414">
        <f t="shared" si="17"/>
        <v>34.325000000000003</v>
      </c>
      <c r="BC10" s="414">
        <f t="shared" si="18"/>
        <v>-41069.999999999993</v>
      </c>
      <c r="BD10" s="414">
        <f>BC10/'Master P&amp;L'!$AD$7*10000</f>
        <v>-0.17139894507709477</v>
      </c>
    </row>
    <row r="11" spans="1:56">
      <c r="A11" s="335"/>
      <c r="B11" s="73" t="s">
        <v>2309</v>
      </c>
      <c r="C11" s="73" t="str" cm="1">
        <f t="array" ref="C11">_xll.BDP($B11&amp;" Equity","opt_put_call")</f>
        <v>Call</v>
      </c>
      <c r="D11" s="73" t="str" cm="1">
        <f t="array" ref="D11">_xll.BDP(B11&amp;" Equity","OPT_UNDL_TICKER")</f>
        <v>META US</v>
      </c>
      <c r="E11" s="73" t="str" cm="1">
        <f t="array" ref="E11">_xll.BDP($B11&amp;" Equity","mifid_Maturity_date")</f>
        <v>17/07/2026</v>
      </c>
      <c r="F11" s="73" cm="1">
        <f t="array" ref="F11">_xll.BDP($B11&amp;" Equity","opt_days_expire")</f>
        <v>172</v>
      </c>
      <c r="G11" s="73" t="str" cm="1">
        <f t="array" ref="G11">_xll.BDP(B11&amp;" Equity","QUOTED_CURRENCY_REALTIME")</f>
        <v>USD</v>
      </c>
      <c r="H11" s="42">
        <v>75</v>
      </c>
      <c r="I11" s="409">
        <v>54.96</v>
      </c>
      <c r="J11" s="14">
        <f>VLOOKUP(B11,Precificação!$B:$O,14,FALSE)</f>
        <v>66.95</v>
      </c>
      <c r="K11" s="14">
        <f t="shared" si="19"/>
        <v>66.95</v>
      </c>
      <c r="L11" s="74" cm="1">
        <f t="array" ref="L11">_xll.BDP($B11&amp;" Equity","mid")</f>
        <v>75.400000000000006</v>
      </c>
      <c r="M11" s="75">
        <f t="shared" si="1"/>
        <v>0.11214230471771075</v>
      </c>
      <c r="N11" s="352"/>
      <c r="O11" s="75">
        <f t="shared" si="2"/>
        <v>0.12621359223300965</v>
      </c>
      <c r="P11" s="74" cm="1">
        <f t="array" ref="P11">_xll.BDP($B11&amp;" Equity","bid")</f>
        <v>75.2</v>
      </c>
      <c r="Q11" s="74" cm="1">
        <f t="array" ref="Q11">_xll.BDP($B11&amp;" Equity","ask")</f>
        <v>75.599999999999994</v>
      </c>
      <c r="R11" s="76">
        <f t="shared" si="3"/>
        <v>5.3191489361701372E-3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4"/>
        <v>565500</v>
      </c>
      <c r="V11" s="113">
        <f>U11/'Master P&amp;L'!$AD$7*10000</f>
        <v>2.3600219975918462</v>
      </c>
      <c r="W11" s="113">
        <f>(Y11*H11*T11/S11)/'Master P&amp;L'!$AD$7*10000</f>
        <v>2.2861539350677504</v>
      </c>
      <c r="X11" s="118">
        <f t="shared" si="5"/>
        <v>2.3600000000000136</v>
      </c>
      <c r="Y11" s="272">
        <f t="shared" si="6"/>
        <v>73.039999999999992</v>
      </c>
      <c r="Z11" s="77">
        <f>_xll.BDP(D11&amp;" Equity","LAST_PRICE")</f>
        <v>672.36</v>
      </c>
      <c r="AA11" s="77" cm="1">
        <f t="array" ref="AA11">_xll.BDP(B11&amp;" Equity","OPT_STRIKE_PX")</f>
        <v>670</v>
      </c>
      <c r="AB11" s="76">
        <f t="shared" si="7"/>
        <v>-3.5100243916948992E-3</v>
      </c>
      <c r="AC11" s="323" cm="1">
        <f t="array" ref="AC11">_xll.BDP($D11&amp;" Equity","volatility_10d")</f>
        <v>41.927171065491862</v>
      </c>
      <c r="AD11" s="77" cm="1">
        <f t="array" ref="AD11">_xll.BDP(B11&amp;" Equity","ivol_mid")</f>
        <v>37.599710000000002</v>
      </c>
      <c r="AE11" s="77">
        <f t="shared" si="8"/>
        <v>0.89678623776614452</v>
      </c>
      <c r="AF11" s="78" cm="1">
        <f t="array" ref="AF11">_xll.BDP(B11&amp;" Equity","DELTA_MID_RT")</f>
        <v>0.58268070220947266</v>
      </c>
      <c r="AG11" s="75">
        <f>AL11/'Master P&amp;L'!$AE$7</f>
        <v>1.226244884344206E-3</v>
      </c>
      <c r="AH11" s="75">
        <f>AM11/'Master P&amp;L'!$AE$7</f>
        <v>2.1044885813008667E-3</v>
      </c>
      <c r="AI11" s="435">
        <f>AO11/'Master P&amp;L'!$AD$7*10000</f>
        <v>-5.9172538059538808E-3</v>
      </c>
      <c r="AJ11" s="350">
        <f t="shared" si="9"/>
        <v>0.11499006878699401</v>
      </c>
      <c r="AK11" s="78">
        <f>AP11/'Master P&amp;L'!$AD$7*10000</f>
        <v>0.26448522386805179</v>
      </c>
      <c r="AL11" s="42">
        <f t="shared" si="10"/>
        <v>2938283.9770317078</v>
      </c>
      <c r="AM11" s="42">
        <f t="shared" si="11"/>
        <v>5042700</v>
      </c>
      <c r="AN11" s="78" cm="1">
        <f t="array" ref="AN11">_xll.BDP($B11&amp;" Equity","theta_mid_rt")</f>
        <v>-0.18904948234558105</v>
      </c>
      <c r="AO11" s="42">
        <f t="shared" si="12"/>
        <v>-1417.8711175918579</v>
      </c>
      <c r="AP11" s="42">
        <f t="shared" si="13"/>
        <v>63375.000000000015</v>
      </c>
      <c r="AQ11" s="74" t="str" cm="1">
        <f t="array" ref="AQ11">_xll.BDP($D11&amp;" Equity","EXPECTED_REPORT_DT")</f>
        <v>28/01/2026</v>
      </c>
      <c r="AR11" s="235" cm="1">
        <f t="array" ref="AR11">_xll.BDP($B11&amp;" Equity","GAMMA_LAST")</f>
        <v>1.5048000000000001E-2</v>
      </c>
      <c r="AS11" s="73">
        <f t="shared" si="14"/>
        <v>510203.91049056</v>
      </c>
      <c r="AT11" s="73">
        <f t="shared" si="15"/>
        <v>2551019.5524528003</v>
      </c>
      <c r="AU11" s="73" t="s">
        <v>151</v>
      </c>
      <c r="AV11" s="322" cm="1">
        <f t="array" ref="AV11">_xll.BDP($D11&amp;" Equity","EST_PE_NXT_YR")*(AA11/Z11)</f>
        <v>20.056551394644721</v>
      </c>
      <c r="AW11" s="73"/>
      <c r="AX11" s="42"/>
      <c r="AY11" s="42">
        <v>75.400000000000006</v>
      </c>
      <c r="AZ11" s="354"/>
      <c r="BA11" s="42">
        <f t="shared" si="16"/>
        <v>75.400000000000006</v>
      </c>
      <c r="BB11" s="346">
        <f t="shared" si="17"/>
        <v>66.95</v>
      </c>
      <c r="BC11" s="346">
        <f t="shared" si="18"/>
        <v>-63375.000000000022</v>
      </c>
      <c r="BD11" s="346">
        <f>BC11/'Master P&amp;L'!$AD$7*10000</f>
        <v>-0.26448522386805179</v>
      </c>
    </row>
    <row r="12" spans="1:56" s="59" customFormat="1">
      <c r="A12" s="356"/>
      <c r="B12" t="s">
        <v>2097</v>
      </c>
      <c r="C12" t="str" cm="1">
        <f t="array" ref="C12">_xll.BDP($B12&amp;" Equity","opt_put_call")</f>
        <v>Put</v>
      </c>
      <c r="D12" t="str" cm="1">
        <f t="array" ref="D12">_xll.BDP(B12&amp;" Equity","OPT_UNDL_TICKER")</f>
        <v>MRVL US</v>
      </c>
      <c r="E12" t="str" cm="1">
        <f t="array" ref="E12">_xll.BDP($B12&amp;" Equity","mifid_Maturity_date")</f>
        <v>20/03/2026</v>
      </c>
      <c r="F12" cm="1">
        <f t="array" ref="F12">_xll.BDP($B12&amp;" Equity","opt_days_expire")</f>
        <v>53</v>
      </c>
      <c r="G12" t="str" cm="1">
        <f t="array" ref="G12">_xll.BDP(B12&amp;" Equity","QUOTED_CURRENCY_REALTIME")</f>
        <v>USD</v>
      </c>
      <c r="H12" s="15">
        <v>200</v>
      </c>
      <c r="I12" s="410">
        <v>9.1999999999999993</v>
      </c>
      <c r="J12" s="14">
        <f>VLOOKUP(B12,Precificação!$B:$O,14,FALSE)</f>
        <v>9.85</v>
      </c>
      <c r="K12" s="14">
        <f t="shared" si="19"/>
        <v>9.85</v>
      </c>
      <c r="L12" s="74" cm="1">
        <f t="array" ref="L12">_xll.BDP($B12&amp;" Equity","mid")</f>
        <v>8.9499999999999993</v>
      </c>
      <c r="M12" s="19">
        <f t="shared" si="1"/>
        <v>0.10945334474746239</v>
      </c>
      <c r="N12" s="350"/>
      <c r="O12" s="19">
        <f t="shared" si="2"/>
        <v>-9.137055837563457E-2</v>
      </c>
      <c r="P12" s="36" cm="1">
        <f t="array" ref="P12">_xll.BDP($B12&amp;" Equity","bid")</f>
        <v>8.85</v>
      </c>
      <c r="Q12" s="36" cm="1">
        <f t="array" ref="Q12">_xll.BDP($B12&amp;" Equity","ask")</f>
        <v>9.0500000000000007</v>
      </c>
      <c r="R12" s="40">
        <f t="shared" si="3"/>
        <v>2.2598870056497189E-2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4"/>
        <v>178999.99999999997</v>
      </c>
      <c r="V12" s="124">
        <f>U12/'Master P&amp;L'!$AD$7*10000</f>
        <v>0.74702729897248521</v>
      </c>
      <c r="W12" s="124">
        <f>(Y12*H12*T12/S12)/'Master P&amp;L'!$AD$7*10000</f>
        <v>0.47742973744386735</v>
      </c>
      <c r="X12" s="413">
        <f t="shared" si="5"/>
        <v>3.230000000000004</v>
      </c>
      <c r="Y12" s="273">
        <f t="shared" si="6"/>
        <v>5.7199999999999953</v>
      </c>
      <c r="Z12" s="37">
        <f>_xll.BDP(D12&amp;" Equity","LAST_PRICE")</f>
        <v>81.77</v>
      </c>
      <c r="AA12" s="37" cm="1">
        <f t="array" ref="AA12">_xll.BDP(B12&amp;" Equity","OPT_STRIKE_PX")</f>
        <v>85</v>
      </c>
      <c r="AB12" s="40">
        <f t="shared" si="7"/>
        <v>3.9501039501039559E-2</v>
      </c>
      <c r="AC12" s="324" cm="1">
        <f t="array" ref="AC12">_xll.BDP($D12&amp;" Equity","volatility_10d")</f>
        <v>33.033683418784932</v>
      </c>
      <c r="AD12" s="37" cm="1">
        <f t="array" ref="AD12">_xll.BDP(B12&amp;" Equity","ivol_mid")</f>
        <v>57.808750000000003</v>
      </c>
      <c r="AE12" s="37">
        <f t="shared" si="8"/>
        <v>1.7499940671807275</v>
      </c>
      <c r="AF12" s="38" cm="1">
        <f t="array" ref="AF12">_xll.BDP(B12&amp;" Equity","DELTA_MID_RT")</f>
        <v>-0.51767116785049438</v>
      </c>
      <c r="AG12" s="19">
        <f>AL12/'Master P&amp;L'!$AE$7</f>
        <v>-3.5331446030044926E-4</v>
      </c>
      <c r="AH12" s="19">
        <f>AM12/'Master P&amp;L'!$AE$7</f>
        <v>-6.8250751102771087E-4</v>
      </c>
      <c r="AI12" s="434">
        <f>AO12/'Master P&amp;L'!$AD$7*10000</f>
        <v>-5.5809229306280905E-3</v>
      </c>
      <c r="AJ12" s="350">
        <f t="shared" si="9"/>
        <v>0.10845414659112869</v>
      </c>
      <c r="AK12" s="38">
        <f>AP12/'Master P&amp;L'!$AD$7*10000</f>
        <v>-7.5120063583825364E-2</v>
      </c>
      <c r="AL12" s="15">
        <f t="shared" si="10"/>
        <v>-846599.42790269852</v>
      </c>
      <c r="AM12" s="15">
        <f t="shared" si="11"/>
        <v>-1635400</v>
      </c>
      <c r="AN12" s="38" cm="1">
        <f t="array" ref="AN12">_xll.BDP($B12&amp;" Equity","theta_mid_rt")</f>
        <v>-6.6864036023616791E-2</v>
      </c>
      <c r="AO12" s="15">
        <f t="shared" si="12"/>
        <v>-1337.2807204723358</v>
      </c>
      <c r="AP12" s="15">
        <f t="shared" si="13"/>
        <v>-18000.000000000007</v>
      </c>
      <c r="AQ12" s="36" t="str" cm="1">
        <f t="array" ref="AQ12">_xll.BDP($D12&amp;" Equity","EXPECTED_REPORT_DT")</f>
        <v>05/03/2026</v>
      </c>
      <c r="AR12" s="66" cm="1">
        <f t="array" ref="AR12">_xll.BDP($B12&amp;" Equity","GAMMA_LAST")</f>
        <v>1.7829000000000001E-2</v>
      </c>
      <c r="AS12">
        <f t="shared" si="14"/>
        <v>23842.125854819998</v>
      </c>
      <c r="AT12">
        <f t="shared" si="15"/>
        <v>119210.62927410001</v>
      </c>
      <c r="AU12" t="s">
        <v>151</v>
      </c>
      <c r="AV12" s="277" cm="1">
        <f t="array" ref="AV12">_xll.BDP($D12&amp;" Equity","EST_PE_NXT_YR")*(AA12/Z12)</f>
        <v>23.681713134838137</v>
      </c>
      <c r="AW12"/>
      <c r="AX12" s="15"/>
      <c r="AY12" s="15">
        <v>8.9499999999999993</v>
      </c>
      <c r="AZ12" s="355"/>
      <c r="BA12" s="15">
        <f t="shared" si="16"/>
        <v>8.9499999999999993</v>
      </c>
      <c r="BB12" s="414">
        <f t="shared" si="17"/>
        <v>9.85</v>
      </c>
      <c r="BC12" s="414">
        <f t="shared" si="18"/>
        <v>18000.000000000007</v>
      </c>
      <c r="BD12" s="414">
        <f>BC12/'Master P&amp;L'!$AD$7*10000</f>
        <v>7.5120063583825364E-2</v>
      </c>
    </row>
    <row r="13" spans="1:56">
      <c r="A13" s="335"/>
      <c r="B13" s="73" t="s">
        <v>2098</v>
      </c>
      <c r="C13" s="73" t="str" cm="1">
        <f t="array" ref="C13">_xll.BDP($B13&amp;" Equity","opt_put_call")</f>
        <v>Put</v>
      </c>
      <c r="D13" s="73" t="str" cm="1">
        <f t="array" ref="D13">_xll.BDP(B13&amp;" Equity","OPT_UNDL_TICKER")</f>
        <v>MRVL US</v>
      </c>
      <c r="E13" s="73" t="str" cm="1">
        <f t="array" ref="E13">_xll.BDP($B13&amp;" Equity","mifid_Maturity_date")</f>
        <v>20/03/2026</v>
      </c>
      <c r="F13" s="73" cm="1">
        <f t="array" ref="F13">_xll.BDP($B13&amp;" Equity","opt_days_expire")</f>
        <v>53</v>
      </c>
      <c r="G13" s="73" t="str" cm="1">
        <f t="array" ref="G13">_xll.BDP(B13&amp;" Equity","QUOTED_CURRENCY_REALTIME")</f>
        <v>USD</v>
      </c>
      <c r="H13" s="42">
        <v>-200</v>
      </c>
      <c r="I13" s="409">
        <v>4.5999999999999996</v>
      </c>
      <c r="J13" s="14">
        <f>VLOOKUP(B13,Precificação!$B:$O,14,FALSE)</f>
        <v>4.5999999999999996</v>
      </c>
      <c r="K13" s="14">
        <f t="shared" si="19"/>
        <v>4.5999999999999996</v>
      </c>
      <c r="L13" s="74" cm="1">
        <f t="array" ref="L13">_xll.BDP($B13&amp;" Equity","mid")</f>
        <v>4.08</v>
      </c>
      <c r="M13" s="75">
        <f t="shared" si="1"/>
        <v>4.9896049896049899E-2</v>
      </c>
      <c r="N13" s="352"/>
      <c r="O13" s="75">
        <f t="shared" si="2"/>
        <v>-0.11304347826086947</v>
      </c>
      <c r="P13" s="74" cm="1">
        <f t="array" ref="P13">_xll.BDP($B13&amp;" Equity","bid")</f>
        <v>4</v>
      </c>
      <c r="Q13" s="74" cm="1">
        <f t="array" ref="Q13">_xll.BDP($B13&amp;" Equity","ask")</f>
        <v>4.1500000000000004</v>
      </c>
      <c r="R13" s="76">
        <f t="shared" si="3"/>
        <v>3.7500000000000089E-2</v>
      </c>
      <c r="S13" s="36" cm="1">
        <f t="array" ref="S13">_xll.BDP(G13&amp;" Curncy","PX_LAST")</f>
        <v>1</v>
      </c>
      <c r="T13" s="42" cm="1">
        <f t="array" ref="T13">_xll.BDP(B13&amp;" Equity","OPT_MULTIPLIER")</f>
        <v>100</v>
      </c>
      <c r="U13" s="42">
        <f t="shared" si="4"/>
        <v>-81600</v>
      </c>
      <c r="V13" s="113">
        <f>U13/'Master P&amp;L'!$AD$7*10000</f>
        <v>-0.34054428824667488</v>
      </c>
      <c r="W13" s="113">
        <f>(Y13*H13*T13/S13)/'Master P&amp;L'!$AD$7*10000</f>
        <v>-0.34054428824667488</v>
      </c>
      <c r="X13" s="118">
        <f t="shared" si="5"/>
        <v>0</v>
      </c>
      <c r="Y13" s="272">
        <f t="shared" si="6"/>
        <v>4.08</v>
      </c>
      <c r="Z13" s="77">
        <f>_xll.BDP(D13&amp;" Equity","LAST_PRICE")</f>
        <v>81.77</v>
      </c>
      <c r="AA13" s="77" cm="1">
        <f t="array" ref="AA13">_xll.BDP(B13&amp;" Equity","OPT_STRIKE_PX")</f>
        <v>75</v>
      </c>
      <c r="AB13" s="76">
        <f t="shared" si="7"/>
        <v>-8.2793200440259174E-2</v>
      </c>
      <c r="AC13" s="323" cm="1">
        <f t="array" ref="AC13">_xll.BDP($D13&amp;" Equity","volatility_10d")</f>
        <v>33.033683418784932</v>
      </c>
      <c r="AD13" s="77" cm="1">
        <f t="array" ref="AD13">_xll.BDP(B13&amp;" Equity","ivol_mid")</f>
        <v>58.427340000000001</v>
      </c>
      <c r="AE13" s="77">
        <f t="shared" si="8"/>
        <v>1.7687201048483354</v>
      </c>
      <c r="AF13" s="78" cm="1">
        <f t="array" ref="AF13">_xll.BDP(B13&amp;" Equity","DELTA_MID_RT")</f>
        <v>-0.30375993251800537</v>
      </c>
      <c r="AG13" s="75">
        <f>AL13/'Master P&amp;L'!$AE$7</f>
        <v>2.0731843549280922E-4</v>
      </c>
      <c r="AH13" s="75">
        <f>AM13/'Master P&amp;L'!$AE$7</f>
        <v>6.8250751102771087E-4</v>
      </c>
      <c r="AI13" s="435">
        <f>AO13/'Master P&amp;L'!$AD$7*10000</f>
        <v>4.9557155782839306E-3</v>
      </c>
      <c r="AJ13" s="350">
        <f t="shared" si="9"/>
        <v>-9.6304484127799544E-2</v>
      </c>
      <c r="AK13" s="78">
        <f>AP13/'Master P&amp;L'!$AD$7*10000</f>
        <v>4.3402703403987934E-2</v>
      </c>
      <c r="AL13" s="42">
        <f t="shared" si="10"/>
        <v>496768.99363994587</v>
      </c>
      <c r="AM13" s="42">
        <f t="shared" si="11"/>
        <v>1635400</v>
      </c>
      <c r="AN13" s="78" cm="1">
        <f t="array" ref="AN13">_xll.BDP($B13&amp;" Equity","theta_mid_rt")</f>
        <v>-5.9373538941144943E-2</v>
      </c>
      <c r="AO13" s="42">
        <f t="shared" si="12"/>
        <v>1187.4707788228989</v>
      </c>
      <c r="AP13" s="42">
        <f t="shared" si="13"/>
        <v>10399.999999999991</v>
      </c>
      <c r="AQ13" s="74" t="str" cm="1">
        <f t="array" ref="AQ13">_xll.BDP($D13&amp;" Equity","EXPECTED_REPORT_DT")</f>
        <v>05/03/2026</v>
      </c>
      <c r="AR13" s="235" cm="1">
        <f t="array" ref="AR13">_xll.BDP($B13&amp;" Equity","GAMMA_LAST")</f>
        <v>1.5462E-2</v>
      </c>
      <c r="AS13" s="73">
        <f t="shared" si="14"/>
        <v>-20676.815859960003</v>
      </c>
      <c r="AT13" s="73">
        <f t="shared" si="15"/>
        <v>-103384.07929979998</v>
      </c>
      <c r="AU13" s="73" t="s">
        <v>151</v>
      </c>
      <c r="AV13" s="322" cm="1">
        <f t="array" ref="AV13">_xll.BDP($D13&amp;" Equity","EST_PE_NXT_YR")*(AA13/Z13)</f>
        <v>20.89562923662189</v>
      </c>
      <c r="AW13" s="73"/>
      <c r="AX13" s="42"/>
      <c r="AY13" s="42">
        <v>4.08</v>
      </c>
      <c r="AZ13" s="354"/>
      <c r="BA13" s="42">
        <f t="shared" si="16"/>
        <v>4.08</v>
      </c>
      <c r="BB13" s="346">
        <f t="shared" si="17"/>
        <v>4.5999999999999996</v>
      </c>
      <c r="BC13" s="346">
        <f t="shared" si="18"/>
        <v>-10399.999999999991</v>
      </c>
      <c r="BD13" s="346">
        <f>BC13/'Master P&amp;L'!$AD$7*10000</f>
        <v>-4.3402703403987934E-2</v>
      </c>
    </row>
    <row r="14" spans="1:56" s="59" customFormat="1">
      <c r="A14" s="356"/>
      <c r="B14" t="s">
        <v>2058</v>
      </c>
      <c r="C14" t="str" cm="1">
        <f t="array" ref="C14">_xll.BDP($B14&amp;" Equity","opt_put_call")</f>
        <v>Put</v>
      </c>
      <c r="D14" t="str" cm="1">
        <f t="array" ref="D14">_xll.BDP(B14&amp;" Equity","OPT_UNDL_TICKER")</f>
        <v>MRVL US</v>
      </c>
      <c r="E14" t="str" cm="1">
        <f t="array" ref="E14">_xll.BDP($B14&amp;" Equity","mifid_Maturity_date")</f>
        <v>20/03/2026</v>
      </c>
      <c r="F14" cm="1">
        <f t="array" ref="F14">_xll.BDP($B14&amp;" Equity","opt_days_expire")</f>
        <v>53</v>
      </c>
      <c r="G14" t="str" cm="1">
        <f t="array" ref="G14">_xll.BDP(B14&amp;" Equity","QUOTED_CURRENCY_REALTIME")</f>
        <v>USD</v>
      </c>
      <c r="H14" s="15">
        <v>150</v>
      </c>
      <c r="I14" s="410">
        <v>6.13</v>
      </c>
      <c r="J14" s="14">
        <f>VLOOKUP(B14,Precificação!$B:$O,14,FALSE)</f>
        <v>6.875</v>
      </c>
      <c r="K14" s="14">
        <f t="shared" si="19"/>
        <v>6.875</v>
      </c>
      <c r="L14" s="74" cm="1">
        <f t="array" ref="L14">_xll.BDP($B14&amp;" Equity","mid")</f>
        <v>6.22</v>
      </c>
      <c r="M14" s="19">
        <f t="shared" si="1"/>
        <v>7.6067017243487828E-2</v>
      </c>
      <c r="N14" s="350"/>
      <c r="O14" s="19">
        <f t="shared" si="2"/>
        <v>-9.5272727272727287E-2</v>
      </c>
      <c r="P14" s="36" cm="1">
        <f t="array" ref="P14">_xll.BDP($B14&amp;" Equity","bid")</f>
        <v>6.15</v>
      </c>
      <c r="Q14" s="36" cm="1">
        <f t="array" ref="Q14">_xll.BDP($B14&amp;" Equity","ask")</f>
        <v>6.3</v>
      </c>
      <c r="R14" s="40">
        <f t="shared" si="3"/>
        <v>2.4390243902439046E-2</v>
      </c>
      <c r="S14" s="36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4"/>
        <v>93300</v>
      </c>
      <c r="V14" s="124">
        <f>U14/'Master P&amp;L'!$AD$7*10000</f>
        <v>0.3893723295761613</v>
      </c>
      <c r="W14" s="124">
        <f>(Y14*H14*T14/S14)/'Master P&amp;L'!$AD$7*10000</f>
        <v>0.3893723295761613</v>
      </c>
      <c r="X14" s="413">
        <f t="shared" si="5"/>
        <v>0</v>
      </c>
      <c r="Y14" s="273">
        <f t="shared" si="6"/>
        <v>6.22</v>
      </c>
      <c r="Z14" s="37">
        <f>_xll.BDP(D14&amp;" Equity","LAST_PRICE")</f>
        <v>81.77</v>
      </c>
      <c r="AA14" s="37" cm="1">
        <f t="array" ref="AA14">_xll.BDP(B14&amp;" Equity","OPT_STRIKE_PX")</f>
        <v>80</v>
      </c>
      <c r="AB14" s="40">
        <f t="shared" si="7"/>
        <v>-2.1646080469609807E-2</v>
      </c>
      <c r="AC14" s="324" cm="1">
        <f t="array" ref="AC14">_xll.BDP($D14&amp;" Equity","volatility_10d")</f>
        <v>33.033683418784932</v>
      </c>
      <c r="AD14" s="37" cm="1">
        <f t="array" ref="AD14">_xll.BDP(B14&amp;" Equity","ivol_mid")</f>
        <v>57.568980000000003</v>
      </c>
      <c r="AE14" s="37">
        <f t="shared" si="8"/>
        <v>1.7427357182718179</v>
      </c>
      <c r="AF14" s="38" cm="1">
        <f t="array" ref="AF14">_xll.BDP(B14&amp;" Equity","DELTA_MID_RT")</f>
        <v>-0.40899455547332764</v>
      </c>
      <c r="AG14" s="19">
        <f>AL14/'Master P&amp;L'!$AE$7</f>
        <v>-2.0935639205998941E-4</v>
      </c>
      <c r="AH14" s="19">
        <f>AM14/'Master P&amp;L'!$AE$7</f>
        <v>-5.1188063327078318E-4</v>
      </c>
      <c r="AI14" s="434">
        <f>AO14/'Master P&amp;L'!$AD$7*10000</f>
        <v>-4.0943105245941341E-3</v>
      </c>
      <c r="AJ14" s="350">
        <f t="shared" si="9"/>
        <v>7.9564788717474605E-2</v>
      </c>
      <c r="AK14" s="38">
        <f>AP14/'Master P&amp;L'!$AD$7*10000</f>
        <v>-4.1003034706171344E-2</v>
      </c>
      <c r="AL14" s="15">
        <f t="shared" si="10"/>
        <v>-501652.27201581001</v>
      </c>
      <c r="AM14" s="15">
        <f t="shared" si="11"/>
        <v>-1226550</v>
      </c>
      <c r="AN14" s="38" cm="1">
        <f t="array" ref="AN14">_xll.BDP($B14&amp;" Equity","theta_mid_rt")</f>
        <v>-6.5404266119003296E-2</v>
      </c>
      <c r="AO14" s="15">
        <f t="shared" si="12"/>
        <v>-981.06399178504944</v>
      </c>
      <c r="AP14" s="15">
        <f t="shared" si="13"/>
        <v>-9825.0000000000036</v>
      </c>
      <c r="AQ14" s="36" t="str" cm="1">
        <f t="array" ref="AQ14">_xll.BDP($D14&amp;" Equity","EXPECTED_REPORT_DT")</f>
        <v>05/03/2026</v>
      </c>
      <c r="AR14" s="66" cm="1">
        <f t="array" ref="AR14">_xll.BDP($B14&amp;" Equity","GAMMA_LAST")</f>
        <v>1.7335E-2</v>
      </c>
      <c r="AS14">
        <f t="shared" si="14"/>
        <v>17386.137123224999</v>
      </c>
      <c r="AT14">
        <f t="shared" si="15"/>
        <v>86930.685616125003</v>
      </c>
      <c r="AU14" t="s">
        <v>151</v>
      </c>
      <c r="AV14" s="277" cm="1">
        <f t="array" ref="AV14">_xll.BDP($D14&amp;" Equity","EST_PE_NXT_YR")*(AA14/Z14)</f>
        <v>22.288671185730013</v>
      </c>
      <c r="AW14"/>
      <c r="AX14" s="15"/>
      <c r="AY14" s="15">
        <v>6.22</v>
      </c>
      <c r="AZ14" s="355"/>
      <c r="BA14" s="15">
        <f t="shared" si="16"/>
        <v>6.22</v>
      </c>
      <c r="BB14" s="414">
        <f t="shared" si="17"/>
        <v>6.875</v>
      </c>
      <c r="BC14" s="414">
        <f t="shared" si="18"/>
        <v>9825.0000000000036</v>
      </c>
      <c r="BD14" s="414">
        <f>BC14/'Master P&amp;L'!$AD$7*10000</f>
        <v>4.1003034706171344E-2</v>
      </c>
    </row>
    <row r="15" spans="1:56">
      <c r="A15" s="335"/>
      <c r="B15" s="73" t="s">
        <v>2287</v>
      </c>
      <c r="C15" s="73" t="str" cm="1">
        <f t="array" ref="C15">_xll.BDP($B15&amp;" Equity","opt_put_call")</f>
        <v>Put</v>
      </c>
      <c r="D15" s="73" t="str" cm="1">
        <f t="array" ref="D15">_xll.BDP(B15&amp;" Equity","OPT_UNDL_TICKER")</f>
        <v>MRVL US</v>
      </c>
      <c r="E15" s="73" t="str" cm="1">
        <f t="array" ref="E15">_xll.BDP($B15&amp;" Equity","mifid_Maturity_date")</f>
        <v>20/03/2026</v>
      </c>
      <c r="F15" s="73" cm="1">
        <f t="array" ref="F15">_xll.BDP($B15&amp;" Equity","opt_days_expire")</f>
        <v>53</v>
      </c>
      <c r="G15" s="73" t="str" cm="1">
        <f t="array" ref="G15">_xll.BDP(B15&amp;" Equity","QUOTED_CURRENCY_REALTIME")</f>
        <v>USD</v>
      </c>
      <c r="H15" s="42">
        <v>-150</v>
      </c>
      <c r="I15" s="409">
        <v>2.52</v>
      </c>
      <c r="J15" s="14">
        <f>VLOOKUP(B15,Precificação!$B:$O,14,FALSE)</f>
        <v>2.8899999999999997</v>
      </c>
      <c r="K15" s="14">
        <f t="shared" si="19"/>
        <v>2.8899999999999997</v>
      </c>
      <c r="L15" s="74" cm="1">
        <f t="array" ref="L15">_xll.BDP($B15&amp;" Equity","mid")</f>
        <v>2.5</v>
      </c>
      <c r="M15" s="75">
        <f t="shared" si="1"/>
        <v>3.0573559985324694E-2</v>
      </c>
      <c r="N15" s="352"/>
      <c r="O15" s="75">
        <f t="shared" si="2"/>
        <v>-0.13494809688581311</v>
      </c>
      <c r="P15" s="74" cm="1">
        <f t="array" ref="P15">_xll.BDP($B15&amp;" Equity","bid")</f>
        <v>2.42</v>
      </c>
      <c r="Q15" s="74" cm="1">
        <f t="array" ref="Q15">_xll.BDP($B15&amp;" Equity","ask")</f>
        <v>2.57</v>
      </c>
      <c r="R15" s="76">
        <f t="shared" si="3"/>
        <v>6.198347107438007E-2</v>
      </c>
      <c r="S15" s="36" cm="1">
        <f t="array" ref="S15">_xll.BDP(G15&amp;" Curncy","PX_LAST")</f>
        <v>1</v>
      </c>
      <c r="T15" s="42" cm="1">
        <f t="array" ref="T15">_xll.BDP(B15&amp;" Equity","OPT_MULTIPLIER")</f>
        <v>100</v>
      </c>
      <c r="U15" s="42">
        <f t="shared" si="4"/>
        <v>-37500</v>
      </c>
      <c r="V15" s="113">
        <f>U15/'Master P&amp;L'!$AD$7*10000</f>
        <v>-0.15650013246630279</v>
      </c>
      <c r="W15" s="113">
        <f>(Y15*H15*T15/S15)/'Master P&amp;L'!$AD$7*10000</f>
        <v>-0.15650013246630279</v>
      </c>
      <c r="X15" s="118">
        <f t="shared" si="5"/>
        <v>0</v>
      </c>
      <c r="Y15" s="272">
        <f t="shared" si="6"/>
        <v>2.5</v>
      </c>
      <c r="Z15" s="77">
        <f>_xll.BDP(D15&amp;" Equity","LAST_PRICE")</f>
        <v>81.77</v>
      </c>
      <c r="AA15" s="77" cm="1">
        <f t="array" ref="AA15">_xll.BDP(B15&amp;" Equity","OPT_STRIKE_PX")</f>
        <v>70</v>
      </c>
      <c r="AB15" s="76">
        <f t="shared" si="7"/>
        <v>-0.14394032041090865</v>
      </c>
      <c r="AC15" s="323" cm="1">
        <f t="array" ref="AC15">_xll.BDP($D15&amp;" Equity","volatility_10d")</f>
        <v>33.033683418784932</v>
      </c>
      <c r="AD15" s="77" cm="1">
        <f t="array" ref="AD15">_xll.BDP(B15&amp;" Equity","ivol_mid")</f>
        <v>59.408999999999999</v>
      </c>
      <c r="AE15" s="77">
        <f t="shared" si="8"/>
        <v>1.7984370452075134</v>
      </c>
      <c r="AF15" s="78" cm="1">
        <f t="array" ref="AF15">_xll.BDP(B15&amp;" Equity","DELTA_MID_RT")</f>
        <v>-0.20842684805393219</v>
      </c>
      <c r="AG15" s="75">
        <f>AL15/'Master P&amp;L'!$AE$7</f>
        <v>1.0668966697248012E-4</v>
      </c>
      <c r="AH15" s="75">
        <f>AM15/'Master P&amp;L'!$AE$7</f>
        <v>5.1188063327078318E-4</v>
      </c>
      <c r="AI15" s="435">
        <f>AO15/'Master P&amp;L'!$AD$7*10000</f>
        <v>3.0655816642040385E-3</v>
      </c>
      <c r="AJ15" s="350">
        <f t="shared" si="9"/>
        <v>-5.9573487634462546E-2</v>
      </c>
      <c r="AK15" s="78">
        <f>AP15/'Master P&amp;L'!$AD$7*10000</f>
        <v>2.4414020664743217E-2</v>
      </c>
      <c r="AL15" s="42">
        <f t="shared" si="10"/>
        <v>255645.95048055053</v>
      </c>
      <c r="AM15" s="42">
        <f t="shared" si="11"/>
        <v>1226550</v>
      </c>
      <c r="AN15" s="78" cm="1">
        <f t="array" ref="AN15">_xll.BDP($B15&amp;" Equity","theta_mid_rt")</f>
        <v>-4.8970911651849747E-2</v>
      </c>
      <c r="AO15" s="42">
        <f t="shared" si="12"/>
        <v>734.5636747777462</v>
      </c>
      <c r="AP15" s="42">
        <f t="shared" si="13"/>
        <v>5849.9999999999955</v>
      </c>
      <c r="AQ15" s="74" t="str" cm="1">
        <f t="array" ref="AQ15">_xll.BDP($D15&amp;" Equity","EXPECTED_REPORT_DT")</f>
        <v>05/03/2026</v>
      </c>
      <c r="AR15" s="235" cm="1">
        <f t="array" ref="AR15">_xll.BDP($B15&amp;" Equity","GAMMA_LAST")</f>
        <v>1.24E-2</v>
      </c>
      <c r="AS15" s="73">
        <f t="shared" si="14"/>
        <v>-12436.579193999998</v>
      </c>
      <c r="AT15" s="73">
        <f t="shared" si="15"/>
        <v>-62182.89596999999</v>
      </c>
      <c r="AU15" s="73" t="s">
        <v>151</v>
      </c>
      <c r="AV15" s="322" cm="1">
        <f t="array" ref="AV15">_xll.BDP($D15&amp;" Equity","EST_PE_NXT_YR")*(AA15/Z15)</f>
        <v>19.502587287513759</v>
      </c>
      <c r="AW15" s="73"/>
      <c r="AX15" s="42"/>
      <c r="AY15" s="42">
        <v>2.5</v>
      </c>
      <c r="AZ15" s="354"/>
      <c r="BA15" s="42">
        <f t="shared" si="16"/>
        <v>2.5</v>
      </c>
      <c r="BB15" s="346">
        <f t="shared" si="17"/>
        <v>2.8899999999999997</v>
      </c>
      <c r="BC15" s="346">
        <f t="shared" si="18"/>
        <v>-5849.9999999999955</v>
      </c>
      <c r="BD15" s="346">
        <f>BC15/'Master P&amp;L'!$AD$7*10000</f>
        <v>-2.4414020664743217E-2</v>
      </c>
    </row>
    <row r="16" spans="1:56" s="59" customFormat="1">
      <c r="A16" s="424" t="s">
        <v>1770</v>
      </c>
      <c r="B16" s="59" t="s">
        <v>2360</v>
      </c>
      <c r="C16" s="59" t="str" cm="1">
        <f t="array" ref="C16">_xll.BDP($B16&amp;" Equity","opt_put_call")</f>
        <v>Call</v>
      </c>
      <c r="D16" s="59" t="str" cm="1">
        <f t="array" ref="D16">_xll.BDP(B16&amp;" Equity","OPT_UNDL_TICKER")</f>
        <v>MSFT US</v>
      </c>
      <c r="E16" s="59" t="str" cm="1">
        <f t="array" ref="E16">_xll.BDP($B16&amp;" Equity","mifid_Maturity_date")</f>
        <v>17/07/2026</v>
      </c>
      <c r="F16" s="59" cm="1">
        <f t="array" ref="F16">_xll.BDP($B16&amp;" Equity","opt_days_expire")</f>
        <v>172</v>
      </c>
      <c r="G16" s="59" t="str" cm="1">
        <f t="array" ref="G16">_xll.BDP(B16&amp;" Equity","QUOTED_CURRENCY_REALTIME")</f>
        <v>USD</v>
      </c>
      <c r="H16" s="404">
        <v>100</v>
      </c>
      <c r="I16" s="411">
        <v>30.89</v>
      </c>
      <c r="J16" s="14">
        <f>VLOOKUP(B16,Precificação!$B:$O,14,FALSE)</f>
        <v>35.049999999999997</v>
      </c>
      <c r="K16" s="14">
        <f t="shared" si="19"/>
        <v>35.049999999999997</v>
      </c>
      <c r="L16" s="14" cm="1">
        <f t="array" ref="L16">_xll.BDP($B16&amp;" Equity","mid")</f>
        <v>37.049999999999997</v>
      </c>
      <c r="M16" s="128">
        <f t="shared" ref="M16" si="20">L16/Z16</f>
        <v>7.8782852768563408E-2</v>
      </c>
      <c r="N16" s="425"/>
      <c r="O16" s="128">
        <f t="shared" ref="O16" si="21">L16/K16-1</f>
        <v>5.7061340941512162E-2</v>
      </c>
      <c r="P16" s="14" cm="1">
        <f t="array" ref="P16">_xll.BDP($B16&amp;" Equity","bid")</f>
        <v>36.950000000000003</v>
      </c>
      <c r="Q16" s="14" cm="1">
        <f t="array" ref="Q16">_xll.BDP($B16&amp;" Equity","ask")</f>
        <v>37.15</v>
      </c>
      <c r="R16" s="423">
        <f t="shared" ref="R16" si="22">(Q16/P16-1)</f>
        <v>5.412719891745521E-3</v>
      </c>
      <c r="S16" s="14" cm="1">
        <f t="array" ref="S16">_xll.BDP(G16&amp;" Curncy","PX_LAST")</f>
        <v>1</v>
      </c>
      <c r="T16" s="404" cm="1">
        <f t="array" ref="T16">_xll.BDP(B16&amp;" Equity","OPT_MULTIPLIER")</f>
        <v>100</v>
      </c>
      <c r="U16" s="404">
        <f t="shared" ref="U16" si="23">(L16/S16)*H16*T16</f>
        <v>370499.99999999994</v>
      </c>
      <c r="V16" s="426">
        <f>U16/'Master P&amp;L'!$AD$7*10000</f>
        <v>1.5462213087670713</v>
      </c>
      <c r="W16" s="426">
        <f>(Y16*H16*T16/S16)/'Master P&amp;L'!$AD$7*10000</f>
        <v>1.5462213087670713</v>
      </c>
      <c r="X16" s="427">
        <f t="shared" ref="X16" si="24">IF(C16="Put",IF(Z16&lt;AA16,AA16-Z16,0),IF(Z16&gt;AA16,Z16-AA16,0))</f>
        <v>0</v>
      </c>
      <c r="Y16" s="428">
        <f t="shared" ref="Y16" si="25">L16-X16</f>
        <v>37.049999999999997</v>
      </c>
      <c r="Z16" s="429">
        <f>_xll.BDP(D16&amp;" Equity","LAST_PRICE")</f>
        <v>470.28</v>
      </c>
      <c r="AA16" s="429" cm="1">
        <f t="array" ref="AA16">_xll.BDP(B16&amp;" Equity","OPT_STRIKE_PX")</f>
        <v>475</v>
      </c>
      <c r="AB16" s="423">
        <f t="shared" ref="AB16" si="26">AA16/Z16-1</f>
        <v>1.0036573955941153E-2</v>
      </c>
      <c r="AC16" s="430" cm="1">
        <f t="array" ref="AC16">_xll.BDP($D16&amp;" Equity","volatility_10d")</f>
        <v>31.02471982268526</v>
      </c>
      <c r="AD16" s="429" cm="1">
        <f t="array" ref="AD16">_xll.BDP(B16&amp;" Equity","ivol_mid")</f>
        <v>27.942039999999999</v>
      </c>
      <c r="AE16" s="429">
        <f t="shared" ref="AE16" si="27">AD16/AC16</f>
        <v>0.90063794805227515</v>
      </c>
      <c r="AF16" s="431" cm="1">
        <f t="array" ref="AF16">_xll.BDP(B16&amp;" Equity","DELTA_MID_RT")</f>
        <v>0.54981440305709839</v>
      </c>
      <c r="AG16" s="128">
        <f>AL16/'Master P&amp;L'!$AE$7</f>
        <v>1.0790860142769045E-3</v>
      </c>
      <c r="AH16" s="128">
        <f>AM16/'Master P&amp;L'!$AE$7</f>
        <v>1.9626368612334099E-3</v>
      </c>
      <c r="AI16" s="440">
        <f>AO16/'Master P&amp;L'!$AD$7*10000</f>
        <v>-4.2202238647292157E-3</v>
      </c>
      <c r="AJ16" s="425">
        <f t="shared" ref="AJ16" si="28">(252*AI16)/$AI$1</f>
        <v>8.2011664264500295E-2</v>
      </c>
      <c r="AK16" s="431">
        <f>AP16/'Master P&amp;L'!$AD$7*10000</f>
        <v>8.34667373153615E-2</v>
      </c>
      <c r="AL16" s="404">
        <f t="shared" ref="AL16" si="29">Z16*AF16*H16*T16/S16</f>
        <v>2585667.1746969218</v>
      </c>
      <c r="AM16" s="404">
        <f t="shared" ref="AM16" si="30">IF(C16="Put",-Z16*H16*T16/S16,Z16*H16*T16/S16)</f>
        <v>4702800</v>
      </c>
      <c r="AN16" s="431" cm="1">
        <f t="array" ref="AN16">_xll.BDP($B16&amp;" Equity","theta_mid_rt")</f>
        <v>-0.10112348943948746</v>
      </c>
      <c r="AO16" s="404">
        <f t="shared" ref="AO16" si="31">AN16*H16*T16/S16</f>
        <v>-1011.2348943948746</v>
      </c>
      <c r="AP16" s="404">
        <f t="shared" ref="AP16" si="32">(L16-K16)*T16/S16*H16</f>
        <v>20000</v>
      </c>
      <c r="AQ16" s="14" t="str" cm="1">
        <f t="array" ref="AQ16">_xll.BDP($D16&amp;" Equity","EXPECTED_REPORT_DT")</f>
        <v>28/01/2026</v>
      </c>
      <c r="AR16" s="114" cm="1">
        <f t="array" ref="AR16">_xll.BDP($B16&amp;" Equity","GAMMA_LAST")</f>
        <v>2.0482E-2</v>
      </c>
      <c r="AS16" s="59">
        <f t="shared" si="14"/>
        <v>452986.62681887997</v>
      </c>
      <c r="AT16" s="59">
        <f t="shared" si="15"/>
        <v>2264933.1340943999</v>
      </c>
      <c r="AU16" s="59" t="s">
        <v>151</v>
      </c>
      <c r="AV16" s="337" cm="1">
        <f t="array" ref="AV16">_xll.BDP($D16&amp;" Equity","EST_PE_NXT_YR")*(AA16/Z16)</f>
        <v>25.399646900796498</v>
      </c>
      <c r="AX16" s="404"/>
      <c r="AY16" s="404">
        <v>37.049999999999997</v>
      </c>
      <c r="AZ16" s="432"/>
      <c r="BA16" s="404">
        <f t="shared" ref="BA16" si="33">+AY16</f>
        <v>37.049999999999997</v>
      </c>
      <c r="BB16" s="433">
        <f t="shared" ref="BB16" si="34">+J16</f>
        <v>35.049999999999997</v>
      </c>
      <c r="BC16" s="433">
        <f t="shared" ref="BC16" si="35">(BB16-BA16)*H16*100</f>
        <v>-20000</v>
      </c>
      <c r="BD16" s="433">
        <f>BC16/'Master P&amp;L'!$AD$7*10000</f>
        <v>-8.34667373153615E-2</v>
      </c>
    </row>
    <row r="17" spans="1:56" s="59" customFormat="1">
      <c r="A17" s="424" t="s">
        <v>1770</v>
      </c>
      <c r="B17" s="59" t="s">
        <v>2360</v>
      </c>
      <c r="C17" s="59" t="str" cm="1">
        <f t="array" ref="C17">_xll.BDP($B17&amp;" Equity","opt_put_call")</f>
        <v>Call</v>
      </c>
      <c r="D17" s="59" t="str" cm="1">
        <f t="array" ref="D17">_xll.BDP(B17&amp;" Equity","OPT_UNDL_TICKER")</f>
        <v>MSFT US</v>
      </c>
      <c r="E17" s="59" t="str" cm="1">
        <f t="array" ref="E17">_xll.BDP($B17&amp;" Equity","mifid_Maturity_date")</f>
        <v>17/07/2026</v>
      </c>
      <c r="F17" s="59" cm="1">
        <f t="array" ref="F17">_xll.BDP($B17&amp;" Equity","opt_days_expire")</f>
        <v>172</v>
      </c>
      <c r="G17" s="59" t="str" cm="1">
        <f t="array" ref="G17">_xll.BDP(B17&amp;" Equity","QUOTED_CURRENCY_REALTIME")</f>
        <v>USD</v>
      </c>
      <c r="H17" s="404">
        <v>25</v>
      </c>
      <c r="I17" s="411">
        <v>35.75</v>
      </c>
      <c r="J17" s="14"/>
      <c r="K17" s="14">
        <v>35.75</v>
      </c>
      <c r="L17" s="14" cm="1">
        <f t="array" ref="L17">_xll.BDP($B17&amp;" Equity","mid")</f>
        <v>37.049999999999997</v>
      </c>
      <c r="M17" s="128">
        <f t="shared" ref="M17" si="36">L17/Z17</f>
        <v>7.8782852768563408E-2</v>
      </c>
      <c r="N17" s="425"/>
      <c r="O17" s="128">
        <f t="shared" ref="O17" si="37">L17/K17-1</f>
        <v>3.6363636363636376E-2</v>
      </c>
      <c r="P17" s="14" cm="1">
        <f t="array" ref="P17">_xll.BDP($B17&amp;" Equity","bid")</f>
        <v>36.950000000000003</v>
      </c>
      <c r="Q17" s="14" cm="1">
        <f t="array" ref="Q17">_xll.BDP($B17&amp;" Equity","ask")</f>
        <v>37.15</v>
      </c>
      <c r="R17" s="423">
        <f t="shared" ref="R17" si="38">(Q17/P17-1)</f>
        <v>5.412719891745521E-3</v>
      </c>
      <c r="S17" s="14" cm="1">
        <f t="array" ref="S17">_xll.BDP(G17&amp;" Curncy","PX_LAST")</f>
        <v>1</v>
      </c>
      <c r="T17" s="404" cm="1">
        <f t="array" ref="T17">_xll.BDP(B17&amp;" Equity","OPT_MULTIPLIER")</f>
        <v>100</v>
      </c>
      <c r="U17" s="404">
        <f t="shared" ref="U17" si="39">(L17/S17)*H17*T17</f>
        <v>92624.999999999985</v>
      </c>
      <c r="V17" s="426">
        <f>U17/'Master P&amp;L'!$AD$7*10000</f>
        <v>0.38655532719176783</v>
      </c>
      <c r="W17" s="426">
        <f>(Y17*H17*T17/S17)/'Master P&amp;L'!$AD$7*10000</f>
        <v>0.38655532719176783</v>
      </c>
      <c r="X17" s="427">
        <f t="shared" ref="X17" si="40">IF(C17="Put",IF(Z17&lt;AA17,AA17-Z17,0),IF(Z17&gt;AA17,Z17-AA17,0))</f>
        <v>0</v>
      </c>
      <c r="Y17" s="428">
        <f t="shared" ref="Y17" si="41">L17-X17</f>
        <v>37.049999999999997</v>
      </c>
      <c r="Z17" s="429">
        <f>_xll.BDP(D17&amp;" Equity","LAST_PRICE")</f>
        <v>470.28</v>
      </c>
      <c r="AA17" s="429" cm="1">
        <f t="array" ref="AA17">_xll.BDP(B17&amp;" Equity","OPT_STRIKE_PX")</f>
        <v>475</v>
      </c>
      <c r="AB17" s="423">
        <f t="shared" ref="AB17" si="42">AA17/Z17-1</f>
        <v>1.0036573955941153E-2</v>
      </c>
      <c r="AC17" s="430" cm="1">
        <f t="array" ref="AC17">_xll.BDP($D17&amp;" Equity","volatility_10d")</f>
        <v>31.02471982268526</v>
      </c>
      <c r="AD17" s="429" cm="1">
        <f t="array" ref="AD17">_xll.BDP(B17&amp;" Equity","ivol_mid")</f>
        <v>27.942039999999999</v>
      </c>
      <c r="AE17" s="429">
        <f t="shared" ref="AE17" si="43">AD17/AC17</f>
        <v>0.90063794805227515</v>
      </c>
      <c r="AF17" s="431" cm="1">
        <f t="array" ref="AF17">_xll.BDP(B17&amp;" Equity","DELTA_MID_RT")</f>
        <v>0.54981440305709839</v>
      </c>
      <c r="AG17" s="128">
        <f>AL17/'Master P&amp;L'!$AE$7</f>
        <v>2.6977150356922612E-4</v>
      </c>
      <c r="AH17" s="128">
        <f>AM17/'Master P&amp;L'!$AE$7</f>
        <v>4.9065921530835248E-4</v>
      </c>
      <c r="AI17" s="440">
        <f>AO17/'Master P&amp;L'!$AD$7*10000</f>
        <v>-1.0550559661823039E-3</v>
      </c>
      <c r="AJ17" s="425">
        <f t="shared" ref="AJ17" si="44">(252*AI17)/$AI$1</f>
        <v>2.0502916066125074E-2</v>
      </c>
      <c r="AK17" s="431">
        <f>AP17/'Master P&amp;L'!$AD$7*10000</f>
        <v>1.3563344813746211E-2</v>
      </c>
      <c r="AL17" s="404">
        <f t="shared" ref="AL17" si="45">Z17*AF17*H17*T17/S17</f>
        <v>646416.79367423046</v>
      </c>
      <c r="AM17" s="404">
        <f t="shared" ref="AM17" si="46">IF(C17="Put",-Z17*H17*T17/S17,Z17*H17*T17/S17)</f>
        <v>1175700</v>
      </c>
      <c r="AN17" s="431" cm="1">
        <f t="array" ref="AN17">_xll.BDP($B17&amp;" Equity","theta_mid_rt")</f>
        <v>-0.10112348943948746</v>
      </c>
      <c r="AO17" s="404">
        <f t="shared" ref="AO17" si="47">AN17*H17*T17/S17</f>
        <v>-252.80872359871864</v>
      </c>
      <c r="AP17" s="404">
        <f t="shared" ref="AP17" si="48">(L17-K17)*T17/S17*H17</f>
        <v>3249.9999999999927</v>
      </c>
      <c r="AQ17" s="14" t="str" cm="1">
        <f t="array" ref="AQ17">_xll.BDP($D17&amp;" Equity","EXPECTED_REPORT_DT")</f>
        <v>28/01/2026</v>
      </c>
      <c r="AR17" s="114" cm="1">
        <f t="array" ref="AR17">_xll.BDP($B17&amp;" Equity","GAMMA_LAST")</f>
        <v>2.0482E-2</v>
      </c>
      <c r="AS17" s="59">
        <f t="shared" si="14"/>
        <v>113246.65670471999</v>
      </c>
      <c r="AT17" s="59">
        <f t="shared" si="15"/>
        <v>566233.28352359997</v>
      </c>
      <c r="AU17" s="59" t="s">
        <v>151</v>
      </c>
      <c r="AV17" s="337" cm="1">
        <f t="array" ref="AV17">_xll.BDP($D17&amp;" Equity","EST_PE_NXT_YR")*(AA17/Z17)</f>
        <v>25.399646900796498</v>
      </c>
      <c r="AX17" s="404"/>
      <c r="AY17" s="404">
        <v>37.049999999999997</v>
      </c>
      <c r="AZ17" s="432"/>
      <c r="BA17" s="404">
        <f t="shared" ref="BA17" si="49">+AY17</f>
        <v>37.049999999999997</v>
      </c>
      <c r="BB17" s="433">
        <f t="shared" ref="BB17" si="50">+J17</f>
        <v>0</v>
      </c>
      <c r="BC17" s="433">
        <f t="shared" ref="BC17" si="51">(BB17-BA17)*H17*100</f>
        <v>-92624.999999999985</v>
      </c>
      <c r="BD17" s="433">
        <f>BC17/'Master P&amp;L'!$AD$7*10000</f>
        <v>-0.38655532719176783</v>
      </c>
    </row>
    <row r="18" spans="1:56" s="513" customFormat="1">
      <c r="A18" s="512"/>
      <c r="B18" s="513" t="s">
        <v>2311</v>
      </c>
      <c r="C18" s="513" t="str" cm="1">
        <f t="array" ref="C18">_xll.BDP($B18&amp;" Equity","opt_put_call")</f>
        <v>Call</v>
      </c>
      <c r="D18" s="513" t="str" cm="1">
        <f t="array" ref="D18">_xll.BDP(B18&amp;" Equity","OPT_UNDL_TICKER")</f>
        <v>MSFT US</v>
      </c>
      <c r="E18" s="513" t="str" cm="1">
        <f t="array" ref="E18">_xll.BDP($B18&amp;" Equity","mifid_Maturity_date")</f>
        <v>17/07/2026</v>
      </c>
      <c r="F18" s="513" cm="1">
        <f t="array" ref="F18">_xll.BDP($B18&amp;" Equity","opt_days_expire")</f>
        <v>172</v>
      </c>
      <c r="G18" s="513" t="str" cm="1">
        <f t="array" ref="G18">_xll.BDP(B18&amp;" Equity","QUOTED_CURRENCY_REALTIME")</f>
        <v>USD</v>
      </c>
      <c r="H18" s="514">
        <v>25</v>
      </c>
      <c r="I18" s="515">
        <v>31.67</v>
      </c>
      <c r="J18" s="516">
        <f>VLOOKUP(B18,Precificação!$B:$O,14,FALSE)</f>
        <v>39.975000000000001</v>
      </c>
      <c r="K18" s="516">
        <f t="shared" si="19"/>
        <v>39.975000000000001</v>
      </c>
      <c r="L18" s="516">
        <v>40.75</v>
      </c>
      <c r="M18" s="517">
        <f t="shared" si="1"/>
        <v>8.6650506081483378E-2</v>
      </c>
      <c r="N18" s="518"/>
      <c r="O18" s="517">
        <f t="shared" si="2"/>
        <v>1.9387116948092586E-2</v>
      </c>
      <c r="P18" s="516" cm="1">
        <f t="array" ref="P18">_xll.BDP($B18&amp;" Equity","bid")</f>
        <v>41.95</v>
      </c>
      <c r="Q18" s="516" cm="1">
        <f t="array" ref="Q18">_xll.BDP($B18&amp;" Equity","ask")</f>
        <v>42.55</v>
      </c>
      <c r="R18" s="519">
        <f t="shared" si="3"/>
        <v>1.4302741358760196E-2</v>
      </c>
      <c r="S18" s="516" cm="1">
        <f t="array" ref="S18">_xll.BDP(G18&amp;" Curncy","PX_LAST")</f>
        <v>1</v>
      </c>
      <c r="T18" s="514" cm="1">
        <f t="array" ref="T18">_xll.BDP(B18&amp;" Equity","OPT_MULTIPLIER")</f>
        <v>100</v>
      </c>
      <c r="U18" s="514">
        <f t="shared" si="4"/>
        <v>101875</v>
      </c>
      <c r="V18" s="520">
        <f>U18/'Master P&amp;L'!$AD$7*10000</f>
        <v>0.42515869320012256</v>
      </c>
      <c r="W18" s="520">
        <f>(Y18*H18*T18/S18)/'Master P&amp;L'!$AD$7*10000</f>
        <v>0.3700706465719843</v>
      </c>
      <c r="X18" s="521">
        <f t="shared" si="5"/>
        <v>5.2799999999999727</v>
      </c>
      <c r="Y18" s="522">
        <f t="shared" si="6"/>
        <v>35.470000000000027</v>
      </c>
      <c r="Z18" s="523">
        <f>_xll.BDP(D18&amp;" Equity","LAST_PRICE")</f>
        <v>470.28</v>
      </c>
      <c r="AA18" s="523" cm="1">
        <f t="array" ref="AA18">_xll.BDP(B18&amp;" Equity","OPT_STRIKE_PX")</f>
        <v>465</v>
      </c>
      <c r="AB18" s="519">
        <f t="shared" si="7"/>
        <v>-1.1227353916815508E-2</v>
      </c>
      <c r="AC18" s="524" cm="1">
        <f t="array" ref="AC18">_xll.BDP($D18&amp;" Equity","volatility_10d")</f>
        <v>31.02471982268526</v>
      </c>
      <c r="AD18" s="523" cm="1">
        <f t="array" ref="AD18">_xll.BDP(B18&amp;" Equity","ivol_mid")</f>
        <v>28.241990000000001</v>
      </c>
      <c r="AE18" s="523">
        <f t="shared" si="8"/>
        <v>0.91030604503153234</v>
      </c>
      <c r="AF18" s="525"/>
      <c r="AG18" s="517"/>
      <c r="AH18" s="517"/>
      <c r="AI18" s="526"/>
      <c r="AJ18" s="518"/>
      <c r="AK18" s="525">
        <f>AP18/'Master P&amp;L'!$AD$7*10000</f>
        <v>8.0858401774256284E-3</v>
      </c>
      <c r="AL18" s="514">
        <f t="shared" si="10"/>
        <v>0</v>
      </c>
      <c r="AM18" s="514">
        <f t="shared" si="11"/>
        <v>1175700</v>
      </c>
      <c r="AN18" s="525" cm="1">
        <f t="array" ref="AN18">_xll.BDP($B18&amp;" Equity","theta_mid_rt")</f>
        <v>-9.9658846855163574E-2</v>
      </c>
      <c r="AO18" s="514">
        <f t="shared" si="12"/>
        <v>-249.14711713790894</v>
      </c>
      <c r="AP18" s="514">
        <f t="shared" si="13"/>
        <v>1937.4999999999964</v>
      </c>
      <c r="AQ18" s="516" t="str" cm="1">
        <f t="array" ref="AQ18">_xll.BDP($D18&amp;" Equity","EXPECTED_REPORT_DT")</f>
        <v>28/01/2026</v>
      </c>
      <c r="AR18" s="527" cm="1">
        <f t="array" ref="AR18">_xll.BDP($B18&amp;" Equity","GAMMA_LAST")</f>
        <v>1.9961E-2</v>
      </c>
      <c r="AS18" s="513">
        <f t="shared" si="14"/>
        <v>110366.00500356001</v>
      </c>
      <c r="AT18" s="513">
        <f t="shared" si="15"/>
        <v>551830.02501779993</v>
      </c>
      <c r="AU18" s="513" t="s">
        <v>151</v>
      </c>
      <c r="AV18" s="528" cm="1">
        <f t="array" ref="AV18">_xll.BDP($D18&amp;" Equity","EST_PE_NXT_YR")*(AA18/Z18)</f>
        <v>24.864917492358678</v>
      </c>
      <c r="AX18" s="514"/>
      <c r="AY18" s="514">
        <v>40.75</v>
      </c>
      <c r="AZ18" s="529"/>
      <c r="BA18" s="514">
        <f t="shared" si="16"/>
        <v>40.75</v>
      </c>
      <c r="BB18" s="530">
        <f t="shared" si="17"/>
        <v>39.975000000000001</v>
      </c>
      <c r="BC18" s="530">
        <f t="shared" si="18"/>
        <v>-1937.4999999999964</v>
      </c>
      <c r="BD18" s="530">
        <f>BC18/'Master P&amp;L'!$AD$7*10000</f>
        <v>-8.0858401774256284E-3</v>
      </c>
    </row>
    <row r="19" spans="1:56">
      <c r="A19" s="335"/>
      <c r="B19" s="73" t="s">
        <v>2049</v>
      </c>
      <c r="C19" s="73" t="str" cm="1">
        <f t="array" ref="C19">_xll.BDP($B19&amp;" Equity","opt_put_call")</f>
        <v>Put</v>
      </c>
      <c r="D19" s="73" t="str" cm="1">
        <f t="array" ref="D19">_xll.BDP(B19&amp;" Equity","OPT_UNDL_TICKER")</f>
        <v>MSFT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53</v>
      </c>
      <c r="G19" s="73" t="str" cm="1">
        <f t="array" ref="G19">_xll.BDP(B19&amp;" Equity","QUOTED_CURRENCY_REALTIME")</f>
        <v>USD</v>
      </c>
      <c r="H19" s="42">
        <v>-50</v>
      </c>
      <c r="I19" s="409">
        <v>17.829999999999998</v>
      </c>
      <c r="J19" s="14">
        <f>VLOOKUP(B19,Precificação!$B:$O,14,FALSE)</f>
        <v>19.925000000000001</v>
      </c>
      <c r="K19" s="14">
        <f t="shared" si="19"/>
        <v>19.925000000000001</v>
      </c>
      <c r="L19" s="74" cm="1">
        <f t="array" ref="L19">_xll.BDP($B19&amp;" Equity","mid")</f>
        <v>17.649999999999999</v>
      </c>
      <c r="M19" s="75">
        <f t="shared" si="1"/>
        <v>3.7530832695415496E-2</v>
      </c>
      <c r="N19" s="352"/>
      <c r="O19" s="75">
        <f t="shared" si="2"/>
        <v>-0.11417816813048942</v>
      </c>
      <c r="P19" s="74" cm="1">
        <f t="array" ref="P19">_xll.BDP($B19&amp;" Equity","bid")</f>
        <v>17.55</v>
      </c>
      <c r="Q19" s="74" cm="1">
        <f t="array" ref="Q19">_xll.BDP($B19&amp;" Equity","ask")</f>
        <v>17.75</v>
      </c>
      <c r="R19" s="76">
        <f t="shared" si="3"/>
        <v>1.139601139601143E-2</v>
      </c>
      <c r="S19" s="36" cm="1">
        <f t="array" ref="S19">_xll.BDP(G19&amp;" Curncy","PX_LAST")</f>
        <v>1</v>
      </c>
      <c r="T19" s="42" cm="1">
        <f t="array" ref="T19">_xll.BDP(B19&amp;" Equity","OPT_MULTIPLIER")</f>
        <v>100</v>
      </c>
      <c r="U19" s="42">
        <f t="shared" si="4"/>
        <v>-88249.999999999985</v>
      </c>
      <c r="V19" s="113">
        <f>U19/'Master P&amp;L'!$AD$7*10000</f>
        <v>-0.36829697840403253</v>
      </c>
      <c r="W19" s="113">
        <f>(Y19*H19*T19/S19)/'Master P&amp;L'!$AD$7*10000</f>
        <v>-0.36829697840403253</v>
      </c>
      <c r="X19" s="118">
        <f t="shared" si="5"/>
        <v>0</v>
      </c>
      <c r="Y19" s="272">
        <f t="shared" si="6"/>
        <v>17.649999999999999</v>
      </c>
      <c r="Z19" s="77">
        <f>_xll.BDP(D19&amp;" Equity","LAST_PRICE")</f>
        <v>470.28</v>
      </c>
      <c r="AA19" s="77" cm="1">
        <f t="array" ref="AA19">_xll.BDP(B19&amp;" Equity","OPT_STRIKE_PX")</f>
        <v>465</v>
      </c>
      <c r="AB19" s="76">
        <f t="shared" si="7"/>
        <v>-1.1227353916815508E-2</v>
      </c>
      <c r="AC19" s="323" cm="1">
        <f t="array" ref="AC19">_xll.BDP($D19&amp;" Equity","volatility_10d")</f>
        <v>31.02471982268526</v>
      </c>
      <c r="AD19" s="77" cm="1">
        <f t="array" ref="AD19">_xll.BDP(B19&amp;" Equity","ivol_mid")</f>
        <v>29.098520000000001</v>
      </c>
      <c r="AE19" s="77">
        <f t="shared" si="8"/>
        <v>0.93791403004784513</v>
      </c>
      <c r="AF19" s="78" cm="1">
        <f t="array" ref="AF19">_xll.BDP(B19&amp;" Equity","DELTA_MID_RT")</f>
        <v>-0.42768454551696777</v>
      </c>
      <c r="AG19" s="75">
        <f>AL19/'Master P&amp;L'!$AE$7</f>
        <v>4.1969472700572957E-4</v>
      </c>
      <c r="AH19" s="75">
        <f>AM19/'Master P&amp;L'!$AE$7</f>
        <v>9.8131843061670496E-4</v>
      </c>
      <c r="AI19" s="435">
        <f>AO19/'Master P&amp;L'!$AD$7*10000</f>
        <v>3.9999079347612628E-3</v>
      </c>
      <c r="AJ19" s="350">
        <f t="shared" si="9"/>
        <v>-7.773026198353096E-2</v>
      </c>
      <c r="AK19" s="78">
        <f>AP19/'Master P&amp;L'!$AD$7*10000</f>
        <v>4.7471706848111889E-2</v>
      </c>
      <c r="AL19" s="42">
        <f t="shared" si="10"/>
        <v>1005657.440328598</v>
      </c>
      <c r="AM19" s="42">
        <f t="shared" si="11"/>
        <v>2351400</v>
      </c>
      <c r="AN19" s="78" cm="1">
        <f t="array" ref="AN19">_xll.BDP($B19&amp;" Equity","theta_mid_rt")</f>
        <v>-0.19168871641159058</v>
      </c>
      <c r="AO19" s="42">
        <f t="shared" si="12"/>
        <v>958.44358205795288</v>
      </c>
      <c r="AP19" s="42">
        <f t="shared" si="13"/>
        <v>11375.000000000011</v>
      </c>
      <c r="AQ19" s="74" t="str" cm="1">
        <f t="array" ref="AQ19">_xll.BDP($D19&amp;" Equity","EXPECTED_REPORT_DT")</f>
        <v>28/01/2026</v>
      </c>
      <c r="AR19" s="235" cm="1">
        <f t="array" ref="AR19">_xll.BDP($B19&amp;" Equity","GAMMA_LAST")</f>
        <v>3.4845000000000001E-2</v>
      </c>
      <c r="AS19" s="73">
        <f t="shared" si="14"/>
        <v>-385321.7217924</v>
      </c>
      <c r="AT19" s="73">
        <f t="shared" si="15"/>
        <v>-1926608.6089619999</v>
      </c>
      <c r="AU19" s="73" t="s">
        <v>151</v>
      </c>
      <c r="AV19" s="322" cm="1">
        <f t="array" ref="AV19">_xll.BDP($D19&amp;" Equity","EST_PE_NXT_YR")*(AA19/Z19)</f>
        <v>24.864917492358678</v>
      </c>
      <c r="AW19" s="73"/>
      <c r="AX19" s="42"/>
      <c r="AY19" s="42">
        <v>17.649999999999999</v>
      </c>
      <c r="AZ19" s="354"/>
      <c r="BA19" s="42">
        <f t="shared" si="16"/>
        <v>17.649999999999999</v>
      </c>
      <c r="BB19" s="346">
        <f t="shared" si="17"/>
        <v>19.925000000000001</v>
      </c>
      <c r="BC19" s="346">
        <f t="shared" si="18"/>
        <v>-11375.000000000011</v>
      </c>
      <c r="BD19" s="346">
        <f>BC19/'Master P&amp;L'!$AD$7*10000</f>
        <v>-4.7471706848111889E-2</v>
      </c>
    </row>
    <row r="20" spans="1:56" s="132" customFormat="1">
      <c r="A20" s="482" t="s">
        <v>1770</v>
      </c>
      <c r="B20" s="132" t="s">
        <v>2359</v>
      </c>
      <c r="C20" s="132" t="str" cm="1">
        <f t="array" ref="C20">_xll.BDP($B20&amp;" Equity","opt_put_call")</f>
        <v>Call</v>
      </c>
      <c r="D20" s="132" t="str" cm="1">
        <f t="array" ref="D20">_xll.BDP(B20&amp;" Equity","OPT_UNDL_TICKER")</f>
        <v>INTC US</v>
      </c>
      <c r="E20" s="132" t="str" cm="1">
        <f t="array" ref="E20">_xll.BDP($B20&amp;" Equity","mifid_Maturity_date")</f>
        <v>17/07/2026</v>
      </c>
      <c r="F20" s="132" cm="1">
        <f t="array" ref="F20">_xll.BDP($B20&amp;" Equity","opt_days_expire")</f>
        <v>172</v>
      </c>
      <c r="G20" s="132" t="str" cm="1">
        <f t="array" ref="G20">_xll.BDP(B20&amp;" Equity","QUOTED_CURRENCY_REALTIME")</f>
        <v>USD</v>
      </c>
      <c r="H20" s="348">
        <v>-150</v>
      </c>
      <c r="I20" s="483">
        <v>3.7</v>
      </c>
      <c r="J20" s="14">
        <f>VLOOKUP(B20,Precificação!$B:$O,14,FALSE)</f>
        <v>3.125</v>
      </c>
      <c r="K20" s="14">
        <f t="shared" si="19"/>
        <v>3.125</v>
      </c>
      <c r="L20" s="197" cm="1">
        <f t="array" ref="L20">_xll.BDP($B20&amp;" Equity","mid")</f>
        <v>2.35</v>
      </c>
      <c r="M20" s="484">
        <f t="shared" ref="M20:M22" si="52">L20/Z20</f>
        <v>5.5307131089668157E-2</v>
      </c>
      <c r="N20" s="485"/>
      <c r="O20" s="484">
        <f t="shared" ref="O20:O22" si="53">L20/K20-1</f>
        <v>-0.248</v>
      </c>
      <c r="P20" s="197" cm="1">
        <f t="array" ref="P20">_xll.BDP($B20&amp;" Equity","bid")</f>
        <v>2.2400000000000002</v>
      </c>
      <c r="Q20" s="197" cm="1">
        <f t="array" ref="Q20">_xll.BDP($B20&amp;" Equity","ask")</f>
        <v>2.46</v>
      </c>
      <c r="R20" s="486">
        <f t="shared" ref="R20:R22" si="54">(Q20/P20-1)</f>
        <v>9.8214285714285587E-2</v>
      </c>
      <c r="S20" s="197" cm="1">
        <f t="array" ref="S20">_xll.BDP(G20&amp;" Curncy","PX_LAST")</f>
        <v>1</v>
      </c>
      <c r="T20" s="348" cm="1">
        <f t="array" ref="T20">_xll.BDP(B20&amp;" Equity","OPT_MULTIPLIER")</f>
        <v>100</v>
      </c>
      <c r="U20" s="348">
        <f t="shared" ref="U20:U22" si="55">(L20/S20)*H20*T20</f>
        <v>-35250</v>
      </c>
      <c r="V20" s="487">
        <f>U20/'Master P&amp;L'!$AD$7*10000</f>
        <v>-0.14711012451832464</v>
      </c>
      <c r="W20" s="487">
        <f>(Y20*H20*T20/S20)/'Master P&amp;L'!$AD$7*10000</f>
        <v>-0.14711012451832464</v>
      </c>
      <c r="X20" s="488">
        <f t="shared" ref="X20:X22" si="56">IF(C20="Put",IF(Z20&lt;AA20,AA20-Z20,0),IF(Z20&gt;AA20,Z20-AA20,0))</f>
        <v>0</v>
      </c>
      <c r="Y20" s="489">
        <f t="shared" ref="Y20:Y22" si="57">L20-X20</f>
        <v>2.35</v>
      </c>
      <c r="Z20" s="490">
        <f>_xll.BDP(D20&amp;" Equity","LAST_PRICE")</f>
        <v>42.49</v>
      </c>
      <c r="AA20" s="490" cm="1">
        <f t="array" ref="AA20">_xll.BDP(B20&amp;" Equity","OPT_STRIKE_PX")</f>
        <v>60</v>
      </c>
      <c r="AB20" s="486">
        <f t="shared" ref="AB20:AB22" si="58">AA20/Z20-1</f>
        <v>0.41209696399152729</v>
      </c>
      <c r="AC20" s="491" cm="1">
        <f t="array" ref="AC20">_xll.BDP($D20&amp;" Equity","volatility_10d")</f>
        <v>137.82045179517326</v>
      </c>
      <c r="AD20" s="490" cm="1">
        <f t="array" ref="AD20">_xll.BDP(B20&amp;" Equity","ivol_mid")</f>
        <v>58.498040000000003</v>
      </c>
      <c r="AE20" s="490">
        <f t="shared" ref="AE20:AE22" si="59">AD20/AC20</f>
        <v>0.42445108282578364</v>
      </c>
      <c r="AF20" s="492" cm="1">
        <f t="array" ref="AF20">_xll.BDP(B20&amp;" Equity","DELTA_MID_RT")</f>
        <v>0.27010548114776611</v>
      </c>
      <c r="AG20" s="484">
        <f>AL20/'Master P&amp;L'!$AE$7</f>
        <v>-7.1844715467717947E-5</v>
      </c>
      <c r="AH20" s="484">
        <f>AM20/'Master P&amp;L'!$AE$7</f>
        <v>-2.659876251397282E-4</v>
      </c>
      <c r="AI20" s="493">
        <f>AO20/'Master P&amp;L'!$AD$7*10000</f>
        <v>1.0242612668279051E-3</v>
      </c>
      <c r="AJ20" s="485">
        <f t="shared" ref="AJ20:AJ22" si="60">(252*AI20)/$AI$1</f>
        <v>-1.9904482280257357E-2</v>
      </c>
      <c r="AK20" s="492">
        <f>AP20/'Master P&amp;L'!$AD$7*10000</f>
        <v>4.8515041064553857E-2</v>
      </c>
      <c r="AL20" s="348">
        <f t="shared" ref="AL20:AL22" si="61">Z20*AF20*H20*T20/S20</f>
        <v>-172151.72840952876</v>
      </c>
      <c r="AM20" s="348">
        <f t="shared" ref="AM20:AM22" si="62">IF(C20="Put",-Z20*H20*T20/S20,Z20*H20*T20/S20)</f>
        <v>-637350</v>
      </c>
      <c r="AN20" s="492" cm="1">
        <f t="array" ref="AN20">_xll.BDP($B20&amp;" Equity","theta_mid_rt")</f>
        <v>-1.6361987218260765E-2</v>
      </c>
      <c r="AO20" s="348">
        <f t="shared" ref="AO20:AO22" si="63">AN20*H20*T20/S20</f>
        <v>245.42980827391148</v>
      </c>
      <c r="AP20" s="348">
        <f t="shared" ref="AP20:AP22" si="64">(L20-K20)*T20/S20*H20</f>
        <v>11624.999999999998</v>
      </c>
      <c r="AQ20" s="197" t="str" cm="1">
        <f t="array" ref="AQ20">_xll.BDP($D20&amp;" Equity","EXPECTED_REPORT_DT")</f>
        <v>24/04/2026</v>
      </c>
      <c r="AR20" s="494" cm="1">
        <f t="array" ref="AR20">_xll.BDP($B20&amp;" Equity","GAMMA_LAST")</f>
        <v>8.2100000000000003E-3</v>
      </c>
      <c r="AS20" s="132">
        <f t="shared" si="14"/>
        <v>-2223.3502231500006</v>
      </c>
      <c r="AT20" s="132">
        <f t="shared" si="15"/>
        <v>-11116.751115750001</v>
      </c>
      <c r="AU20" s="132" t="s">
        <v>151</v>
      </c>
      <c r="AV20" s="495" cm="1">
        <f t="array" ref="AV20">_xll.BDP($D20&amp;" Equity","EST_PE_NXT_YR")*(AA20/Z20)</f>
        <v>60.204385440089375</v>
      </c>
      <c r="AX20" s="348"/>
      <c r="AY20" s="348">
        <v>2.35</v>
      </c>
      <c r="AZ20" s="496"/>
      <c r="BA20" s="348">
        <f t="shared" ref="BA20:BA22" si="65">+AY20</f>
        <v>2.35</v>
      </c>
      <c r="BB20" s="497">
        <f t="shared" ref="BB20:BB22" si="66">+J20</f>
        <v>3.125</v>
      </c>
      <c r="BC20" s="497">
        <f t="shared" ref="BC20:BC22" si="67">(BB20-BA20)*H20*100</f>
        <v>-11624.999999999998</v>
      </c>
      <c r="BD20" s="497">
        <f>BC20/'Master P&amp;L'!$AD$7*10000</f>
        <v>-4.8515041064553857E-2</v>
      </c>
    </row>
    <row r="21" spans="1:56" s="132" customFormat="1">
      <c r="A21" s="482" t="s">
        <v>1770</v>
      </c>
      <c r="B21" s="132" t="s">
        <v>2358</v>
      </c>
      <c r="C21" s="132" t="str" cm="1">
        <f t="array" ref="C21">_xll.BDP($B21&amp;" Equity","opt_put_call")</f>
        <v>Call</v>
      </c>
      <c r="D21" s="132" t="str" cm="1">
        <f t="array" ref="D21">_xll.BDP(B21&amp;" Equity","OPT_UNDL_TICKER")</f>
        <v>INTC US</v>
      </c>
      <c r="E21" s="132" t="str" cm="1">
        <f t="array" ref="E21">_xll.BDP($B21&amp;" Equity","mifid_Maturity_date")</f>
        <v>17/07/2026</v>
      </c>
      <c r="F21" s="132" cm="1">
        <f t="array" ref="F21">_xll.BDP($B21&amp;" Equity","opt_days_expire")</f>
        <v>172</v>
      </c>
      <c r="G21" s="132" t="str" cm="1">
        <f t="array" ref="G21">_xll.BDP(B21&amp;" Equity","QUOTED_CURRENCY_REALTIME")</f>
        <v>USD</v>
      </c>
      <c r="H21" s="348">
        <v>150</v>
      </c>
      <c r="I21" s="483">
        <v>6.4</v>
      </c>
      <c r="J21" s="14">
        <f>VLOOKUP(B21,Precificação!$B:$O,14,FALSE)</f>
        <v>5.4499999999999993</v>
      </c>
      <c r="K21" s="14">
        <f t="shared" si="19"/>
        <v>5.4499999999999993</v>
      </c>
      <c r="L21" s="197" cm="1">
        <f t="array" ref="L21">_xll.BDP($B21&amp;" Equity","mid")</f>
        <v>4.1500000000000004</v>
      </c>
      <c r="M21" s="484">
        <f t="shared" si="52"/>
        <v>9.7670040009413983E-2</v>
      </c>
      <c r="N21" s="485"/>
      <c r="O21" s="484">
        <f t="shared" si="53"/>
        <v>-0.23853211009174291</v>
      </c>
      <c r="P21" s="197" cm="1">
        <f t="array" ref="P21">_xll.BDP($B21&amp;" Equity","bid")</f>
        <v>4.05</v>
      </c>
      <c r="Q21" s="197" cm="1">
        <f t="array" ref="Q21">_xll.BDP($B21&amp;" Equity","ask")</f>
        <v>4.25</v>
      </c>
      <c r="R21" s="486">
        <f t="shared" si="54"/>
        <v>4.9382716049382713E-2</v>
      </c>
      <c r="S21" s="197" cm="1">
        <f t="array" ref="S21">_xll.BDP(G21&amp;" Curncy","PX_LAST")</f>
        <v>1</v>
      </c>
      <c r="T21" s="348" cm="1">
        <f t="array" ref="T21">_xll.BDP(B21&amp;" Equity","OPT_MULTIPLIER")</f>
        <v>100</v>
      </c>
      <c r="U21" s="348">
        <f t="shared" si="55"/>
        <v>62250</v>
      </c>
      <c r="V21" s="487">
        <f>U21/'Master P&amp;L'!$AD$7*10000</f>
        <v>0.25979021989406265</v>
      </c>
      <c r="W21" s="487">
        <f>(Y21*H21*T21/S21)/'Master P&amp;L'!$AD$7*10000</f>
        <v>0.25979021989406265</v>
      </c>
      <c r="X21" s="488">
        <f t="shared" si="56"/>
        <v>0</v>
      </c>
      <c r="Y21" s="489">
        <f t="shared" si="57"/>
        <v>4.1500000000000004</v>
      </c>
      <c r="Z21" s="490">
        <f>_xll.BDP(D21&amp;" Equity","LAST_PRICE")</f>
        <v>42.49</v>
      </c>
      <c r="AA21" s="490" cm="1">
        <f t="array" ref="AA21">_xll.BDP(B21&amp;" Equity","OPT_STRIKE_PX")</f>
        <v>50</v>
      </c>
      <c r="AB21" s="486">
        <f t="shared" si="58"/>
        <v>0.17674746999293944</v>
      </c>
      <c r="AC21" s="491" cm="1">
        <f t="array" ref="AC21">_xll.BDP($D21&amp;" Equity","volatility_10d")</f>
        <v>137.82045179517326</v>
      </c>
      <c r="AD21" s="490" cm="1">
        <f t="array" ref="AD21">_xll.BDP(B21&amp;" Equity","ivol_mid")</f>
        <v>56.264890000000001</v>
      </c>
      <c r="AE21" s="490">
        <f t="shared" si="59"/>
        <v>0.40824775472090352</v>
      </c>
      <c r="AF21" s="492" cm="1">
        <f t="array" ref="AF21">_xll.BDP(B21&amp;" Equity","DELTA_MID_RT")</f>
        <v>0.42671576142311096</v>
      </c>
      <c r="AG21" s="484">
        <f>AL21/'Master P&amp;L'!$AE$7</f>
        <v>1.1350111199062414E-4</v>
      </c>
      <c r="AH21" s="484">
        <f>AM21/'Master P&amp;L'!$AE$7</f>
        <v>2.659876251397282E-4</v>
      </c>
      <c r="AI21" s="493">
        <f>AO21/'Master P&amp;L'!$AD$7*10000</f>
        <v>-1.150689558871338E-3</v>
      </c>
      <c r="AJ21" s="485">
        <f t="shared" si="60"/>
        <v>2.236136489429506E-2</v>
      </c>
      <c r="AK21" s="492">
        <f>AP21/'Master P&amp;L'!$AD$7*10000</f>
        <v>-8.1380068882477383E-2</v>
      </c>
      <c r="AL21" s="348">
        <f t="shared" si="61"/>
        <v>271967.29054301977</v>
      </c>
      <c r="AM21" s="348">
        <f t="shared" si="62"/>
        <v>637350</v>
      </c>
      <c r="AN21" s="492" cm="1">
        <f t="array" ref="AN21">_xll.BDP($B21&amp;" Equity","theta_mid_rt")</f>
        <v>-1.8381606787443161E-2</v>
      </c>
      <c r="AO21" s="348">
        <f t="shared" si="63"/>
        <v>-275.72410181164742</v>
      </c>
      <c r="AP21" s="348">
        <f t="shared" si="64"/>
        <v>-19499.999999999982</v>
      </c>
      <c r="AQ21" s="197" t="str" cm="1">
        <f t="array" ref="AQ21">_xll.BDP($D21&amp;" Equity","EXPECTED_REPORT_DT")</f>
        <v>24/04/2026</v>
      </c>
      <c r="AR21" s="494" cm="1">
        <f t="array" ref="AR21">_xll.BDP($B21&amp;" Equity","GAMMA_LAST")</f>
        <v>1.0148000000000001E-2</v>
      </c>
      <c r="AS21" s="132">
        <f t="shared" si="14"/>
        <v>2748.1800322200006</v>
      </c>
      <c r="AT21" s="132">
        <f t="shared" si="15"/>
        <v>13740.900161100004</v>
      </c>
      <c r="AU21" s="132" t="s">
        <v>151</v>
      </c>
      <c r="AV21" s="495" cm="1">
        <f t="array" ref="AV21">_xll.BDP($D21&amp;" Equity","EST_PE_NXT_YR")*(AA21/Z21)</f>
        <v>50.170321200074476</v>
      </c>
      <c r="AX21" s="348"/>
      <c r="AY21" s="348">
        <v>4.1500000000000004</v>
      </c>
      <c r="AZ21" s="496"/>
      <c r="BA21" s="348">
        <f t="shared" si="65"/>
        <v>4.1500000000000004</v>
      </c>
      <c r="BB21" s="497">
        <f t="shared" si="66"/>
        <v>5.4499999999999993</v>
      </c>
      <c r="BC21" s="497">
        <f t="shared" si="67"/>
        <v>19499.999999999982</v>
      </c>
      <c r="BD21" s="497">
        <f>BC21/'Master P&amp;L'!$AD$7*10000</f>
        <v>8.1380068882477383E-2</v>
      </c>
    </row>
    <row r="22" spans="1:56" s="132" customFormat="1">
      <c r="A22" s="482" t="s">
        <v>1770</v>
      </c>
      <c r="B22" s="132" t="s">
        <v>2357</v>
      </c>
      <c r="C22" s="132" t="str" cm="1">
        <f t="array" ref="C22">_xll.BDP($B22&amp;" Equity","opt_put_call")</f>
        <v>Put</v>
      </c>
      <c r="D22" s="132" t="str" cm="1">
        <f t="array" ref="D22">_xll.BDP(B22&amp;" Equity","OPT_UNDL_TICKER")</f>
        <v>INTC US</v>
      </c>
      <c r="E22" s="132" t="str" cm="1">
        <f t="array" ref="E22">_xll.BDP($B22&amp;" Equity","mifid_Maturity_date")</f>
        <v>17/07/2026</v>
      </c>
      <c r="F22" s="132" cm="1">
        <f t="array" ref="F22">_xll.BDP($B22&amp;" Equity","opt_days_expire")</f>
        <v>172</v>
      </c>
      <c r="G22" s="132" t="str" cm="1">
        <f t="array" ref="G22">_xll.BDP(B22&amp;" Equity","QUOTED_CURRENCY_REALTIME")</f>
        <v>USD</v>
      </c>
      <c r="H22" s="348">
        <v>-150</v>
      </c>
      <c r="I22" s="483">
        <v>3.8</v>
      </c>
      <c r="J22" s="14">
        <f>VLOOKUP(B22,Precificação!$B:$O,14,FALSE)</f>
        <v>3.875</v>
      </c>
      <c r="K22" s="14">
        <f t="shared" si="19"/>
        <v>3.875</v>
      </c>
      <c r="L22" s="197" cm="1">
        <f t="array" ref="L22">_xll.BDP($B22&amp;" Equity","mid")</f>
        <v>4.57</v>
      </c>
      <c r="M22" s="484">
        <f t="shared" si="52"/>
        <v>0.10755471875735467</v>
      </c>
      <c r="N22" s="485"/>
      <c r="O22" s="484">
        <f t="shared" si="53"/>
        <v>0.1793548387096775</v>
      </c>
      <c r="P22" s="197" cm="1">
        <f t="array" ref="P22">_xll.BDP($B22&amp;" Equity","bid")</f>
        <v>4.55</v>
      </c>
      <c r="Q22" s="197" cm="1">
        <f t="array" ref="Q22">_xll.BDP($B22&amp;" Equity","ask")</f>
        <v>4.5999999999999996</v>
      </c>
      <c r="R22" s="486">
        <f t="shared" si="54"/>
        <v>1.098901098901095E-2</v>
      </c>
      <c r="S22" s="197" cm="1">
        <f t="array" ref="S22">_xll.BDP(G22&amp;" Curncy","PX_LAST")</f>
        <v>1</v>
      </c>
      <c r="T22" s="348" cm="1">
        <f t="array" ref="T22">_xll.BDP(B22&amp;" Equity","OPT_MULTIPLIER")</f>
        <v>100</v>
      </c>
      <c r="U22" s="348">
        <f t="shared" si="55"/>
        <v>-68550</v>
      </c>
      <c r="V22" s="487">
        <f>U22/'Master P&amp;L'!$AD$7*10000</f>
        <v>-0.2860822421484015</v>
      </c>
      <c r="W22" s="487">
        <f>(Y22*H22*T22/S22)/'Master P&amp;L'!$AD$7*10000</f>
        <v>-0.2860822421484015</v>
      </c>
      <c r="X22" s="488">
        <f t="shared" si="56"/>
        <v>0</v>
      </c>
      <c r="Y22" s="489">
        <f t="shared" si="57"/>
        <v>4.57</v>
      </c>
      <c r="Z22" s="490">
        <f>_xll.BDP(D22&amp;" Equity","LAST_PRICE")</f>
        <v>42.49</v>
      </c>
      <c r="AA22" s="490" cm="1">
        <f t="array" ref="AA22">_xll.BDP(B22&amp;" Equity","OPT_STRIKE_PX")</f>
        <v>40</v>
      </c>
      <c r="AB22" s="486">
        <f t="shared" si="58"/>
        <v>-5.8602024005648401E-2</v>
      </c>
      <c r="AC22" s="491" cm="1">
        <f t="array" ref="AC22">_xll.BDP($D22&amp;" Equity","volatility_10d")</f>
        <v>137.82045179517326</v>
      </c>
      <c r="AD22" s="490" cm="1">
        <f t="array" ref="AD22">_xll.BDP(B22&amp;" Equity","ivol_mid")</f>
        <v>53.666460000000001</v>
      </c>
      <c r="AE22" s="490">
        <f t="shared" si="59"/>
        <v>0.38939402172152437</v>
      </c>
      <c r="AF22" s="492" cm="1">
        <f t="array" ref="AF22">_xll.BDP(B22&amp;" Equity","DELTA_MID_RT")</f>
        <v>-0.3505139946937561</v>
      </c>
      <c r="AG22" s="484">
        <f>AL22/'Master P&amp;L'!$AE$7</f>
        <v>9.3232385026831481E-5</v>
      </c>
      <c r="AH22" s="484">
        <f>AM22/'Master P&amp;L'!$AE$7</f>
        <v>2.659876251397282E-4</v>
      </c>
      <c r="AI22" s="493">
        <f>AO22/'Master P&amp;L'!$AD$7*10000</f>
        <v>1.0490230338657206E-3</v>
      </c>
      <c r="AJ22" s="485">
        <f t="shared" si="60"/>
        <v>-2.0385678015363555E-2</v>
      </c>
      <c r="AK22" s="492">
        <f>AP22/'Master P&amp;L'!$AD$7*10000</f>
        <v>-4.3507036825632193E-2</v>
      </c>
      <c r="AL22" s="348">
        <f t="shared" si="61"/>
        <v>223400.09451806545</v>
      </c>
      <c r="AM22" s="348">
        <f t="shared" si="62"/>
        <v>637350</v>
      </c>
      <c r="AN22" s="492" cm="1">
        <f t="array" ref="AN22">_xll.BDP($B22&amp;" Equity","theta_mid_rt")</f>
        <v>-1.675754226744175E-2</v>
      </c>
      <c r="AO22" s="348">
        <f t="shared" si="63"/>
        <v>251.36313401162624</v>
      </c>
      <c r="AP22" s="348">
        <f t="shared" si="64"/>
        <v>-10425.000000000004</v>
      </c>
      <c r="AQ22" s="197" t="str" cm="1">
        <f t="array" ref="AQ22">_xll.BDP($D22&amp;" Equity","EXPECTED_REPORT_DT")</f>
        <v>24/04/2026</v>
      </c>
      <c r="AR22" s="494" cm="1">
        <f t="array" ref="AR22">_xll.BDP($B22&amp;" Equity","GAMMA_LAST")</f>
        <v>1.0134000000000001E-2</v>
      </c>
      <c r="AS22" s="132">
        <f t="shared" si="14"/>
        <v>-2744.3886920100008</v>
      </c>
      <c r="AT22" s="132">
        <f t="shared" si="15"/>
        <v>-13721.943460050004</v>
      </c>
      <c r="AU22" s="132" t="s">
        <v>151</v>
      </c>
      <c r="AV22" s="495" cm="1">
        <f t="array" ref="AV22">_xll.BDP($D22&amp;" Equity","EST_PE_NXT_YR")*(AA22/Z22)</f>
        <v>40.136256960059583</v>
      </c>
      <c r="AX22" s="348"/>
      <c r="AY22" s="348">
        <v>4.57</v>
      </c>
      <c r="AZ22" s="496"/>
      <c r="BA22" s="348">
        <f t="shared" si="65"/>
        <v>4.57</v>
      </c>
      <c r="BB22" s="497">
        <f t="shared" si="66"/>
        <v>3.875</v>
      </c>
      <c r="BC22" s="497">
        <f t="shared" si="67"/>
        <v>10425.000000000004</v>
      </c>
      <c r="BD22" s="497">
        <f>BC22/'Master P&amp;L'!$AD$7*10000</f>
        <v>4.3507036825632193E-2</v>
      </c>
    </row>
    <row r="23" spans="1:56" s="59" customFormat="1">
      <c r="A23" s="356"/>
      <c r="B23" t="s">
        <v>2228</v>
      </c>
      <c r="C23" t="str" cm="1">
        <f t="array" ref="C23">_xll.BDP($B23&amp;" Equity","opt_put_call")</f>
        <v>Call</v>
      </c>
      <c r="D23" t="str" cm="1">
        <f t="array" ref="D23">_xll.BDP(B23&amp;" Equity","OPT_UNDL_TICKER")</f>
        <v>TSM US</v>
      </c>
      <c r="E23" t="str" cm="1">
        <f t="array" ref="E23">_xll.BDP($B23&amp;" Equity","mifid_Maturity_date")</f>
        <v>18/06/2026</v>
      </c>
      <c r="F23" cm="1">
        <f t="array" ref="F23">_xll.BDP($B23&amp;" Equity","opt_days_expire")</f>
        <v>143</v>
      </c>
      <c r="G23" t="str" cm="1">
        <f t="array" ref="G23">_xll.BDP(B23&amp;" Equity","QUOTED_CURRENCY_REALTIME")</f>
        <v>USD</v>
      </c>
      <c r="H23" s="15">
        <v>1550</v>
      </c>
      <c r="I23" s="410">
        <v>34.200000000000003</v>
      </c>
      <c r="J23" s="14">
        <f>VLOOKUP(B23,Precificação!$B:$O,14,FALSE)</f>
        <v>31.75</v>
      </c>
      <c r="K23" s="14">
        <f t="shared" si="19"/>
        <v>31.75</v>
      </c>
      <c r="L23" s="74" cm="1">
        <f t="array" ref="L23">_xll.BDP($B23&amp;" Equity","mid")</f>
        <v>29.77</v>
      </c>
      <c r="M23" s="19">
        <f t="shared" si="1"/>
        <v>8.9477322593249378E-2</v>
      </c>
      <c r="N23" s="350"/>
      <c r="O23" s="19">
        <f t="shared" si="2"/>
        <v>-6.2362204724409454E-2</v>
      </c>
      <c r="P23" s="36" cm="1">
        <f t="array" ref="P23">_xll.BDP($B23&amp;" Equity","bid")</f>
        <v>29</v>
      </c>
      <c r="Q23" s="36" cm="1">
        <f t="array" ref="Q23">_xll.BDP($B23&amp;" Equity","ask")</f>
        <v>30.55</v>
      </c>
      <c r="R23" s="40">
        <f t="shared" si="3"/>
        <v>5.3448275862068906E-2</v>
      </c>
      <c r="S23" s="36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 t="shared" si="4"/>
        <v>4614350</v>
      </c>
      <c r="V23" s="124">
        <f>U23/'Master P&amp;L'!$AD$7*10000</f>
        <v>19.257236966556913</v>
      </c>
      <c r="W23" s="124">
        <f>(Y23*H23*T23/S23)/'Master P&amp;L'!$AD$7*10000</f>
        <v>19.257236966556913</v>
      </c>
      <c r="X23" s="413">
        <f t="shared" si="5"/>
        <v>0</v>
      </c>
      <c r="Y23" s="273">
        <f t="shared" si="6"/>
        <v>29.77</v>
      </c>
      <c r="Z23" s="37">
        <f>_xll.BDP(D23&amp;" Equity","LAST_PRICE")</f>
        <v>332.71</v>
      </c>
      <c r="AA23" s="37" cm="1">
        <f t="array" ref="AA23">_xll.BDP(B23&amp;" Equity","OPT_STRIKE_PX")</f>
        <v>340</v>
      </c>
      <c r="AB23" s="40">
        <f t="shared" si="7"/>
        <v>2.1910973520483434E-2</v>
      </c>
      <c r="AC23" s="324" cm="1">
        <f t="array" ref="AC23">_xll.BDP($D23&amp;" Equity","volatility_10d")</f>
        <v>39.003594480462539</v>
      </c>
      <c r="AD23" s="37" cm="1">
        <f t="array" ref="AD23">_xll.BDP(B23&amp;" Equity","ivol_mid")</f>
        <v>37.77608</v>
      </c>
      <c r="AE23" s="37">
        <f t="shared" si="8"/>
        <v>0.9685281703695946</v>
      </c>
      <c r="AF23" s="38" cm="1">
        <f t="array" ref="AF23">_xll.BDP(B23&amp;" Equity","DELTA_MID_RT")</f>
        <v>0.53251582384109497</v>
      </c>
      <c r="AG23" s="19">
        <f>AL23/'Master P&amp;L'!$AE$7</f>
        <v>1.1460762471364913E-2</v>
      </c>
      <c r="AH23" s="19">
        <f>AM23/'Master P&amp;L'!$AE$7</f>
        <v>2.1521919083450285E-2</v>
      </c>
      <c r="AI23" s="434">
        <f>AO23/'Master P&amp;L'!$AD$7*10000</f>
        <v>-6.7501996687202317E-2</v>
      </c>
      <c r="AJ23" s="350">
        <f t="shared" si="9"/>
        <v>1.3117671637661936</v>
      </c>
      <c r="AK23" s="38">
        <f>AP23/'Master P&amp;L'!$AD$7*10000</f>
        <v>-1.2807970841042224</v>
      </c>
      <c r="AL23" s="15">
        <f t="shared" si="10"/>
        <v>27461867.66127646</v>
      </c>
      <c r="AM23" s="15">
        <f t="shared" si="11"/>
        <v>51570049.999999993</v>
      </c>
      <c r="AN23" s="38" cm="1">
        <f t="array" ref="AN23">_xll.BDP($B23&amp;" Equity","theta_mid_rt")</f>
        <v>-0.10435216873884201</v>
      </c>
      <c r="AO23" s="15">
        <f t="shared" si="12"/>
        <v>-16174.586154520512</v>
      </c>
      <c r="AP23" s="15">
        <f t="shared" si="13"/>
        <v>-306900.00000000012</v>
      </c>
      <c r="AQ23" s="36" t="str" cm="1">
        <f t="array" ref="AQ23">_xll.BDP($D23&amp;" Equity","EXPECTED_REPORT_DT")</f>
        <v>17/04/2026</v>
      </c>
      <c r="AR23" s="66" cm="1">
        <f t="array" ref="AR23">_xll.BDP($B23&amp;" Equity","GAMMA_LAST")</f>
        <v>1.6735E-2</v>
      </c>
      <c r="AS23">
        <f t="shared" si="14"/>
        <v>2871369.7679959247</v>
      </c>
      <c r="AT23">
        <f t="shared" si="15"/>
        <v>14356848.839979624</v>
      </c>
      <c r="AU23" t="s">
        <v>151</v>
      </c>
      <c r="AV23" s="277" cm="1">
        <f t="array" ref="AV23">_xll.BDP($D23&amp;" Equity","EST_PE_NXT_YR")*(AA23/Z23)</f>
        <v>19.730843462286444</v>
      </c>
      <c r="AW23"/>
      <c r="AX23" s="15"/>
      <c r="AY23" s="15">
        <v>29.77</v>
      </c>
      <c r="AZ23" s="355"/>
      <c r="BA23" s="15">
        <f t="shared" si="16"/>
        <v>29.77</v>
      </c>
      <c r="BB23" s="414">
        <f t="shared" si="17"/>
        <v>31.75</v>
      </c>
      <c r="BC23" s="414">
        <f t="shared" si="18"/>
        <v>306900.00000000006</v>
      </c>
      <c r="BD23" s="414">
        <f>BC23/'Master P&amp;L'!$AD$7*10000</f>
        <v>1.2807970841042222</v>
      </c>
    </row>
    <row r="24" spans="1:56">
      <c r="A24" s="335"/>
      <c r="B24" s="73" t="s">
        <v>2229</v>
      </c>
      <c r="C24" s="73" t="str" cm="1">
        <f t="array" ref="C24">_xll.BDP($B24&amp;" Equity","opt_put_call")</f>
        <v>Call</v>
      </c>
      <c r="D24" s="73" t="str" cm="1">
        <f t="array" ref="D24">_xll.BDP(B24&amp;" Equity","OPT_UNDL_TICKER")</f>
        <v>TSM US</v>
      </c>
      <c r="E24" s="73" t="str" cm="1">
        <f t="array" ref="E24">_xll.BDP($B24&amp;" Equity","mifid_Maturity_date")</f>
        <v>18/06/2026</v>
      </c>
      <c r="F24" s="73" cm="1">
        <f t="array" ref="F24">_xll.BDP($B24&amp;" Equity","opt_days_expire")</f>
        <v>143</v>
      </c>
      <c r="G24" s="73" t="str" cm="1">
        <f t="array" ref="G24">_xll.BDP(B24&amp;" Equity","QUOTED_CURRENCY_REALTIME")</f>
        <v>USD</v>
      </c>
      <c r="H24" s="42">
        <v>-1400</v>
      </c>
      <c r="I24" s="409">
        <v>19.54</v>
      </c>
      <c r="J24" s="14">
        <f>VLOOKUP(B24,Precificação!$B:$O,14,FALSE)</f>
        <v>17.524999999999999</v>
      </c>
      <c r="K24" s="14">
        <f t="shared" si="19"/>
        <v>17.524999999999999</v>
      </c>
      <c r="L24" s="74" cm="1">
        <f t="array" ref="L24">_xll.BDP($B24&amp;" Equity","mid")</f>
        <v>16.55</v>
      </c>
      <c r="M24" s="75">
        <f t="shared" si="1"/>
        <v>4.9743019446364709E-2</v>
      </c>
      <c r="N24" s="352"/>
      <c r="O24" s="75">
        <f t="shared" si="2"/>
        <v>-5.5634807417974219E-2</v>
      </c>
      <c r="P24" s="74" cm="1">
        <f t="array" ref="P24">_xll.BDP($B24&amp;" Equity","bid")</f>
        <v>15.8</v>
      </c>
      <c r="Q24" s="74" cm="1">
        <f t="array" ref="Q24">_xll.BDP($B24&amp;" Equity","ask")</f>
        <v>17.3</v>
      </c>
      <c r="R24" s="76">
        <f t="shared" si="3"/>
        <v>9.4936708860759556E-2</v>
      </c>
      <c r="S24" s="36" cm="1">
        <f t="array" ref="S24">_xll.BDP(G24&amp;" Curncy","PX_LAST")</f>
        <v>1</v>
      </c>
      <c r="T24" s="42" cm="1">
        <f t="array" ref="T24">_xll.BDP(B24&amp;" Equity","OPT_MULTIPLIER")</f>
        <v>100</v>
      </c>
      <c r="U24" s="42">
        <f t="shared" si="4"/>
        <v>-2317000</v>
      </c>
      <c r="V24" s="113">
        <f>U24/'Master P&amp;L'!$AD$7*10000</f>
        <v>-9.6696215179846288</v>
      </c>
      <c r="W24" s="113">
        <f>(Y24*H24*T24/S24)/'Master P&amp;L'!$AD$7*10000</f>
        <v>-9.6696215179846288</v>
      </c>
      <c r="X24" s="118">
        <f t="shared" si="5"/>
        <v>0</v>
      </c>
      <c r="Y24" s="272">
        <f t="shared" si="6"/>
        <v>16.55</v>
      </c>
      <c r="Z24" s="77">
        <f>_xll.BDP(D24&amp;" Equity","LAST_PRICE")</f>
        <v>332.71</v>
      </c>
      <c r="AA24" s="77" cm="1">
        <f t="array" ref="AA24">_xll.BDP(B24&amp;" Equity","OPT_STRIKE_PX")</f>
        <v>380</v>
      </c>
      <c r="AB24" s="76">
        <f t="shared" si="7"/>
        <v>0.14213579393465792</v>
      </c>
      <c r="AC24" s="323" cm="1">
        <f t="array" ref="AC24">_xll.BDP($D24&amp;" Equity","volatility_10d")</f>
        <v>39.003594480462539</v>
      </c>
      <c r="AD24" s="77" cm="1">
        <f t="array" ref="AD24">_xll.BDP(B24&amp;" Equity","ivol_mid")</f>
        <v>37.540419999999997</v>
      </c>
      <c r="AE24" s="77">
        <f t="shared" si="8"/>
        <v>0.96248616313567037</v>
      </c>
      <c r="AF24" s="78" cm="1">
        <f t="array" ref="AF24">_xll.BDP(B24&amp;" Equity","DELTA_MID_RT")</f>
        <v>0.35169333219528198</v>
      </c>
      <c r="AG24" s="75">
        <f>AL24/'Master P&amp;L'!$AE$7</f>
        <v>-6.8366203953381969E-3</v>
      </c>
      <c r="AH24" s="75">
        <f>AM24/'Master P&amp;L'!$AE$7</f>
        <v>-1.9439152720535743E-2</v>
      </c>
      <c r="AI24" s="435">
        <f>AO24/'Master P&amp;L'!$AD$7*10000</f>
        <v>5.852411826561315E-2</v>
      </c>
      <c r="AJ24" s="350">
        <f t="shared" si="9"/>
        <v>-1.1372999377328856</v>
      </c>
      <c r="AK24" s="78">
        <f>AP24/'Master P&amp;L'!$AD$7*10000</f>
        <v>0.569660482177341</v>
      </c>
      <c r="AL24" s="42">
        <f t="shared" si="10"/>
        <v>-16381664.397656918</v>
      </c>
      <c r="AM24" s="42">
        <f t="shared" si="11"/>
        <v>-46579400</v>
      </c>
      <c r="AN24" s="78" cm="1">
        <f t="array" ref="AN24">_xll.BDP($B24&amp;" Equity","theta_mid_rt")</f>
        <v>-0.10016670823097229</v>
      </c>
      <c r="AO24" s="42">
        <f t="shared" si="12"/>
        <v>14023.339152336121</v>
      </c>
      <c r="AP24" s="42">
        <f t="shared" si="13"/>
        <v>136499.99999999971</v>
      </c>
      <c r="AQ24" s="74" t="str" cm="1">
        <f t="array" ref="AQ24">_xll.BDP($D24&amp;" Equity","EXPECTED_REPORT_DT")</f>
        <v>17/04/2026</v>
      </c>
      <c r="AR24" s="235" cm="1">
        <f t="array" ref="AR24">_xll.BDP($B24&amp;" Equity","GAMMA_LAST")</f>
        <v>1.5730000000000001E-2</v>
      </c>
      <c r="AS24" s="73">
        <f t="shared" si="14"/>
        <v>-2437746.0809701998</v>
      </c>
      <c r="AT24" s="73">
        <f t="shared" si="15"/>
        <v>-12188730.404850999</v>
      </c>
      <c r="AU24" s="73" t="s">
        <v>151</v>
      </c>
      <c r="AV24" s="322" cm="1">
        <f t="array" ref="AV24">_xll.BDP($D24&amp;" Equity","EST_PE_NXT_YR")*(AA24/Z24)</f>
        <v>22.052119163731906</v>
      </c>
      <c r="AW24" s="73"/>
      <c r="AX24" s="42"/>
      <c r="AY24" s="42">
        <v>16.55</v>
      </c>
      <c r="AZ24" s="354"/>
      <c r="BA24" s="42">
        <f t="shared" si="16"/>
        <v>16.55</v>
      </c>
      <c r="BB24" s="346">
        <f t="shared" si="17"/>
        <v>17.524999999999999</v>
      </c>
      <c r="BC24" s="346">
        <f t="shared" si="18"/>
        <v>-136499.99999999971</v>
      </c>
      <c r="BD24" s="346">
        <f>BC24/'Master P&amp;L'!$AD$7*10000</f>
        <v>-0.569660482177341</v>
      </c>
    </row>
    <row r="25" spans="1:56">
      <c r="H25" s="336"/>
      <c r="I25" s="218"/>
      <c r="J25" s="218"/>
      <c r="K25" s="218"/>
      <c r="L25" s="218"/>
      <c r="AZ25">
        <v>-59.569999999999993</v>
      </c>
    </row>
    <row r="26" spans="1:56">
      <c r="I26" s="64">
        <f>I23-I24</f>
        <v>14.660000000000004</v>
      </c>
      <c r="J26" s="64"/>
      <c r="K26" s="64"/>
      <c r="L26" s="64">
        <f>L23-L24</f>
        <v>13.219999999999999</v>
      </c>
      <c r="AY26">
        <v>13.219999999999999</v>
      </c>
      <c r="AZ26">
        <v>18.100000000000001</v>
      </c>
    </row>
    <row r="27" spans="1:56">
      <c r="I27" s="64"/>
      <c r="J27" s="64"/>
      <c r="K27" s="64"/>
      <c r="L27" s="64">
        <f>(AA24-AA23)</f>
        <v>40</v>
      </c>
      <c r="AY27">
        <v>40</v>
      </c>
      <c r="AZ27">
        <v>-62.749999999999993</v>
      </c>
    </row>
    <row r="28" spans="1:56">
      <c r="I28" s="64">
        <f>(L27-I26)/I26</f>
        <v>1.7285129604365614</v>
      </c>
      <c r="J28" s="218"/>
      <c r="K28" s="218"/>
      <c r="L28" s="64">
        <f>(L27-L26)/L26</f>
        <v>2.0257186081694405</v>
      </c>
      <c r="AY28">
        <v>2.0257186081694405</v>
      </c>
      <c r="AZ28">
        <v>-0.52999999999999936</v>
      </c>
    </row>
    <row r="29" spans="1:56">
      <c r="I29" s="218">
        <f>I7-I8</f>
        <v>3.5999999999999996</v>
      </c>
      <c r="J29" s="218"/>
      <c r="K29" s="218"/>
      <c r="L29" s="218">
        <f>L7-L8</f>
        <v>4.7800000000000011</v>
      </c>
      <c r="AY29">
        <v>4.7800000000000011</v>
      </c>
      <c r="AZ29" t="e">
        <v>#REF!</v>
      </c>
    </row>
    <row r="31" spans="1:56">
      <c r="H31" s="404">
        <v>300</v>
      </c>
      <c r="I31" s="411">
        <v>31.71</v>
      </c>
      <c r="J31" s="407">
        <f>H31*I31</f>
        <v>9513</v>
      </c>
    </row>
    <row r="32" spans="1:56">
      <c r="H32" s="404">
        <v>-300</v>
      </c>
      <c r="I32" s="411">
        <v>17.43</v>
      </c>
      <c r="J32" s="407">
        <f t="shared" ref="J32:J38" si="68">H32*I32</f>
        <v>-5229</v>
      </c>
    </row>
    <row r="33" spans="8:10">
      <c r="H33" s="42"/>
      <c r="I33" s="409"/>
      <c r="J33" s="407">
        <f t="shared" si="68"/>
        <v>0</v>
      </c>
    </row>
    <row r="34" spans="8:10">
      <c r="H34" s="404"/>
      <c r="I34" s="405"/>
      <c r="J34" s="407">
        <f t="shared" si="68"/>
        <v>0</v>
      </c>
    </row>
    <row r="35" spans="8:10">
      <c r="H35" s="42">
        <v>1250</v>
      </c>
      <c r="I35" s="409">
        <v>34.799999999999997</v>
      </c>
      <c r="J35" s="407">
        <f t="shared" si="68"/>
        <v>43500</v>
      </c>
    </row>
    <row r="36" spans="8:10">
      <c r="H36" s="15">
        <v>-1200</v>
      </c>
      <c r="I36" s="410">
        <v>20.07</v>
      </c>
      <c r="J36" s="407">
        <f t="shared" si="68"/>
        <v>-24084</v>
      </c>
    </row>
    <row r="37" spans="8:10">
      <c r="H37" s="404"/>
      <c r="I37" s="411"/>
      <c r="J37" s="407">
        <f t="shared" si="68"/>
        <v>0</v>
      </c>
    </row>
    <row r="38" spans="8:10">
      <c r="H38" s="348"/>
      <c r="I38" s="406"/>
      <c r="J38" s="407">
        <f t="shared" si="68"/>
        <v>0</v>
      </c>
    </row>
    <row r="40" spans="8:10">
      <c r="H40" s="348">
        <f>H31+H35</f>
        <v>1550</v>
      </c>
      <c r="I40" s="406">
        <f>J40/H40</f>
        <v>34.201935483870969</v>
      </c>
      <c r="J40" s="408">
        <f>J31+J35</f>
        <v>53013</v>
      </c>
    </row>
    <row r="41" spans="8:10">
      <c r="H41" s="348">
        <f>H32+H36</f>
        <v>-1500</v>
      </c>
      <c r="I41" s="406">
        <f>J41/H41</f>
        <v>19.542000000000002</v>
      </c>
      <c r="J41" s="408">
        <f>J32+J36</f>
        <v>-29313</v>
      </c>
    </row>
    <row r="42" spans="8:10">
      <c r="H42" s="348">
        <f>H33+H37</f>
        <v>0</v>
      </c>
      <c r="I42" s="406" t="e">
        <f>J42/H42</f>
        <v>#DIV/0!</v>
      </c>
      <c r="J42" s="408">
        <f>J33+J37</f>
        <v>0</v>
      </c>
    </row>
    <row r="43" spans="8:10">
      <c r="H43" s="348">
        <f>H34+H38</f>
        <v>0</v>
      </c>
      <c r="I43" s="406" t="e">
        <f>J43/H43</f>
        <v>#DIV/0!</v>
      </c>
      <c r="J43" s="408">
        <f>J34+J38</f>
        <v>0</v>
      </c>
    </row>
  </sheetData>
  <autoFilter ref="A3:BD27" xr:uid="{0428720F-9028-4D6D-9843-ED7DFFC9E1CA}">
    <sortState xmlns:xlrd2="http://schemas.microsoft.com/office/spreadsheetml/2017/richdata2" ref="A4:BD27">
      <sortCondition ref="D3:D27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90" zoomScaleNormal="90" workbookViewId="0">
      <pane xSplit="2" ySplit="3" topLeftCell="C198" activePane="bottomRight" state="frozen"/>
      <selection pane="topRight" activeCell="C1" sqref="C1"/>
      <selection pane="bottomLeft" activeCell="A4" sqref="A4"/>
      <selection pane="bottomRight" activeCell="B244" sqref="B244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-21.874999999999996</v>
      </c>
      <c r="P5" s="267"/>
      <c r="Q5">
        <f>Q9/Q15-1</f>
        <v>-0.84135593220338989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t="s">
        <v>2074</v>
      </c>
      <c r="C7" s="59" t="str" cm="1">
        <f t="array" ref="C7">_xll.BDP(B7&amp;" Equity","OPT_UNDL_TICKER")</f>
        <v>LITE US</v>
      </c>
      <c r="D7" s="59" t="str">
        <f>_xll.BDP($B7&amp;" Index","mifid_Maturity_date")</f>
        <v>20/02/2026</v>
      </c>
      <c r="E7" s="59">
        <f>_xll.BDP($B7&amp;" Index","opt_days_expire")</f>
        <v>25</v>
      </c>
      <c r="F7" s="59" t="str" cm="1">
        <f t="array" ref="F7">_xll.BDP(B7&amp;" Equity","QUOTED_CURRENCY_REALTIME")</f>
        <v>USD</v>
      </c>
      <c r="G7" s="105" t="s">
        <v>248</v>
      </c>
      <c r="H7" s="96">
        <v>60</v>
      </c>
      <c r="I7" s="97">
        <f>IF(G7="Buy",L7,K7)</f>
        <v>16.100000000000001</v>
      </c>
      <c r="J7" s="19">
        <f>I7/S7</f>
        <v>4.8428335087983158E-2</v>
      </c>
      <c r="K7" s="36" cm="1">
        <f t="array" ref="K7">_xll.BDP($B7&amp;" Equity","bid")</f>
        <v>16.100000000000001</v>
      </c>
      <c r="L7" s="36" cm="1">
        <f t="array" ref="L7">_xll.BDP($B7&amp;" Equity","ask")</f>
        <v>18.899999999999999</v>
      </c>
      <c r="M7" s="40">
        <f>(L7/K7-1)</f>
        <v>0.17391304347826075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-96600.000000000015</v>
      </c>
      <c r="Q7" s="58">
        <f>P7/'Master P&amp;L'!$AD$5*10000</f>
        <v>-0.43009123666986315</v>
      </c>
      <c r="R7" s="37" cm="1">
        <f t="array" ref="R7">_xll.BDP($C7&amp;" Equity","EST_PE_NXT_YR")*(T7/S7)</f>
        <v>43.056247817045751</v>
      </c>
      <c r="S7" s="36" cm="1">
        <f t="array" ref="S7">_xll.BDP(C7&amp;" Equity","LAST_PRICE")</f>
        <v>332.45</v>
      </c>
      <c r="T7" s="53" cm="1">
        <f t="array" ref="T7">_xll.BDP(B7&amp;" Equity","OPT_STRIKE_PX")</f>
        <v>400</v>
      </c>
      <c r="U7" s="40">
        <f>T7/S7-1</f>
        <v>0.20318844939088598</v>
      </c>
      <c r="V7" s="37" cm="1">
        <f t="array" ref="V7">_xll.BDP($B7&amp;" Equity","ivol_mid")</f>
        <v>112.1126</v>
      </c>
      <c r="W7" s="38" cm="1">
        <f t="array" ref="W7">_xll.BDP(B7&amp;" Equity","DELTA_MID_RT")</f>
        <v>0.31971496343612671</v>
      </c>
      <c r="X7" s="48">
        <f>Y7/'Master P&amp;L'!$AE$5</f>
        <v>-2.8393832609831802E-4</v>
      </c>
      <c r="Y7" s="15">
        <f>IF(G7="Sell", S7*W7*-H7*O7/N7, S7*W7*H7*O7/N7)</f>
        <v>-637735.43756604183</v>
      </c>
      <c r="Z7" s="15">
        <f>_xll.BDP($B7&amp;" Equity","opt_theta")*H7*O7/N7</f>
        <v>-4174.0679999999993</v>
      </c>
      <c r="AA7" s="19">
        <f>_xll.BDP($B7&amp;" Equity","opt_theta")/I7</f>
        <v>-4.3209813664596274E-2</v>
      </c>
      <c r="AB7" s="36" t="str" cm="1">
        <f t="array" ref="AB7">_xll.BDP($C7&amp;" Equity","EXPECTED_REPORT_DT")</f>
        <v>03/02/2026</v>
      </c>
      <c r="AC7" s="15">
        <f>S7*H7*O7/N7</f>
        <v>1994700</v>
      </c>
      <c r="AD7" s="19">
        <f>AC7/'Master P&amp;L'!$AE$5</f>
        <v>8.8809833311115512E-4</v>
      </c>
      <c r="AE7" t="str">
        <f>B7  &amp; " - Buy to open " &amp;  "-" &amp; H7 &amp;"x"</f>
        <v>LITE US 02/20/26 C400 - Buy to open -60x</v>
      </c>
      <c r="AF7">
        <f>H7*$AF$3</f>
        <v>15</v>
      </c>
      <c r="AK7" t="s">
        <v>1839</v>
      </c>
      <c r="AO7" t="s">
        <v>151</v>
      </c>
    </row>
    <row r="8" spans="1:41">
      <c r="A8" s="98" t="s">
        <v>246</v>
      </c>
      <c r="B8" t="s">
        <v>2306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20/03/2026</v>
      </c>
      <c r="E8" s="59" cm="1">
        <f t="array" ref="E8">_xll.BDP($B8&amp;" Index","opt_days_expire")</f>
        <v>53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60</v>
      </c>
      <c r="I8" s="97">
        <f>IF(G8="Buy",L8,K8)</f>
        <v>27.8</v>
      </c>
      <c r="J8" s="19">
        <f>I8/S8</f>
        <v>8.3621597232666572E-2</v>
      </c>
      <c r="K8" s="36" cm="1">
        <f t="array" ref="K8">_xll.BDP($B8&amp;" Equity","bid")</f>
        <v>24.5</v>
      </c>
      <c r="L8" s="36" cm="1">
        <f t="array" ref="L8">_xll.BDP($B8&amp;" Equity","ask")</f>
        <v>27.8</v>
      </c>
      <c r="M8" s="40">
        <f>(L8/K8-1)</f>
        <v>0.13469387755102047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166800</v>
      </c>
      <c r="Q8" s="58">
        <f>P8/'Master P&amp;L'!$AD$5*10000</f>
        <v>0.74264201114423556</v>
      </c>
      <c r="R8" s="37" cm="1">
        <f t="array" ref="R8">_xll.BDP($C8&amp;" Equity","EST_PE_NXT_YR")*(T8/S8)</f>
        <v>45.209060207898034</v>
      </c>
      <c r="S8" s="36" cm="1">
        <f t="array" ref="S8">_xll.BDP(C8&amp;" Equity","LAST_PRICE")</f>
        <v>332.45</v>
      </c>
      <c r="T8" s="53" cm="1">
        <f t="array" ref="T8">_xll.BDP(B8&amp;" Equity","OPT_STRIKE_PX")</f>
        <v>420</v>
      </c>
      <c r="U8" s="40">
        <f>T8/S8-1</f>
        <v>0.26334787186043029</v>
      </c>
      <c r="V8" s="37" cm="1">
        <f t="array" ref="V8">_xll.BDP($B8&amp;" Equity","ivol_mid")</f>
        <v>103.9761</v>
      </c>
      <c r="W8" s="38" cm="1">
        <f t="array" ref="W8">_xll.BDP(B8&amp;" Equity","DELTA_MID_RT")</f>
        <v>0.35720193386077881</v>
      </c>
      <c r="X8" s="48">
        <f>Y8/'Master P&amp;L'!$AE$5</f>
        <v>3.1723044204583873E-4</v>
      </c>
      <c r="Y8" s="15">
        <f>IF(G8="Sell", S8*W8*-H8*O8/N8, S8*W8*H8*O8/N8)</f>
        <v>712510.69747209549</v>
      </c>
      <c r="Z8" s="15" cm="1">
        <f t="array" ref="Z8">_xll.BDP($B8&amp;" Equity","opt_theta")*H8*O8/N8</f>
        <v>-2688.1439999999998</v>
      </c>
      <c r="AA8" s="19" cm="1">
        <f t="array" ref="AA8">_xll.BDP($B8&amp;" Equity","opt_theta")/I8</f>
        <v>-1.611597122302158E-2</v>
      </c>
      <c r="AB8" s="36" t="str" cm="1">
        <f t="array" ref="AB8">_xll.BDP($C8&amp;" Equity","EXPECTED_REPORT_DT")</f>
        <v>03/02/2026</v>
      </c>
      <c r="AC8" s="15">
        <f>S8*H8*O8/N8</f>
        <v>1994700</v>
      </c>
      <c r="AD8" s="19">
        <f>AC8/'Master P&amp;L'!$AE$5</f>
        <v>8.8809833311115512E-4</v>
      </c>
      <c r="AE8" t="str">
        <f>B8  &amp; " - Buy to open " &amp;  "-" &amp; H8 &amp;"x"</f>
        <v>LITE US 03/20/26 C420 - Buy to open -60x</v>
      </c>
      <c r="AF8">
        <f>H8*$AF$3</f>
        <v>15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-11.7</v>
      </c>
      <c r="J9" s="100" t="s">
        <v>249</v>
      </c>
      <c r="K9" s="101">
        <f>K8/L7</f>
        <v>1.2962962962962965</v>
      </c>
      <c r="P9" s="100" t="s">
        <v>250</v>
      </c>
      <c r="Q9" s="108">
        <f>Q7+Q8</f>
        <v>0.31255077447437241</v>
      </c>
      <c r="S9" s="100" t="s">
        <v>251</v>
      </c>
      <c r="T9" s="102">
        <f>T8-T7</f>
        <v>20</v>
      </c>
      <c r="W9" s="100" t="s">
        <v>252</v>
      </c>
      <c r="X9" s="122">
        <f>X7+X8</f>
        <v>3.3292115947520715E-5</v>
      </c>
      <c r="Y9" s="13">
        <f>Y7+Y8</f>
        <v>74775.25990605366</v>
      </c>
      <c r="AC9" s="100" t="s">
        <v>229</v>
      </c>
      <c r="AD9" s="122">
        <f>AD7</f>
        <v>8.8809833311115512E-4</v>
      </c>
      <c r="AO9" t="s">
        <v>151</v>
      </c>
    </row>
    <row r="10" spans="1:41">
      <c r="H10" s="100" t="s">
        <v>253</v>
      </c>
      <c r="I10" s="102">
        <f>(T9-I9)/I9</f>
        <v>-2.7094017094017095</v>
      </c>
      <c r="J10" s="100" t="s">
        <v>145</v>
      </c>
      <c r="K10" s="223">
        <f>AVERAGE(K7:L7)-AVERAGE(K8:L8)</f>
        <v>-8.6499999999999986</v>
      </c>
      <c r="L10" s="18"/>
      <c r="P10" s="130">
        <f>P7+P8</f>
        <v>70199.999999999985</v>
      </c>
      <c r="Q10" s="108"/>
      <c r="S10" s="100"/>
      <c r="T10" s="102"/>
      <c r="W10" s="100"/>
      <c r="X10" s="122"/>
      <c r="Y10" s="13">
        <f>Y9/S7</f>
        <v>224.92182254791297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-3.5193262144683414E-2</v>
      </c>
      <c r="K11" s="167">
        <f>K7-K8</f>
        <v>-8.3999999999999986</v>
      </c>
      <c r="L11" s="167">
        <f>L7-L8</f>
        <v>-8.9000000000000021</v>
      </c>
      <c r="P11" s="40">
        <f>P10/Y9</f>
        <v>0.9388131861821416</v>
      </c>
      <c r="Q11" s="64">
        <f>Q9*I10</f>
        <v>-0.84682560263569284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4.5636960015464954E-4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2228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143</v>
      </c>
      <c r="F13" s="59" t="str" cm="1">
        <f t="array" ref="F13">_xll.BDP(B13&amp;" Equity","QUOTED_CURRENCY_REALTIME")</f>
        <v>USD</v>
      </c>
      <c r="G13" s="105" t="s">
        <v>247</v>
      </c>
      <c r="H13" s="96">
        <v>300</v>
      </c>
      <c r="I13" s="97">
        <f>IF(G13="Buy",L13,K13)</f>
        <v>30.55</v>
      </c>
      <c r="J13" s="19">
        <f>I13/S13</f>
        <v>9.1821706591325783E-2</v>
      </c>
      <c r="K13" s="36" cm="1">
        <f t="array" ref="K13">_xll.BDP($B13&amp;" Equity","bid")</f>
        <v>29</v>
      </c>
      <c r="L13" s="36" cm="1">
        <f t="array" ref="L13">_xll.BDP($B13&amp;" Equity","ask")</f>
        <v>30.55</v>
      </c>
      <c r="M13" s="40">
        <f>(L13/K13-1)</f>
        <v>5.3448275862068906E-2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916500</v>
      </c>
      <c r="Q13" s="58">
        <f>P13/'Master P&amp;L'!$AD$5*10000</f>
        <v>4.0805240000820859</v>
      </c>
      <c r="R13" s="37" cm="1">
        <f t="array" ref="R13">_xll.BDP($C13&amp;" Equity","EST_PE_NXT_YR")*(T13/S13)</f>
        <v>19.730843462286444</v>
      </c>
      <c r="S13" s="36" cm="1">
        <f t="array" ref="S13">_xll.BDP(C13&amp;" Equity","LAST_PRICE")</f>
        <v>332.71</v>
      </c>
      <c r="T13" s="53" cm="1">
        <f t="array" ref="T13">_xll.BDP(B13&amp;" Equity","OPT_STRIKE_PX")</f>
        <v>340</v>
      </c>
      <c r="U13" s="40">
        <f>T13/S13-1</f>
        <v>2.1910973520483434E-2</v>
      </c>
      <c r="V13" s="37" cm="1">
        <f t="array" ref="V13">_xll.BDP($B13&amp;" Equity","ivol_mid")</f>
        <v>37.77608</v>
      </c>
      <c r="W13" s="38" cm="1">
        <f t="array" ref="W13">_xll.BDP(B13&amp;" Equity","DELTA_MID_RT")</f>
        <v>0.53251582384109497</v>
      </c>
      <c r="X13" s="48">
        <f>Y13/'Master P&amp;L'!$AE$5</f>
        <v>2.3664813912447433E-3</v>
      </c>
      <c r="Y13" s="15">
        <f>IF(G13="Sell", S13*W13*-H13*O13/N13, S13*W13*H13*O13/N13)</f>
        <v>5315200.1925051212</v>
      </c>
      <c r="Z13" s="15" cm="1">
        <f t="array" ref="Z13">_xll.BDP($B13&amp;" Equity","opt_theta")*H13*O13/N13</f>
        <v>-3170.04</v>
      </c>
      <c r="AA13" s="19" cm="1">
        <f t="array" ref="AA13">_xll.BDP($B13&amp;" Equity","opt_theta")/I13</f>
        <v>-3.4588543371522093E-3</v>
      </c>
      <c r="AB13" s="36" t="str" cm="1">
        <f t="array" ref="AB13">_xll.BDP($C13&amp;" Equity","EXPECTED_REPORT_DT")</f>
        <v>17/04/2026</v>
      </c>
      <c r="AC13" s="15">
        <f>S13*H13*O13/N13</f>
        <v>9981300</v>
      </c>
      <c r="AD13" s="19">
        <f>AC13/'Master P&amp;L'!$AE$5</f>
        <v>4.4439644519388239E-3</v>
      </c>
      <c r="AE13" t="str">
        <f>B13  &amp; " - Buy to open " &amp;  "-" &amp; H13 &amp;"x"</f>
        <v>TSM US 06/18/26 C340 - Buy to open -300x</v>
      </c>
      <c r="AF13">
        <f>H13*$AF$3</f>
        <v>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s="73" t="s">
        <v>2229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143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300</v>
      </c>
      <c r="I14" s="97">
        <f>IF(G14="Buy",L14,K14)</f>
        <v>15.8</v>
      </c>
      <c r="J14" s="19">
        <f>I14/S14</f>
        <v>4.7488804063598934E-2</v>
      </c>
      <c r="K14" s="36" cm="1">
        <f t="array" ref="K14">_xll.BDP($B14&amp;" Equity","bid")</f>
        <v>15.8</v>
      </c>
      <c r="L14" s="36" cm="1">
        <f t="array" ref="L14">_xll.BDP($B14&amp;" Equity","ask")</f>
        <v>17.3</v>
      </c>
      <c r="M14" s="40">
        <f>(L14/K14-1)</f>
        <v>9.4936708860759556E-2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-474000</v>
      </c>
      <c r="Q14" s="58">
        <f>P14/'Master P&amp;L'!$AD$5*10000</f>
        <v>-2.1103855712372162</v>
      </c>
      <c r="R14" s="37" cm="1">
        <f t="array" ref="R14">_xll.BDP($C14&amp;" Equity","EST_PE_NXT_YR")*(T14/S14)</f>
        <v>22.052119163731906</v>
      </c>
      <c r="S14" s="36" cm="1">
        <f t="array" ref="S14">_xll.BDP(C14&amp;" Equity","LAST_PRICE")</f>
        <v>332.71</v>
      </c>
      <c r="T14" s="53" cm="1">
        <f t="array" ref="T14">_xll.BDP(B14&amp;" Equity","OPT_STRIKE_PX")</f>
        <v>380</v>
      </c>
      <c r="U14" s="40">
        <f>T14/S14-1</f>
        <v>0.14213579393465792</v>
      </c>
      <c r="V14" s="37" cm="1">
        <f t="array" ref="V14">_xll.BDP($B14&amp;" Equity","ivol_mid")</f>
        <v>37.540419999999997</v>
      </c>
      <c r="W14" s="38" cm="1">
        <f t="array" ref="W14">_xll.BDP(B14&amp;" Equity","DELTA_MID_RT")</f>
        <v>0.35169333219528198</v>
      </c>
      <c r="X14" s="48">
        <f>Y14/'Master P&amp;L'!$AE$5</f>
        <v>-1.5629126662597451E-3</v>
      </c>
      <c r="Y14" s="15">
        <f>IF(G14="Sell", S14*W14*-H14*O14/N14, S14*W14*H14*O14/N14)</f>
        <v>-3510356.6566407681</v>
      </c>
      <c r="Z14" s="15" cm="1">
        <f t="array" ref="Z14">_xll.BDP($B14&amp;" Equity","opt_theta")*H14*O14/N14</f>
        <v>-3018.87</v>
      </c>
      <c r="AA14" s="19" cm="1">
        <f t="array" ref="AA14">_xll.BDP($B14&amp;" Equity","opt_theta")/I14</f>
        <v>-6.3689240506329108E-3</v>
      </c>
      <c r="AB14" s="36" t="str" cm="1">
        <f t="array" ref="AB14">_xll.BDP($C14&amp;" Equity","EXPECTED_REPORT_DT")</f>
        <v>17/04/2026</v>
      </c>
      <c r="AC14" s="15">
        <f>S14*H14*O14/N14</f>
        <v>9981300</v>
      </c>
      <c r="AD14" s="19">
        <f>AC14/'Master P&amp;L'!$AE$5</f>
        <v>4.4439644519388239E-3</v>
      </c>
      <c r="AE14" t="str">
        <f>B14  &amp; " - Buy to open " &amp;  "-" &amp; H14 &amp;"x"</f>
        <v>TSM US 06/18/26 C380 - Buy to open -300x</v>
      </c>
      <c r="AF14">
        <f>H14*$AF$3</f>
        <v>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14.75</v>
      </c>
      <c r="J15" s="100" t="s">
        <v>249</v>
      </c>
      <c r="K15" s="101">
        <f>K14/L13</f>
        <v>0.51718494271685767</v>
      </c>
      <c r="P15" s="100" t="s">
        <v>250</v>
      </c>
      <c r="Q15" s="108">
        <f>Q13+Q14</f>
        <v>1.9701384288448698</v>
      </c>
      <c r="S15" s="100" t="s">
        <v>251</v>
      </c>
      <c r="T15" s="102">
        <f>T14-T13</f>
        <v>40</v>
      </c>
      <c r="W15" s="100" t="s">
        <v>252</v>
      </c>
      <c r="X15" s="122">
        <f>X13+X14</f>
        <v>8.035687249849982E-4</v>
      </c>
      <c r="Y15" s="13">
        <f>Y13+Y14</f>
        <v>1804843.5358643532</v>
      </c>
      <c r="AC15" s="100" t="s">
        <v>229</v>
      </c>
      <c r="AD15" s="104">
        <f>AD13</f>
        <v>4.4439644519388239E-3</v>
      </c>
    </row>
    <row r="16" spans="1:41">
      <c r="H16" s="100" t="s">
        <v>253</v>
      </c>
      <c r="I16" s="102">
        <f>(T15-I15)/I15</f>
        <v>1.7118644067796611</v>
      </c>
      <c r="J16" s="100" t="s">
        <v>145</v>
      </c>
      <c r="K16" s="223">
        <f>AVERAGE(K13:L13)-AVERAGE(K14:L14)</f>
        <v>13.224999999999998</v>
      </c>
      <c r="P16" s="130">
        <f>P13+P14</f>
        <v>442500</v>
      </c>
      <c r="Q16" s="108"/>
      <c r="S16" s="100"/>
      <c r="T16" s="102"/>
      <c r="W16" s="108">
        <f>1/(W13-W14)</f>
        <v>5.530285479965376</v>
      </c>
      <c r="X16" s="122"/>
      <c r="Y16" s="13">
        <f>Y15/S13</f>
        <v>5424.6747493743896</v>
      </c>
      <c r="AC16" s="100"/>
      <c r="AD16" s="104"/>
    </row>
    <row r="17" spans="1:38">
      <c r="I17" s="21"/>
      <c r="J17" s="43">
        <f>J13-J14</f>
        <v>4.4332902527726849E-2</v>
      </c>
      <c r="K17" s="167">
        <f>K13-K14</f>
        <v>13.2</v>
      </c>
      <c r="L17" s="167">
        <f>L13-L14</f>
        <v>13.25</v>
      </c>
      <c r="P17" s="40">
        <f>P16/Y15</f>
        <v>0.24517360713380809</v>
      </c>
      <c r="Q17" s="64">
        <f>Q15*I16</f>
        <v>3.3726098527683366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-21.874999999999996</v>
      </c>
      <c r="AK18">
        <v>13</v>
      </c>
      <c r="AL18" s="1">
        <v>16</v>
      </c>
    </row>
    <row r="19" spans="1:38">
      <c r="A19" s="98" t="s">
        <v>246</v>
      </c>
      <c r="B19" s="73" t="s">
        <v>2230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172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34.6</v>
      </c>
      <c r="J19" s="19">
        <f>I19/S19</f>
        <v>0.10399446965826095</v>
      </c>
      <c r="K19" s="36">
        <f>_xll.BDP($B19&amp;" Equity","bid")</f>
        <v>33.4</v>
      </c>
      <c r="L19" s="36">
        <f>_xll.BDP($B19&amp;" Equity","ask")</f>
        <v>34.6</v>
      </c>
      <c r="M19" s="40">
        <f>(L19/K19-1)</f>
        <v>3.5928143712574911E-2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1730000</v>
      </c>
      <c r="Q19" s="58">
        <f>P19/'Master P&amp;L'!$AD$5*10000</f>
        <v>7.7024621059923719</v>
      </c>
      <c r="R19" s="37" cm="1">
        <f t="array" ref="R19">_xll.BDP($C19&amp;" Equity","EST_PE_NXT_YR")*(T19/S19)</f>
        <v>19.730843462286444</v>
      </c>
      <c r="S19" s="36" cm="1">
        <f t="array" ref="S19">_xll.BDP(C19&amp;" Equity","LAST_PRICE")</f>
        <v>332.71</v>
      </c>
      <c r="T19" s="53">
        <f>_xll.BDP(B19&amp;" Equity","OPT_STRIKE_PX")</f>
        <v>340</v>
      </c>
      <c r="U19" s="40">
        <f>T19/S19-1</f>
        <v>2.1910973520483434E-2</v>
      </c>
      <c r="V19" s="37">
        <f>_xll.BDP($B19&amp;" Equity","ivol_mid")</f>
        <v>38.087980000000002</v>
      </c>
      <c r="W19" s="38">
        <f>_xll.BDP(B19&amp;" Equity","DELTA_MID_RT")</f>
        <v>0.54400384426116943</v>
      </c>
      <c r="X19" s="48">
        <f>Y19/'Master P&amp;L'!$AE$5</f>
        <v>4.0292229093578354E-3</v>
      </c>
      <c r="Y19" s="15">
        <f>IF(G19="Sell", S19*W19*-H19*O19/N19, S19*W19*H19*O19/N19)</f>
        <v>9049775.9512066841</v>
      </c>
      <c r="Z19" s="15" cm="1">
        <f t="array" ref="Z19">_xll.BDP($B19&amp;" Equity","opt_theta")*H19*O19/N19</f>
        <v>-4909.2499999999991</v>
      </c>
      <c r="AA19" s="19" cm="1">
        <f t="array" ref="AA19">_xll.BDP($B19&amp;" Equity","opt_theta")/I19</f>
        <v>-2.8377167630057802E-3</v>
      </c>
      <c r="AB19" s="36" t="str" cm="1">
        <f t="array" ref="AB19">_xll.BDP($C19&amp;" Equity","EXPECTED_REPORT_DT")</f>
        <v>17/04/2026</v>
      </c>
      <c r="AC19" s="15">
        <f>S19*H19*O19/N19</f>
        <v>16635500</v>
      </c>
      <c r="AD19" s="19">
        <f>AC19/'Master P&amp;L'!$AE$5</f>
        <v>7.4066074198980408E-3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2231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172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19.100000000000001</v>
      </c>
      <c r="J20" s="19">
        <f>I20/S20</f>
        <v>5.7407351747768336E-2</v>
      </c>
      <c r="K20" s="36" cm="1">
        <f t="array" ref="K20">_xll.BDP($B20&amp;" Equity","bid")</f>
        <v>19.100000000000001</v>
      </c>
      <c r="L20" s="36" cm="1">
        <f t="array" ref="L20">_xll.BDP($B20&amp;" Equity","ask")</f>
        <v>20.5</v>
      </c>
      <c r="M20" s="40">
        <f>(L20/K20-1)</f>
        <v>7.3298429319371694E-2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-955000</v>
      </c>
      <c r="Q20" s="58">
        <f>P20/'Master P&amp;L'!$AD$5*10000</f>
        <v>-4.2519371741171765</v>
      </c>
      <c r="R20" s="37" cm="1">
        <f t="array" ref="R20">_xll.BDP($C20&amp;" Equity","EST_PE_NXT_YR")*(T20/S20)</f>
        <v>22.052119163731906</v>
      </c>
      <c r="S20" s="36" cm="1">
        <f t="array" ref="S20">_xll.BDP(C20&amp;" Equity","LAST_PRICE")</f>
        <v>332.71</v>
      </c>
      <c r="T20" s="53" cm="1">
        <f t="array" ref="T20">_xll.BDP(B20&amp;" Equity","OPT_STRIKE_PX")</f>
        <v>380</v>
      </c>
      <c r="U20" s="40">
        <f>T20/S20-1</f>
        <v>0.14213579393465792</v>
      </c>
      <c r="V20" s="37" cm="1">
        <f t="array" ref="V20">_xll.BDP($B20&amp;" Equity","ivol_mid")</f>
        <v>37.962310000000002</v>
      </c>
      <c r="W20" s="38" cm="1">
        <f t="array" ref="W20">_xll.BDP(B20&amp;" Equity","DELTA_MID_RT")</f>
        <v>0.37642312049865723</v>
      </c>
      <c r="X20" s="48">
        <f>Y20/'Master P&amp;L'!$AE$5</f>
        <v>-2.7880182773065282E-3</v>
      </c>
      <c r="Y20" s="15">
        <f>IF(G20="Sell", S20*W20*-H20*O20/N20, S20*W20*H20*O20/N20)</f>
        <v>-6261986.8210554114</v>
      </c>
      <c r="Z20" s="15" cm="1">
        <f t="array" ref="Z20">_xll.BDP($B20&amp;" Equity","opt_theta")*H20*O20/N20</f>
        <v>-4840.6500000000005</v>
      </c>
      <c r="AA20" s="19" cm="1">
        <f t="array" ref="AA20">_xll.BDP($B20&amp;" Equity","opt_theta")/I20</f>
        <v>-5.0687434554973817E-3</v>
      </c>
      <c r="AB20" s="36" t="str" cm="1">
        <f t="array" ref="AB20">_xll.BDP($C20&amp;" Equity","EXPECTED_REPORT_DT")</f>
        <v>17/04/2026</v>
      </c>
      <c r="AC20" s="15">
        <f>S20*H20*O20/N20</f>
        <v>16635500</v>
      </c>
      <c r="AD20" s="19">
        <f>AC20/'Master P&amp;L'!$AE$5</f>
        <v>7.4066074198980408E-3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15.5</v>
      </c>
      <c r="J21" s="100" t="s">
        <v>249</v>
      </c>
      <c r="K21" s="101">
        <f>K20/L19</f>
        <v>0.55202312138728327</v>
      </c>
      <c r="P21" s="100" t="s">
        <v>250</v>
      </c>
      <c r="Q21" s="108">
        <f>Q19+Q20</f>
        <v>3.4505249318751954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1.2412046320513072E-3</v>
      </c>
      <c r="Y21" s="13">
        <f>Y19+Y20</f>
        <v>2787789.1301512728</v>
      </c>
      <c r="AC21" s="100" t="s">
        <v>229</v>
      </c>
      <c r="AD21" s="104">
        <f>AD19</f>
        <v>7.4066074198980408E-3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1.5806451612903225</v>
      </c>
      <c r="J22" s="100" t="s">
        <v>145</v>
      </c>
      <c r="K22" s="223">
        <f>AVERAGE(K19:L19)-AVERAGE(K20:L20)</f>
        <v>14.2</v>
      </c>
      <c r="P22" s="130">
        <f>P19+P20</f>
        <v>775000</v>
      </c>
      <c r="Q22" s="108"/>
      <c r="S22" s="100"/>
      <c r="T22" s="102"/>
      <c r="W22" s="100"/>
      <c r="X22" s="122"/>
      <c r="Y22" s="3">
        <f>Y21/S19</f>
        <v>8379.036188125614</v>
      </c>
      <c r="AC22" s="100"/>
      <c r="AD22" s="104"/>
    </row>
    <row r="23" spans="1:38">
      <c r="I23" s="64">
        <f>I20*2</f>
        <v>38.200000000000003</v>
      </c>
      <c r="K23" s="167">
        <f>K19-K20</f>
        <v>14.299999999999997</v>
      </c>
      <c r="L23" s="167">
        <f>L19-L20</f>
        <v>14.100000000000001</v>
      </c>
      <c r="P23" s="40">
        <f>P22/Y21</f>
        <v>0.27799807080743816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1.4615384615384615</v>
      </c>
      <c r="K25" s="238"/>
      <c r="L25" s="238"/>
      <c r="W25" s="50"/>
    </row>
    <row r="26" spans="1:38">
      <c r="A26" s="436">
        <f>A24-H26</f>
        <v>85</v>
      </c>
      <c r="B26" s="73" t="s">
        <v>2316</v>
      </c>
      <c r="C26" t="str" cm="1">
        <f t="array" ref="C26">_xll.BDP(B26&amp;" Equity","OPT_UNDL_TICKER")</f>
        <v>COPX US</v>
      </c>
      <c r="D26" t="str" cm="1">
        <f t="array" ref="D26">_xll.BDP($B26&amp;" Index","mifid_Maturity_date")</f>
        <v>#N/A Field Not Applicable</v>
      </c>
      <c r="E26" t="str" cm="1">
        <f t="array" ref="E26">_xll.BDP($B26&amp;" Index","opt_days_expire")</f>
        <v>#N/A Field Not Applicable</v>
      </c>
      <c r="F26" t="str" cm="1">
        <f t="array" ref="F26">_xll.BDP(B26&amp;" Equity","QUOTED_CURRENCY_REALTIME")</f>
        <v>USD</v>
      </c>
      <c r="G26" s="105" t="s">
        <v>247</v>
      </c>
      <c r="H26" s="96">
        <v>200</v>
      </c>
      <c r="I26" s="97">
        <f>IF(G26="Buy",L26,K26)</f>
        <v>15.2</v>
      </c>
      <c r="J26" s="19">
        <f>I26/S26</f>
        <v>0.17257039055404177</v>
      </c>
      <c r="K26" s="36" cm="1">
        <f t="array" ref="K26">_xll.BDP($B26&amp;" Equity","bid")</f>
        <v>12.8</v>
      </c>
      <c r="L26" s="36" cm="1">
        <f t="array" ref="L26">_xll.BDP($B26&amp;" Equity","ask")</f>
        <v>15.2</v>
      </c>
      <c r="M26" s="40">
        <f>(L26/K26-1)</f>
        <v>0.18749999999999978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304000</v>
      </c>
      <c r="Q26" s="58">
        <f>P26/'Master P&amp;L'!$AD$5*10000</f>
        <v>1.3534962313420122</v>
      </c>
      <c r="R26" s="37" t="e" cm="1">
        <f t="array" ref="R26">_xll.BDP($C26&amp;" Equity","EST_PE_NXT_YR")*(T26/S26)</f>
        <v>#VALUE!</v>
      </c>
      <c r="S26" s="36" cm="1">
        <f t="array" ref="S26">_xll.BDP(C26&amp;" Equity","LAST_PRICE")</f>
        <v>88.08</v>
      </c>
      <c r="T26" s="53" cm="1">
        <f t="array" ref="T26">_xll.BDP(B26&amp;" Equity","OPT_STRIKE_PX")</f>
        <v>85</v>
      </c>
      <c r="U26" s="40">
        <f>T26/S26-1</f>
        <v>-3.4968210717529535E-2</v>
      </c>
      <c r="V26" s="37" cm="1">
        <f t="array" ref="V26">_xll.BDP($B26&amp;" Equity","ivol_mid")</f>
        <v>49.532290000000003</v>
      </c>
      <c r="W26" s="38" cm="1">
        <f t="array" ref="W26">_xll.BDP(B26&amp;" Equity","DELTA_MID_RT")</f>
        <v>0.62736326456069946</v>
      </c>
      <c r="X26" s="48">
        <f>Y26/'Master P&amp;L'!$AE$5</f>
        <v>4.9205069974006662E-4</v>
      </c>
      <c r="Y26" s="15">
        <f>IF(G26="Sell", S26*W26*-H26*O26/N26, S26*W26*H26*O26/N26)</f>
        <v>1105163.1268501282</v>
      </c>
      <c r="Z26" s="15" cm="1">
        <f t="array" ref="Z26">_xll.BDP($B26&amp;" Equity","opt_theta")*H26*O26/N26</f>
        <v>-675.5</v>
      </c>
      <c r="AA26" s="19" cm="1">
        <f t="array" ref="AA26">_xll.BDP($B26&amp;" Equity","opt_theta")/I26</f>
        <v>-2.2220394736842107E-3</v>
      </c>
      <c r="AB26" s="36" t="str" cm="1">
        <f t="array" ref="AB26">_xll.BDP($C26&amp;" Equity","EXPECTED_REPORT_DT")</f>
        <v>#N/A N/A</v>
      </c>
      <c r="AC26" s="15">
        <f>S26*H26*O26/N26</f>
        <v>1761600</v>
      </c>
      <c r="AD26" s="19">
        <f>AC26/'Master P&amp;L'!$AE$5</f>
        <v>7.8431544774081865E-4</v>
      </c>
      <c r="AE26" t="str">
        <f>B26  &amp; " - Buy to open " &amp;  "-" &amp; H26 &amp;"x"</f>
        <v>COPX US 07/17/26 C85 - Buy to open -200x</v>
      </c>
    </row>
    <row r="27" spans="1:38">
      <c r="A27" s="436">
        <f>A25-H27</f>
        <v>85</v>
      </c>
      <c r="B27" s="73" t="s">
        <v>2317</v>
      </c>
      <c r="C27" t="str" cm="1">
        <f t="array" ref="C27">_xll.BDP(B27&amp;" Equity","OPT_UNDL_TICKER")</f>
        <v>COPX US</v>
      </c>
      <c r="D27" t="str" cm="1">
        <f t="array" ref="D27">_xll.BDP($B27&amp;" Index","mifid_Maturity_date")</f>
        <v>#N/A Field Not Applicable</v>
      </c>
      <c r="E27" t="str" cm="1">
        <f t="array" ref="E27">_xll.BDP($B27&amp;" Index","opt_days_expire")</f>
        <v>#N/A Field Not Applicable</v>
      </c>
      <c r="F27" t="str" cm="1">
        <f t="array" ref="F27">_xll.BDP(B27&amp;" Equity","QUOTED_CURRENCY_REALTIME")</f>
        <v>USD</v>
      </c>
      <c r="G27" s="105" t="s">
        <v>248</v>
      </c>
      <c r="H27" s="96">
        <f>H26</f>
        <v>200</v>
      </c>
      <c r="I27" s="97">
        <f>IF(G27="Buy",L27,K27)</f>
        <v>10.4</v>
      </c>
      <c r="J27" s="19">
        <f>I27/S27</f>
        <v>0.11807447774750228</v>
      </c>
      <c r="K27" s="36" cm="1">
        <f t="array" ref="K27">_xll.BDP($B27&amp;" Equity","bid")</f>
        <v>10.4</v>
      </c>
      <c r="L27" s="36" cm="1">
        <f t="array" ref="L27">_xll.BDP($B27&amp;" Equity","ask")</f>
        <v>11.2</v>
      </c>
      <c r="M27" s="40">
        <f>(L27/K27-1)</f>
        <v>7.6923076923076872E-2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-208000</v>
      </c>
      <c r="Q27" s="58">
        <f>P27/'Master P&amp;L'!$AD$5*10000</f>
        <v>-0.92607636881295574</v>
      </c>
      <c r="R27" s="37" t="e" cm="1">
        <f t="array" ref="R27">_xll.BDP($C27&amp;" Equity","EST_PE_NXT_YR")*(T27/S27)</f>
        <v>#VALUE!</v>
      </c>
      <c r="S27" s="36" cm="1">
        <f t="array" ref="S27">_xll.BDP(C27&amp;" Equity","LAST_PRICE")</f>
        <v>88.08</v>
      </c>
      <c r="T27" s="53" cm="1">
        <f t="array" ref="T27">_xll.BDP(B27&amp;" Equity","OPT_STRIKE_PX")</f>
        <v>95</v>
      </c>
      <c r="U27" s="40">
        <f>T27/S27-1</f>
        <v>7.8564940962761121E-2</v>
      </c>
      <c r="V27" s="37" cm="1">
        <f t="array" ref="V27">_xll.BDP($B27&amp;" Equity","ivol_mid")</f>
        <v>54.11262</v>
      </c>
      <c r="W27" s="38" cm="1">
        <f t="array" ref="W27">_xll.BDP(B27&amp;" Equity","DELTA_MID_RT")</f>
        <v>0.51037758588790894</v>
      </c>
      <c r="X27" s="48">
        <f>Y27/'Master P&amp;L'!$AE$5</f>
        <v>-4.0029702479255341E-4</v>
      </c>
      <c r="Y27" s="15">
        <f>IF(G27="Sell", S27*W27*-H27*O27/N27, S27*W27*H27*O27/N27)</f>
        <v>-899081.15530014038</v>
      </c>
      <c r="Z27" s="15" cm="1">
        <f t="array" ref="Z27">_xll.BDP($B27&amp;" Equity","opt_theta")*H27*O27/N27</f>
        <v>-728.80000000000007</v>
      </c>
      <c r="AA27" s="19" cm="1">
        <f t="array" ref="AA27">_xll.BDP($B27&amp;" Equity","opt_theta")/I27</f>
        <v>-3.5038461538461538E-3</v>
      </c>
      <c r="AB27" s="36" t="str" cm="1">
        <f t="array" ref="AB27">_xll.BDP($C27&amp;" Equity","EXPECTED_REPORT_DT")</f>
        <v>#N/A N/A</v>
      </c>
      <c r="AC27" s="15">
        <f>S27*H27*O27/N27</f>
        <v>1761600</v>
      </c>
      <c r="AD27" s="19">
        <f>AC27/'Master P&amp;L'!$AE$5</f>
        <v>7.8431544774081865E-4</v>
      </c>
      <c r="AE27" t="str">
        <f>B27  &amp; " - Buy to open " &amp;  "-" &amp; H27 &amp;"x"</f>
        <v>COPX US 07/17/26 C95 - Buy to open -200x</v>
      </c>
    </row>
    <row r="28" spans="1:38">
      <c r="H28" s="100" t="s">
        <v>116</v>
      </c>
      <c r="I28" s="102">
        <f>I26-I27</f>
        <v>4.7999999999999989</v>
      </c>
      <c r="J28" s="100" t="s">
        <v>249</v>
      </c>
      <c r="K28" s="101">
        <f>K27/L26</f>
        <v>0.68421052631578949</v>
      </c>
      <c r="P28" s="100" t="s">
        <v>250</v>
      </c>
      <c r="Q28" s="103">
        <f>Q26+Q27</f>
        <v>0.4274198625290565</v>
      </c>
      <c r="S28" s="100" t="s">
        <v>251</v>
      </c>
      <c r="T28" s="102">
        <f>T27-T26</f>
        <v>10</v>
      </c>
      <c r="W28" s="100" t="s">
        <v>252</v>
      </c>
      <c r="X28" s="122">
        <f>X26+X27</f>
        <v>9.1753674947513218E-5</v>
      </c>
      <c r="Y28" s="13">
        <f>Y26+Y27</f>
        <v>206081.97154998779</v>
      </c>
      <c r="AC28" s="100" t="s">
        <v>229</v>
      </c>
      <c r="AD28" s="104">
        <f>AD26</f>
        <v>7.8431544774081865E-4</v>
      </c>
    </row>
    <row r="29" spans="1:38">
      <c r="A29" s="13">
        <f>A27-A26</f>
        <v>0</v>
      </c>
      <c r="H29" s="100" t="s">
        <v>253</v>
      </c>
      <c r="I29" s="102">
        <f>(T28-I28)/I28</f>
        <v>1.0833333333333337</v>
      </c>
      <c r="J29" s="100" t="s">
        <v>145</v>
      </c>
      <c r="K29" s="109">
        <f>AVERAGE(K26:L26)-AVERAGE(K27:L27)</f>
        <v>3.1999999999999993</v>
      </c>
      <c r="P29" s="130">
        <f>P26+P27</f>
        <v>96000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5.4495912806539495E-2</v>
      </c>
      <c r="K30" s="167">
        <f>K26-K27</f>
        <v>2.4000000000000004</v>
      </c>
      <c r="L30" s="167">
        <f>L26-L27</f>
        <v>4</v>
      </c>
      <c r="P30" s="40">
        <f>P29/Y28</f>
        <v>0.46583405272165684</v>
      </c>
      <c r="X30" s="3">
        <f>Y30/I28</f>
        <v>487.440327803294</v>
      </c>
      <c r="Y30" s="8">
        <f>Y28/S26</f>
        <v>2339.7135734558105</v>
      </c>
      <c r="AG30" s="167"/>
      <c r="AH30" s="167"/>
    </row>
    <row r="31" spans="1:38">
      <c r="K31" s="64">
        <f>I27*2-I26</f>
        <v>5.6000000000000014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2321</v>
      </c>
      <c r="C33" t="str" cm="1">
        <f t="array" ref="C33">_xll.BDP(B33&amp;" Equity","OPT_UNDL_TICKER")</f>
        <v>QQQ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11</v>
      </c>
      <c r="F33" t="str" cm="1">
        <f t="array" ref="F33">_xll.BDP(B33&amp;" Equity","QUOTED_CURRENCY_REALTIME")</f>
        <v>USD</v>
      </c>
      <c r="G33" s="105" t="s">
        <v>247</v>
      </c>
      <c r="H33" s="96">
        <v>500</v>
      </c>
      <c r="I33" s="97">
        <f>IF(G33="Buy",L33,K33)</f>
        <v>6.2</v>
      </c>
      <c r="J33" s="19">
        <f>I33/S33</f>
        <v>9.9127042496722408E-3</v>
      </c>
      <c r="K33" s="36" cm="1">
        <f t="array" ref="K33">_xll.BDP($B33&amp;" Equity","bid")</f>
        <v>6.16</v>
      </c>
      <c r="L33" s="36" cm="1">
        <f t="array" ref="L33">_xll.BDP($B33&amp;" Equity","ask")</f>
        <v>6.2</v>
      </c>
      <c r="M33" s="40">
        <f>(L33/K33-1)</f>
        <v>6.4935064935065512E-3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310000</v>
      </c>
      <c r="Q33" s="58">
        <f>P33/'Master P&amp;L'!$AD$5*10000</f>
        <v>1.3802099727500781</v>
      </c>
      <c r="R33" s="37" t="e" cm="1">
        <f t="array" ref="R33">_xll.BDP($C33&amp;" Equity","EST_PE_NXT_YR")*(T33/S33)</f>
        <v>#VALUE!</v>
      </c>
      <c r="S33" s="36">
        <f>_xll.BDP(C33&amp;" Equity","LAST_PRICE")</f>
        <v>625.46</v>
      </c>
      <c r="T33" s="53" cm="1">
        <f t="array" ref="T33">_xll.BDP(B33&amp;" Equity","OPT_STRIKE_PX")</f>
        <v>630</v>
      </c>
      <c r="U33" s="40">
        <f>T33/S33-1</f>
        <v>7.2586576279858317E-3</v>
      </c>
      <c r="V33" s="37" cm="1">
        <f t="array" ref="V33">_xll.BDP($B33&amp;" Equity","ivol_mid")</f>
        <v>16.591570000000001</v>
      </c>
      <c r="W33" s="38" cm="1">
        <f t="array" ref="W33">_xll.BDP(B33&amp;" Equity","DELTA_MID_RT")</f>
        <v>0.42999175190925598</v>
      </c>
      <c r="X33" s="48">
        <f>Y33/'Master P&amp;L'!$AE$5</f>
        <v>5.9870534743842038E-3</v>
      </c>
      <c r="Y33" s="15">
        <f>IF(G33="Sell", S33*W33*-H33*O33/N33, S33*W33*H33*O33/N33)</f>
        <v>13447132.057458162</v>
      </c>
      <c r="Z33" s="15" cm="1">
        <f t="array" ref="Z33">_xll.BDP($B33&amp;" Equity","opt_theta")*H33*O33/N33</f>
        <v>-15135.7</v>
      </c>
      <c r="AA33" s="19" cm="1">
        <f t="array" ref="AA33">_xll.BDP($B33&amp;" Equity","opt_theta")/I33</f>
        <v>-4.8824838709677416E-2</v>
      </c>
      <c r="AB33" s="36" t="str" cm="1">
        <f t="array" ref="AB33">_xll.BDP($C33&amp;" Equity","EXPECTED_REPORT_DT")</f>
        <v>#N/A N/A</v>
      </c>
      <c r="AC33" s="15">
        <f>S33*H33*O33/N33</f>
        <v>31273000</v>
      </c>
      <c r="AD33" s="19">
        <f>AC33/'Master P&amp;L'!$AE$5</f>
        <v>1.3923647250907483E-2</v>
      </c>
      <c r="AE33" t="str">
        <f>B33  &amp; " - Buy to open " &amp;  "-" &amp; H33 &amp;"x"</f>
        <v>QQQ US 02/06/26 C630 - Buy to open -500x</v>
      </c>
    </row>
    <row r="34" spans="1:38">
      <c r="A34" s="98" t="s">
        <v>246</v>
      </c>
      <c r="B34" s="73" t="s">
        <v>2315</v>
      </c>
      <c r="C34" t="str" cm="1">
        <f t="array" ref="C34">_xll.BDP(B34&amp;" Equity","OPT_UNDL_TICKER")</f>
        <v>COPX US</v>
      </c>
      <c r="D34" t="str" cm="1">
        <f t="array" ref="D34">_xll.BDP($B34&amp;" Index","mifid_Maturity_date")</f>
        <v>#N/A Field Not Applicable</v>
      </c>
      <c r="E34" t="str" cm="1">
        <f t="array" ref="E34">_xll.BDP($B34&amp;" Index","opt_days_expire")</f>
        <v>#N/A Field Not Applicable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500</v>
      </c>
      <c r="I34" s="97">
        <f>IF(G34="Buy",L34,K34)</f>
        <v>6.6</v>
      </c>
      <c r="J34" s="19">
        <f>I34/S34</f>
        <v>7.4931880108991822E-2</v>
      </c>
      <c r="K34" s="36" cm="1">
        <f t="array" ref="K34">_xll.BDP($B34&amp;" Equity","bid")</f>
        <v>6.6</v>
      </c>
      <c r="L34" s="36" cm="1">
        <f t="array" ref="L34">_xll.BDP($B34&amp;" Equity","ask")</f>
        <v>7.8</v>
      </c>
      <c r="M34" s="40">
        <f>(L34/K34-1)</f>
        <v>0.18181818181818188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-330000</v>
      </c>
      <c r="Q34" s="58">
        <f>P34/'Master P&amp;L'!$AD$5*10000</f>
        <v>-1.4692557774436314</v>
      </c>
      <c r="R34" s="37" t="e" cm="1">
        <f t="array" ref="R34">_xll.BDP($C34&amp;" Equity","EST_PE_NXT_YR")*(T34/S34)</f>
        <v>#VALUE!</v>
      </c>
      <c r="S34" s="36">
        <f>_xll.BDP(C34&amp;" Equity","LAST_PRICE")</f>
        <v>88.08</v>
      </c>
      <c r="T34" s="53" cm="1">
        <f t="array" ref="T34">_xll.BDP(B34&amp;" Equity","OPT_STRIKE_PX")</f>
        <v>95</v>
      </c>
      <c r="U34" s="40">
        <f>T34/S34-1</f>
        <v>7.8564940962761121E-2</v>
      </c>
      <c r="V34" s="37" cm="1">
        <f t="array" ref="V34">_xll.BDP($B34&amp;" Equity","ivol_mid")</f>
        <v>56.595350000000003</v>
      </c>
      <c r="W34" s="38" cm="1">
        <f t="array" ref="W34">_xll.BDP(B34&amp;" Equity","DELTA_MID_RT")</f>
        <v>0.45725896954536438</v>
      </c>
      <c r="X34" s="48">
        <f>Y34/'Master P&amp;L'!$AE$5</f>
        <v>-8.9658818358119455E-4</v>
      </c>
      <c r="Y34" s="15">
        <f>IF(G34="Sell", S34*W34*-H34*O34/N34, S34*W34*H34*O34/N34)</f>
        <v>-2013768.5018777847</v>
      </c>
      <c r="Z34" s="15" cm="1">
        <f t="array" ref="Z34">_xll.BDP($B34&amp;" Equity","opt_theta")*H34*O34/N34</f>
        <v>-2756.9500000000003</v>
      </c>
      <c r="AA34" s="19" cm="1">
        <f t="array" ref="AA34">_xll.BDP($B34&amp;" Equity","opt_theta")/I34</f>
        <v>-8.3543939393939393E-3</v>
      </c>
      <c r="AB34" s="36" t="str" cm="1">
        <f t="array" ref="AB34">_xll.BDP($C34&amp;" Equity","EXPECTED_REPORT_DT")</f>
        <v>#N/A N/A</v>
      </c>
      <c r="AC34" s="15">
        <f>S34*H34*O34/N34</f>
        <v>4404000</v>
      </c>
      <c r="AD34" s="19">
        <f>AC34/'Master P&amp;L'!$AE$5</f>
        <v>1.9607886193520464E-3</v>
      </c>
      <c r="AE34" t="str">
        <f>B34  &amp; " - Buy to open " &amp;  "-" &amp; H34 &amp;"x"</f>
        <v>COPX US 04/17/26 C95 - Buy to open -500x</v>
      </c>
    </row>
    <row r="35" spans="1:38">
      <c r="H35" s="100" t="s">
        <v>116</v>
      </c>
      <c r="I35" s="222">
        <f>I33-I34</f>
        <v>-0.39999999999999947</v>
      </c>
      <c r="J35" s="100" t="s">
        <v>249</v>
      </c>
      <c r="K35" s="101">
        <f>K34/L33</f>
        <v>1.064516129032258</v>
      </c>
      <c r="P35" s="100" t="s">
        <v>250</v>
      </c>
      <c r="Q35" s="103">
        <f>Q33+Q34</f>
        <v>-8.9045804693553388E-2</v>
      </c>
      <c r="S35" s="100" t="s">
        <v>251</v>
      </c>
      <c r="T35" s="102">
        <f>T34-T33</f>
        <v>-535</v>
      </c>
      <c r="W35" s="100" t="s">
        <v>252</v>
      </c>
      <c r="X35" s="122">
        <f>X33+X34</f>
        <v>5.090465290803009E-3</v>
      </c>
      <c r="Y35" s="13">
        <f>Y33+Y34</f>
        <v>11433363.555580378</v>
      </c>
      <c r="AC35" s="100" t="s">
        <v>229</v>
      </c>
      <c r="AD35" s="104">
        <f>AD33</f>
        <v>1.3923647250907483E-2</v>
      </c>
    </row>
    <row r="36" spans="1:38">
      <c r="H36" s="100" t="s">
        <v>253</v>
      </c>
      <c r="I36" s="102">
        <f>(T35-I35)/I35</f>
        <v>1336.5000000000018</v>
      </c>
      <c r="J36" s="100" t="s">
        <v>145</v>
      </c>
      <c r="K36" s="109">
        <f>AVERAGE(K33:L33)-AVERAGE(K34:L34)</f>
        <v>-1.0199999999999996</v>
      </c>
      <c r="P36" s="130">
        <f>P33+P34</f>
        <v>-20000</v>
      </c>
      <c r="Q36" s="108"/>
      <c r="S36" s="100"/>
      <c r="T36" s="102"/>
      <c r="W36" s="100"/>
      <c r="X36" s="122"/>
      <c r="Y36" s="13">
        <f>Y35/S33</f>
        <v>18279.927662169248</v>
      </c>
      <c r="AC36" s="100"/>
      <c r="AD36" s="104"/>
    </row>
    <row r="37" spans="1:38">
      <c r="I37" s="21">
        <f>I35/S33</f>
        <v>-6.395293064304663E-4</v>
      </c>
      <c r="K37" s="64">
        <f>(2*I33)-(I34*3)</f>
        <v>-7.3999999999999968</v>
      </c>
      <c r="P37" s="267">
        <f>P36/I35/100</f>
        <v>500.00000000000068</v>
      </c>
      <c r="W37" s="50">
        <f>W33-W34</f>
        <v>-2.7267217636108398E-2</v>
      </c>
    </row>
    <row r="38" spans="1:38">
      <c r="H38">
        <v>1</v>
      </c>
      <c r="J38" s="43">
        <f>J39-J40</f>
        <v>-0.10509471497526501</v>
      </c>
      <c r="P38" s="13"/>
    </row>
    <row r="39" spans="1:38">
      <c r="A39" s="281">
        <f>S39-T39</f>
        <v>-17.509999999999998</v>
      </c>
      <c r="B39" s="73" t="s">
        <v>2323</v>
      </c>
      <c r="C39" t="str" cm="1">
        <f t="array" ref="C39">_xll.BDP(B39&amp;" Equity","OPT_UNDL_TICKER")</f>
        <v>INTC US</v>
      </c>
      <c r="D39" t="str" cm="1">
        <f t="array" ref="D39">_xll.BDP($B39&amp;" Index","mifid_Maturity_date")</f>
        <v>#N/A Invalid Security</v>
      </c>
      <c r="E39" t="str" cm="1">
        <f t="array" ref="E39">_xll.BDP($B39&amp;" Index","opt_days_expire")</f>
        <v>#N/A Invalid Security</v>
      </c>
      <c r="F39" t="str" cm="1">
        <f t="array" ref="F39">_xll.BDP(B39&amp;" Equity","QUOTED_CURRENCY_REALTIME")</f>
        <v>USD</v>
      </c>
      <c r="G39" s="105" t="s">
        <v>247</v>
      </c>
      <c r="H39" s="96">
        <v>150</v>
      </c>
      <c r="I39" s="224">
        <f>IF(G39="Buy",L39,K39)</f>
        <v>0.01</v>
      </c>
      <c r="J39" s="19">
        <f>I39/S39</f>
        <v>2.353494939985879E-4</v>
      </c>
      <c r="K39" s="36" t="str" cm="1">
        <f t="array" ref="K39">_xll.BDP($B39&amp;" Equity","bid")</f>
        <v>#N/A N/A</v>
      </c>
      <c r="L39" s="36" cm="1">
        <f t="array" ref="L39">_xll.BDP($B39&amp;" Equity","ask")</f>
        <v>0.01</v>
      </c>
      <c r="M39" s="40" t="e">
        <f>(L39/K39-1)</f>
        <v>#VALUE!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150</v>
      </c>
      <c r="Q39" s="58">
        <f>P39/'Master P&amp;L'!$AD$5*10000</f>
        <v>6.6784353520165068E-4</v>
      </c>
      <c r="R39" s="37" cm="1">
        <f t="array" ref="R39">_xll.BDP($C39&amp;" Equity","EST_PE_NXT_YR")*(T39/S39)</f>
        <v>60.204385440089375</v>
      </c>
      <c r="S39" s="36" cm="1">
        <f t="array" ref="S39">_xll.BDP(C39&amp;" Equity","LAST_PRICE")</f>
        <v>42.49</v>
      </c>
      <c r="T39" s="53" cm="1">
        <f t="array" ref="T39">_xll.BDP(B39&amp;" Equity","OPT_STRIKE_PX")</f>
        <v>60</v>
      </c>
      <c r="U39" s="40">
        <f>T39/S39-1</f>
        <v>0.41209696399152729</v>
      </c>
      <c r="V39" s="37" cm="1">
        <f t="array" ref="V39">_xll.BDP($B39&amp;" Equity","ivol_mid")</f>
        <v>4872.4080000000004</v>
      </c>
      <c r="W39" s="38" cm="1">
        <f t="array" ref="W39">_xll.BDP(B39&amp;" Equity","DELTA_MID_RT")</f>
        <v>3.9809998124837875E-3</v>
      </c>
      <c r="X39" s="48">
        <f>Y39/'Master P&amp;L'!$AE$5</f>
        <v>1.1296752515738289E-6</v>
      </c>
      <c r="Y39" s="15">
        <f>IF(G39="Sell", S39*W39*-H39*O39/N39, S39*W39*H39*O39/N39)</f>
        <v>2537.290230486542</v>
      </c>
      <c r="Z39" s="15" cm="1">
        <f t="array" ref="Z39">_xll.BDP($B39&amp;" Equity","opt_theta")*H39*O39/N39</f>
        <v>-9866.4600000000009</v>
      </c>
      <c r="AA39" s="19" cm="1">
        <f t="array" ref="AA39">_xll.BDP($B39&amp;" Equity","opt_theta")/I39</f>
        <v>-65.776399999999995</v>
      </c>
      <c r="AB39" s="36" t="str" cm="1">
        <f t="array" ref="AB39">_xll.BDP($C39&amp;" Equity","EXPECTED_REPORT_DT")</f>
        <v>24/04/2026</v>
      </c>
      <c r="AC39" s="15">
        <f>S39*H39*O39/N39</f>
        <v>637350</v>
      </c>
      <c r="AD39" s="19">
        <f>AC39/'Master P&amp;L'!$AE$5</f>
        <v>2.8376671810718138E-4</v>
      </c>
      <c r="AE39" t="str">
        <f>B39  &amp; " - Buy to open " &amp;  "-" &amp; H39 &amp;"x"</f>
        <v>INTC US 01/23/26 C60 - Buy to open -150x</v>
      </c>
    </row>
    <row r="40" spans="1:38">
      <c r="A40" s="281">
        <f>S40-T40</f>
        <v>-14.870000000000005</v>
      </c>
      <c r="B40" s="73" t="s">
        <v>2232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109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11.6</v>
      </c>
      <c r="J40" s="19">
        <f>I40/S40</f>
        <v>0.1053300644692636</v>
      </c>
      <c r="K40" s="36" cm="1">
        <f t="array" ref="K40">_xll.BDP($B40&amp;" Equity","bid")</f>
        <v>10</v>
      </c>
      <c r="L40" s="36" cm="1">
        <f t="array" ref="L40">_xll.BDP($B40&amp;" Equity","ask")</f>
        <v>11.6</v>
      </c>
      <c r="M40" s="40">
        <f>(L40/K40-1)</f>
        <v>0.15999999999999992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116000</v>
      </c>
      <c r="Q40" s="58">
        <f>P40/'Master P&amp;L'!$AD$5*10000</f>
        <v>0.51646566722260989</v>
      </c>
      <c r="R40" s="37" cm="1">
        <f t="array" ref="R40">_xll.BDP($C40&amp;" Equity","EST_PE_NXT_YR")*(T40/S40)</f>
        <v>43.409657449495072</v>
      </c>
      <c r="S40" s="36" cm="1">
        <f t="array" ref="S40">_xll.BDP(C40&amp;" Equity","LAST_PRICE")</f>
        <v>110.13</v>
      </c>
      <c r="T40" s="53" cm="1">
        <f t="array" ref="T40">_xll.BDP(B40&amp;" Equity","OPT_STRIKE_PX")</f>
        <v>125</v>
      </c>
      <c r="U40" s="40">
        <f>T40/S40-1</f>
        <v>0.13502224643603022</v>
      </c>
      <c r="V40" s="37" cm="1">
        <f t="array" ref="V40">_xll.BDP($B40&amp;" Equity","ivol_mid")</f>
        <v>65.975110000000001</v>
      </c>
      <c r="W40" s="38" cm="1">
        <f t="array" ref="W40">_xll.BDP(B40&amp;" Equity","DELTA_MID_RT")</f>
        <v>0.44454625248908997</v>
      </c>
      <c r="X40" s="48">
        <f>Y40/'Master P&amp;L'!$AE$5</f>
        <v>2.1797468563221684E-4</v>
      </c>
      <c r="Y40" s="15">
        <f>IF(G40="Sell", S40*W40*-H40*O40/N40, S40*W40*H40*O40/N40)</f>
        <v>489578.78786623478</v>
      </c>
      <c r="Z40" s="15" cm="1">
        <f t="array" ref="Z40">_xll.BDP($B40&amp;" Equity","opt_theta")*H40*O40/N40</f>
        <v>-686.12</v>
      </c>
      <c r="AA40" s="19" cm="1">
        <f t="array" ref="AA40">_xll.BDP($B40&amp;" Equity","opt_theta")/I40</f>
        <v>-5.9148275862068974E-3</v>
      </c>
      <c r="AB40" s="36" t="str" cm="1">
        <f t="array" ref="AB40">_xll.BDP($C40&amp;" Equity","EXPECTED_REPORT_DT")</f>
        <v>19/02/2026</v>
      </c>
      <c r="AC40" s="15">
        <f>S40*H40*O40/N40</f>
        <v>1101300</v>
      </c>
      <c r="AD40" s="19">
        <f>AC40/'Master P&amp;L'!$AE$5</f>
        <v>4.9033072354505197E-4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-11.59</v>
      </c>
      <c r="J41" s="100" t="s">
        <v>249</v>
      </c>
      <c r="K41" s="101">
        <f>K40/L39</f>
        <v>1000</v>
      </c>
      <c r="P41" s="100" t="s">
        <v>250</v>
      </c>
      <c r="Q41" s="108">
        <f>Q39+Q40</f>
        <v>0.51713351075781155</v>
      </c>
      <c r="S41" s="100" t="s">
        <v>251</v>
      </c>
      <c r="T41" s="102">
        <f>T40-T39</f>
        <v>65</v>
      </c>
      <c r="W41" s="100" t="s">
        <v>252</v>
      </c>
      <c r="X41" s="122">
        <f>X39+X40</f>
        <v>2.1910436088379067E-4</v>
      </c>
      <c r="Y41" s="13">
        <f>Y39+Y40</f>
        <v>492116.07809672132</v>
      </c>
      <c r="AC41" s="100" t="s">
        <v>229</v>
      </c>
      <c r="AD41" s="122">
        <f>AD39</f>
        <v>2.8376671810718138E-4</v>
      </c>
    </row>
    <row r="42" spans="1:38">
      <c r="B42" s="73"/>
      <c r="H42" s="100" t="s">
        <v>253</v>
      </c>
      <c r="I42" s="102">
        <f>(T41-K42)/I41</f>
        <v>-6.5392579810181193</v>
      </c>
      <c r="J42" s="100" t="s">
        <v>145</v>
      </c>
      <c r="K42" s="223">
        <f>AVERAGE(K39:L39)-AVERAGE(K40:L40)</f>
        <v>-10.790000000000001</v>
      </c>
      <c r="P42" s="130">
        <f>P39+P40</f>
        <v>116150</v>
      </c>
      <c r="Q42" s="108"/>
      <c r="S42" s="100"/>
      <c r="T42" s="102"/>
      <c r="W42" s="100"/>
      <c r="X42" s="122"/>
      <c r="Y42" s="13">
        <f>Y41/S39</f>
        <v>11581.926996863293</v>
      </c>
      <c r="AC42" s="100"/>
      <c r="AD42" s="104"/>
    </row>
    <row r="43" spans="1:38">
      <c r="I43" s="278"/>
      <c r="K43" s="278">
        <f>K36-K42</f>
        <v>9.7700000000000014</v>
      </c>
      <c r="L43" s="278"/>
      <c r="P43" s="5">
        <f>P42/Y41</f>
        <v>0.23602155095036681</v>
      </c>
      <c r="W43" s="50">
        <f>W39-W40</f>
        <v>-0.44056525267660618</v>
      </c>
      <c r="Y43" s="13">
        <f>Y42+Y36</f>
        <v>29861.854659032542</v>
      </c>
    </row>
    <row r="44" spans="1:38">
      <c r="K44" s="338">
        <f>K36/K42</f>
        <v>9.4531974050046291E-2</v>
      </c>
      <c r="L44" s="278">
        <f>K36-(K42*2)</f>
        <v>20.560000000000002</v>
      </c>
      <c r="P44" s="13">
        <f>P36+P42</f>
        <v>96150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>
        <f>L49*2+L50</f>
        <v>2.7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2248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0.05</v>
      </c>
      <c r="J49" s="19">
        <f>I49/S49</f>
        <v>3.537694130965437E-5</v>
      </c>
      <c r="K49" s="36" t="str" cm="1">
        <f t="array" ref="K49">_xll.BDP($B49&amp;" Equity","bid")</f>
        <v>#N/A N/A</v>
      </c>
      <c r="L49" s="36" cm="1">
        <f t="array" ref="L49">_xll.BDP($B49&amp;" Equity","ask")</f>
        <v>0.05</v>
      </c>
      <c r="M49" s="40" t="e">
        <f>(L49/K49-1)</f>
        <v>#VALUE!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225</v>
      </c>
      <c r="Q49" s="58">
        <f>P49/'Master P&amp;L'!$AD$5*10000</f>
        <v>1.0017653028024762E-3</v>
      </c>
      <c r="R49" s="37" cm="1">
        <f t="array" ref="R49">_xll.BDP($C49&amp;" Equity","EST_PE_NXT_YR")*(T49/S49)</f>
        <v>36.880133551537128</v>
      </c>
      <c r="S49" s="36" cm="1">
        <f t="array" ref="S49">_xll.BDP(C49&amp;" Equity","LAST_PRICE")</f>
        <v>1413.35</v>
      </c>
      <c r="T49" s="53" cm="1">
        <f t="array" ref="T49">_xll.BDP(B49&amp;" Equity","OPT_STRIKE_PX")</f>
        <v>1200</v>
      </c>
      <c r="U49" s="40">
        <f>T49/S49-1</f>
        <v>-0.15095340856829509</v>
      </c>
      <c r="V49" s="37" cm="1">
        <f t="array" ref="V49">_xll.BDP($B49&amp;" Equity","ivol_mid")</f>
        <v>1236.616</v>
      </c>
      <c r="W49" s="38" cm="1">
        <f t="array" ref="W49">_xll.BDP(B49&amp;" Equity","DELTA_MID_RT")</f>
        <v>-1.4140000566840172E-3</v>
      </c>
      <c r="X49" s="357">
        <f>Y49/'Master P&amp;L'!$AE$5</f>
        <v>-4.0040097942560715E-6</v>
      </c>
      <c r="Y49" s="15">
        <f>IF(G49="Sell", S49*W49*-H49*O49/N49, S49*W49*H49*O49/N49)</f>
        <v>-8993.1464105146006</v>
      </c>
      <c r="Z49" s="15" cm="1">
        <f t="array" ref="Z49">_xll.BDP($B49&amp;" Equity","opt_theta")*H49*O49/N49</f>
        <v>-224.81100000000001</v>
      </c>
      <c r="AA49" s="19" cm="1">
        <f t="array" ref="AA49">_xll.BDP($B49&amp;" Equity","opt_theta")/I49</f>
        <v>-0.99916000000000005</v>
      </c>
      <c r="AB49" s="36" t="str" cm="1">
        <f t="array" ref="AB49">_xll.BDP($C49&amp;" Equity","EXPECTED_REPORT_DT")</f>
        <v>28/01/2026</v>
      </c>
      <c r="AC49" s="15">
        <f>S49*H49*O49/N49</f>
        <v>6360074.9999999991</v>
      </c>
      <c r="AD49" s="48">
        <f>AC49/'Master P&amp;L'!$AE$5</f>
        <v>2.8316899814317589E-3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2249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 t="str">
        <f>IF(G50="Buy",L50,K50)</f>
        <v>#N/A N/A</v>
      </c>
      <c r="J50" s="19" t="e">
        <f>I50/S50</f>
        <v>#VALUE!</v>
      </c>
      <c r="K50" s="36" t="str" cm="1">
        <f t="array" ref="K50">_xll.BDP($B50&amp;" Equity","bid")</f>
        <v>#N/A N/A</v>
      </c>
      <c r="L50" s="36" cm="1">
        <f t="array" ref="L50">_xll.BDP($B50&amp;" Equity","ask")</f>
        <v>2.6</v>
      </c>
      <c r="M50" s="40" t="e">
        <f>(L50/K50-1)</f>
        <v>#VALUE!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cm="1">
        <f t="array" ref="R50">_xll.BDP($C50&amp;" Equity","EST_PE_NXT_YR")*(T50/S50)</f>
        <v>33.806789088909035</v>
      </c>
      <c r="S50" s="36" cm="1">
        <f t="array" ref="S50">_xll.BDP(C50&amp;" Equity","LAST_PRICE")</f>
        <v>1413.35</v>
      </c>
      <c r="T50" s="53" cm="1">
        <f t="array" ref="T50">_xll.BDP(B50&amp;" Equity","OPT_STRIKE_PX")</f>
        <v>1100</v>
      </c>
      <c r="U50" s="40">
        <f>T50/S50-1</f>
        <v>-0.22170729118760391</v>
      </c>
      <c r="V50" s="37" cm="1">
        <f t="array" ref="V50">_xll.BDP(B50&amp;" Equity","ivol_mid")</f>
        <v>1859.5039999999999</v>
      </c>
      <c r="W50" s="38" cm="1">
        <f t="array" ref="W50">_xll.BDP(B50&amp;" Equity","DELTA_MID_RT")</f>
        <v>-9.2299998505041003E-4</v>
      </c>
      <c r="X50" s="357">
        <f>Y50/'Master P&amp;L'!$AE$5</f>
        <v>2.6136498105289093E-6</v>
      </c>
      <c r="Y50" s="15">
        <f>IF(G50="Sell", S50*W50*-H50*O50/N50, S50*W50*H50*O50/N50)</f>
        <v>5870.3491299194857</v>
      </c>
      <c r="Z50" s="15" cm="1">
        <f t="array" ref="Z50">_xll.BDP($B50&amp;" Equity","opt_theta")*H50*O50/N50</f>
        <v>0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28/01/2026</v>
      </c>
      <c r="AC50" s="15">
        <f>S50*H50*O50/N50</f>
        <v>6360074.9999999991</v>
      </c>
      <c r="AD50" s="19">
        <f>AC50/'Master P&amp;L'!$AE$5</f>
        <v>2.8316899814317589E-3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100</v>
      </c>
      <c r="W51" s="100" t="s">
        <v>252</v>
      </c>
      <c r="X51" s="416">
        <f>X49+X50</f>
        <v>-1.3903599837271622E-6</v>
      </c>
      <c r="Y51" s="13">
        <f>Y49+Y50</f>
        <v>-3122.7972805951149</v>
      </c>
      <c r="AC51" s="100" t="s">
        <v>229</v>
      </c>
      <c r="AD51" s="122">
        <f>AD49</f>
        <v>2.8316899814317589E-3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-2.5500000000000003</v>
      </c>
      <c r="L52" s="64"/>
      <c r="P52" s="100"/>
      <c r="Q52" s="108"/>
      <c r="S52" s="100"/>
      <c r="T52" s="102"/>
      <c r="W52" s="100"/>
      <c r="X52" s="122"/>
      <c r="Z52" s="3">
        <f>Y51/S49</f>
        <v>-2.2095003223512331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2251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9.390847054404307E-5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24.702787612965444</v>
      </c>
      <c r="S55" s="36" cm="1">
        <f t="array" ref="S55">_xll.BDP(C55&amp;" Equity","LAST_PRICE")</f>
        <v>319.45999999999998</v>
      </c>
      <c r="T55" s="53" cm="1">
        <f t="array" ref="T55">_xll.BDP(B55&amp;" Equity","OPT_STRIKE_PX")</f>
        <v>290</v>
      </c>
      <c r="U55" s="40">
        <f>T55/S55-1</f>
        <v>-9.2218118074250288E-2</v>
      </c>
      <c r="V55" s="37" cm="1">
        <f t="array" ref="V55">_xll.BDP($B55&amp;" Equity","ivol_mid")</f>
        <v>828.09609999999998</v>
      </c>
      <c r="W55" s="38" cm="1">
        <f t="array" ref="W55">_xll.BDP(B55&amp;" Equity","DELTA_MID_RT")</f>
        <v>-4.4060000218451023E-3</v>
      </c>
      <c r="X55" s="48">
        <f>Y55/'Master P&amp;L'!$AE$5</f>
        <v>-6.2667800117297031E-6</v>
      </c>
      <c r="Y55" s="15">
        <f>IF(G55="Sell", S55*W55*-H55*O55/N55, S55*W55*H55*O55/N55)</f>
        <v>-14075.407669786364</v>
      </c>
      <c r="Z55" s="15" cm="1">
        <f t="array" ref="Z55">_xll.BDP($B55&amp;" Equity","opt_theta")*H55*O55/N55</f>
        <v>0</v>
      </c>
      <c r="AA55" s="19" cm="1">
        <f t="array" ref="AA55">_xll.BDP($B55&amp;" Equity","opt_theta")/I55</f>
        <v>0</v>
      </c>
      <c r="AB55" s="36" t="str" cm="1">
        <f t="array" ref="AB55">_xll.BDP($C55&amp;" Equity","EXPECTED_REPORT_DT")</f>
        <v>12/02/2026</v>
      </c>
      <c r="AC55" s="15">
        <f>S55*H55*O55/N55</f>
        <v>3194599.9999999995</v>
      </c>
      <c r="AD55" s="48">
        <f>AC55/'Master P&amp;L'!$AE$5</f>
        <v>1.4223286383701287E-3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2250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23.850967350449398</v>
      </c>
      <c r="S56" s="36" cm="1">
        <f t="array" ref="S56">_xll.BDP(C56&amp;" Equity","LAST_PRICE")</f>
        <v>319.45999999999998</v>
      </c>
      <c r="T56" s="53" cm="1">
        <f t="array" ref="T56">_xll.BDP(B56&amp;" Equity","OPT_STRIKE_PX")</f>
        <v>280</v>
      </c>
      <c r="U56" s="40">
        <f>T56/S56-1</f>
        <v>-0.12352094158893123</v>
      </c>
      <c r="V56" s="37" cm="1">
        <f t="array" ref="V56">_xll.BDP(B56&amp;" Equity","ivol_mid")</f>
        <v>4291.7550000000001</v>
      </c>
      <c r="W56" s="38" cm="1">
        <f t="array" ref="W56">_xll.BDP(B56&amp;" Equity","DELTA_MID_RT")</f>
        <v>-2.7517000213265419E-2</v>
      </c>
      <c r="X56" s="48">
        <f>Y56/'Master P&amp;L'!$AE$5</f>
        <v>3.9138217445364351E-5</v>
      </c>
      <c r="Y56" s="15">
        <f>IF(G56="Sell", S56*W56*-H56*O56/N56, S56*W56*H56*O56/N56)</f>
        <v>87905.808881297708</v>
      </c>
      <c r="Z56" s="15" cm="1">
        <f t="array" ref="Z56">_xll.BDP($B56&amp;" Equity","opt_theta")*H56*O56/N56</f>
        <v>0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3194599.9999999995</v>
      </c>
      <c r="AD56" s="19">
        <f>AC56/'Master P&amp;L'!$AE$5</f>
        <v>1.4223286383701287E-3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>
        <f>X55+X56</f>
        <v>3.2871437433634648E-5</v>
      </c>
      <c r="Y57" s="13"/>
      <c r="AC57" s="100" t="s">
        <v>229</v>
      </c>
      <c r="AD57" s="122">
        <f>AD55</f>
        <v>1.4223286383701287E-3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>
        <f>Y55+Y56</f>
        <v>73830.401211511344</v>
      </c>
      <c r="Z58" s="3"/>
      <c r="AC58" s="100"/>
      <c r="AD58" s="104"/>
    </row>
    <row r="59" spans="1:36">
      <c r="K59" s="64">
        <f>K58-K52</f>
        <v>0.45999999999999996</v>
      </c>
      <c r="Y59" s="64">
        <f>Y58/S55</f>
        <v>231.1100019142032</v>
      </c>
    </row>
    <row r="60" spans="1:36">
      <c r="I60" s="64" t="e">
        <f>I51-I57</f>
        <v>#VALUE!</v>
      </c>
      <c r="K60" s="64">
        <f>K52-K58</f>
        <v>-0.45999999999999996</v>
      </c>
      <c r="Y60" s="64"/>
    </row>
    <row r="61" spans="1:36">
      <c r="H61">
        <v>1</v>
      </c>
      <c r="I61" s="64"/>
      <c r="L61" s="64">
        <f>AVERAGE(K62:L62)</f>
        <v>6.2249999999999996</v>
      </c>
      <c r="T61" s="64">
        <f>T62-S62</f>
        <v>-1.769999999999996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53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6.3</v>
      </c>
      <c r="J62" s="19">
        <f>I62/S62</f>
        <v>7.7045371163018225E-2</v>
      </c>
      <c r="K62" s="36" cm="1">
        <f t="array" ref="K62">_xll.BDP($B62&amp;" Equity","bid")</f>
        <v>6.15</v>
      </c>
      <c r="L62" s="36" cm="1">
        <f t="array" ref="L62">_xll.BDP($B62&amp;" Equity","ask")</f>
        <v>6.3</v>
      </c>
      <c r="M62" s="40">
        <f>(L62/K62-1)</f>
        <v>2.4390243902439046E-2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94500</v>
      </c>
      <c r="Q62" s="58">
        <f>P62/'Master P&amp;L'!$AD$5*10000</f>
        <v>0.42074142717703999</v>
      </c>
      <c r="R62" s="37" cm="1">
        <f t="array" ref="R62">_xll.BDP($C62&amp;" Equity","EST_PE_NXT_YR")*(T62/S62)</f>
        <v>22.288671185730013</v>
      </c>
      <c r="S62" s="36" cm="1">
        <f t="array" ref="S62">_xll.BDP(C62&amp;" Equity","LAST_PRICE")</f>
        <v>81.77</v>
      </c>
      <c r="T62" s="53" cm="1">
        <f t="array" ref="T62">_xll.BDP(B62&amp;" Equity","OPT_STRIKE_PX")</f>
        <v>80</v>
      </c>
      <c r="U62" s="40">
        <f>T62/S62-1</f>
        <v>-2.1646080469609807E-2</v>
      </c>
      <c r="V62" s="37" cm="1">
        <f t="array" ref="V62">_xll.BDP($B62&amp;" Equity","ivol_mid")</f>
        <v>57.568980000000003</v>
      </c>
      <c r="W62" s="38" cm="1">
        <f t="array" ref="W62">_xll.BDP(B62&amp;" Equity","DELTA_MID_RT")</f>
        <v>-0.40899455547332764</v>
      </c>
      <c r="X62" s="48">
        <f>Y62/'Master P&amp;L'!$AE$5</f>
        <v>-2.2335015118998578E-4</v>
      </c>
      <c r="Y62" s="15">
        <f>IF(G62="Sell", S62*W62*-H62*O62/N62, S62*W62*H62*O62/N62)</f>
        <v>-501652.27201581001</v>
      </c>
      <c r="Z62" s="15" cm="1">
        <f t="array" ref="Z62">_xll.BDP($B62&amp;" Equity","opt_theta")*H62*O62/N62</f>
        <v>-981.97499999999991</v>
      </c>
      <c r="AA62" s="19" cm="1">
        <f t="array" ref="AA62">_xll.BDP($B62&amp;" Equity","opt_theta")/I62</f>
        <v>-1.039126984126984E-2</v>
      </c>
      <c r="AB62" s="36" t="str" cm="1">
        <f t="array" ref="AB62">_xll.BDP($C62&amp;" Equity","EXPECTED_REPORT_DT")</f>
        <v>05/03/2026</v>
      </c>
      <c r="AC62" s="15">
        <f>S62*H62*O62/N62</f>
        <v>1226550</v>
      </c>
      <c r="AD62" s="48">
        <f>AC62/'Master P&amp;L'!$AE$5</f>
        <v>5.4609565873438976E-4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2287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53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2.42</v>
      </c>
      <c r="J63" s="19">
        <f>I63/S63</f>
        <v>2.9595206065794303E-2</v>
      </c>
      <c r="K63" s="36" cm="1">
        <f t="array" ref="K63">_xll.BDP($B63&amp;" Equity","bid")</f>
        <v>2.42</v>
      </c>
      <c r="L63" s="36" cm="1">
        <f t="array" ref="L63">_xll.BDP($B63&amp;" Equity","ask")</f>
        <v>2.57</v>
      </c>
      <c r="M63" s="40">
        <f>(L63/K63-1)</f>
        <v>6.198347107438007E-2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-36300</v>
      </c>
      <c r="Q63" s="58">
        <f>P63/'Master P&amp;L'!$AD$5*10000</f>
        <v>-0.16161813551879947</v>
      </c>
      <c r="R63" s="37" cm="1">
        <f t="array" ref="R63">_xll.BDP($C63&amp;" Equity","EST_PE_NXT_YR")*(T63/S63)</f>
        <v>19.502587287513759</v>
      </c>
      <c r="S63" s="36" cm="1">
        <f t="array" ref="S63">_xll.BDP(C63&amp;" Equity","LAST_PRICE")</f>
        <v>81.77</v>
      </c>
      <c r="T63" s="53" cm="1">
        <f t="array" ref="T63">_xll.BDP(B63&amp;" Equity","OPT_STRIKE_PX")</f>
        <v>70</v>
      </c>
      <c r="U63" s="40">
        <f>T63/S63-1</f>
        <v>-0.14394032041090865</v>
      </c>
      <c r="V63" s="37" cm="1">
        <f t="array" ref="V63">_xll.BDP($B63&amp;" Equity","ivol_mid")</f>
        <v>59.408999999999999</v>
      </c>
      <c r="W63" s="38" cm="1">
        <f t="array" ref="W63">_xll.BDP(B63&amp;" Equity","DELTA_MID_RT")</f>
        <v>-0.20842684805393219</v>
      </c>
      <c r="X63" s="48">
        <f>Y63/'Master P&amp;L'!$AE$5</f>
        <v>1.1382099688594467E-4</v>
      </c>
      <c r="Y63" s="15">
        <f>IF(G63="Sell", S63*W63*-H63*O63/N63, S63*W63*H63*O63/N63)</f>
        <v>255645.95048055053</v>
      </c>
      <c r="Z63" s="15" cm="1">
        <f t="array" ref="Z63">_xll.BDP($B63&amp;" Equity","opt_theta")*H63*O63/N63</f>
        <v>-747.58500000000004</v>
      </c>
      <c r="AA63" s="19" cm="1">
        <f t="array" ref="AA63">_xll.BDP($B63&amp;" Equity","opt_theta")/I63</f>
        <v>-2.0594628099173555E-2</v>
      </c>
      <c r="AB63" s="36" t="str" cm="1">
        <f t="array" ref="AB63">_xll.BDP($C63&amp;" Equity","EXPECTED_REPORT_DT")</f>
        <v>05/03/2026</v>
      </c>
      <c r="AC63" s="15">
        <f>S63*H63*O63/N63</f>
        <v>1226550</v>
      </c>
      <c r="AD63" s="48">
        <f>AC63/'Master P&amp;L'!$AE$5</f>
        <v>5.4609565873438976E-4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3.88</v>
      </c>
      <c r="J64" s="100" t="s">
        <v>249</v>
      </c>
      <c r="K64" s="101">
        <f>K63/L62</f>
        <v>0.38412698412698415</v>
      </c>
      <c r="L64" s="64"/>
      <c r="P64" s="100" t="s">
        <v>250</v>
      </c>
      <c r="Q64" s="108">
        <f>Q62+Q63</f>
        <v>0.25912329165824055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-1.095291543040411E-4</v>
      </c>
      <c r="Y64" s="13">
        <f>Y62+Y63</f>
        <v>-246006.32153525949</v>
      </c>
      <c r="AC64" s="100" t="s">
        <v>229</v>
      </c>
      <c r="AD64" s="122">
        <f>AD62</f>
        <v>5.4609565873438976E-4</v>
      </c>
    </row>
    <row r="65" spans="1:31">
      <c r="H65" s="100" t="s">
        <v>253</v>
      </c>
      <c r="I65" s="102">
        <f>(T64-I64)/I64</f>
        <v>1.5773195876288661</v>
      </c>
      <c r="J65" s="100" t="s">
        <v>145</v>
      </c>
      <c r="K65" s="109">
        <f>AVERAGE(K62:L62)-AVERAGE(K63:L63)</f>
        <v>3.7299999999999995</v>
      </c>
      <c r="P65" s="100"/>
      <c r="Q65" s="108"/>
      <c r="S65" s="100"/>
      <c r="T65" s="102"/>
      <c r="W65" s="100"/>
      <c r="X65" s="122"/>
      <c r="Z65" s="3">
        <f>Y64/S62</f>
        <v>-3008.5156112909317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2262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625.46</v>
      </c>
      <c r="T68" s="53" cm="1">
        <f t="array" ref="T68">_xll.BDP(B68&amp;" Equity","OPT_STRIKE_PX")</f>
        <v>623</v>
      </c>
      <c r="U68" s="40">
        <f>T68/S68-1</f>
        <v>-3.9331052345474848E-3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2263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625.46</v>
      </c>
      <c r="T69" s="53" cm="1">
        <f t="array" ref="T69">_xll.BDP(B69&amp;" Equity","OPT_STRIKE_PX")</f>
        <v>622</v>
      </c>
      <c r="U69" s="40">
        <f>T69/S69-1</f>
        <v>-5.5319285006235619E-3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-94500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59" t="s">
        <v>2290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0.01</v>
      </c>
      <c r="J75" s="19">
        <f>I75/S75</f>
        <v>1.5988232660761679E-5</v>
      </c>
      <c r="K75" s="36" t="str" cm="1">
        <f t="array" ref="K75">_xll.BDP($B75&amp;" Equity","bid")</f>
        <v>#N/A N/A</v>
      </c>
      <c r="L75" s="36" cm="1">
        <f t="array" ref="L75">_xll.BDP($B75&amp;" Equity","ask")</f>
        <v>0.01</v>
      </c>
      <c r="M75" s="40" t="e">
        <f>(L75/K75-1)</f>
        <v>#VALUE!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75</v>
      </c>
      <c r="Q75" s="58">
        <f>P75/'Master P&amp;L'!$AD$5*10000</f>
        <v>3.3392176760082534E-4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625.46</v>
      </c>
      <c r="T75" s="53" cm="1">
        <f t="array" ref="T75">_xll.BDP(B75&amp;" Equity","OPT_STRIKE_PX")</f>
        <v>615</v>
      </c>
      <c r="U75" s="19">
        <f>T75/S75-1</f>
        <v>-1.6723691363156767E-2</v>
      </c>
      <c r="V75" s="37" cm="1">
        <f t="array" ref="V75">_xll.BDP($B75&amp;" Equity","ivol_mid")</f>
        <v>233.09139999999999</v>
      </c>
      <c r="W75" s="38" cm="1">
        <f t="array" ref="W75">_xll.BDP(B75&amp;" Equity","DELTA_MID_RT")</f>
        <v>-5.6139999069273472E-3</v>
      </c>
      <c r="X75" s="48">
        <f>Y75/'Master P&amp;L'!$AE$5</f>
        <v>-1.1725103155602575E-5</v>
      </c>
      <c r="Y75" s="15">
        <f>IF(G75="Sell", S75*W75*-H75*O75/N75, S75*W75*H75*O75/N75)</f>
        <v>-26334.992863400847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4690950</v>
      </c>
      <c r="AD75" s="48">
        <f>AC75/'Master P&amp;L'!$AE$5</f>
        <v>2.0885470876361224E-3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2289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t="str" cm="1">
        <f t="array" ref="L76">_xll.BDP($B76&amp;" Equity","ask")</f>
        <v>#N/A N/A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625.46</v>
      </c>
      <c r="T76" s="53" cm="1">
        <f t="array" ref="T76">_xll.BDP(B76&amp;" Equity","OPT_STRIKE_PX")</f>
        <v>616</v>
      </c>
      <c r="U76" s="19">
        <f>T76/S76-1</f>
        <v>-1.5124868097080579E-2</v>
      </c>
      <c r="V76" s="37" cm="1">
        <f t="array" ref="V76">_xll.BDP($B76&amp;" Equity","ivol_mid")</f>
        <v>21.169789999999999</v>
      </c>
      <c r="W76" s="38" cm="1">
        <f t="array" ref="W76">_xll.BDP(B76&amp;" Equity","DELTA_MID_RT")</f>
        <v>-9.7929000854492188E-2</v>
      </c>
      <c r="X76" s="48">
        <f>Y76/'Master P&amp;L'!$AE$5</f>
        <v>2.04529329529765E-4</v>
      </c>
      <c r="Y76" s="15">
        <f>IF(G76="Sell", S76*W76*-H76*O76/N76, S76*W76*H76*O76/N76)</f>
        <v>459380.04655838013</v>
      </c>
      <c r="Z76" s="15" cm="1">
        <f t="array" ref="Z76">_xll.BDP($B76&amp;" Equity","opt_theta")*H76*O76/N76</f>
        <v>0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4690950</v>
      </c>
      <c r="AD76" s="48">
        <f>AC76/'Master P&amp;L'!$AE$5</f>
        <v>2.0885470876361224E-3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1.9280422637416242E-4</v>
      </c>
      <c r="AC77" s="100" t="s">
        <v>229</v>
      </c>
      <c r="AD77" s="122">
        <f>AD75</f>
        <v>2.0885470876361224E-3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>
        <f>Y75+Y76</f>
        <v>433045.05369497929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9.231500094756484E-2</v>
      </c>
      <c r="Y79" s="64">
        <f>Y78/S75</f>
        <v>692.3625071067363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2320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06/02/2026</v>
      </c>
      <c r="E81" cm="1">
        <f t="array" ref="E81">_xll.BDP($B81&amp;" Index","opt_days_expire")</f>
        <v>11</v>
      </c>
      <c r="F81" t="str">
        <f>_xll.BDP(B81&amp;" Equity","QUOTED_CURRENCY_REALTIME")</f>
        <v>USD</v>
      </c>
      <c r="G81" s="105" t="s">
        <v>247</v>
      </c>
      <c r="H81" s="96">
        <v>550</v>
      </c>
      <c r="I81" s="97">
        <f>IF(G81="Buy",L81,K81)</f>
        <v>4.71</v>
      </c>
      <c r="J81" s="19">
        <f>I81/S81</f>
        <v>7.5304575832187502E-3</v>
      </c>
      <c r="K81" s="36">
        <f>_xll.BDP($B81&amp;" Equity","bid")</f>
        <v>4.67</v>
      </c>
      <c r="L81" s="36">
        <f>_xll.BDP($B81&amp;" Equity","ask")</f>
        <v>4.71</v>
      </c>
      <c r="M81" s="40">
        <f>(L81/K81-1)</f>
        <v>8.565310492505418E-3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259050</v>
      </c>
      <c r="Q81" s="58">
        <f>P81/'Master P&amp;L'!$AD$5*10000</f>
        <v>1.1533657852932508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625.46</v>
      </c>
      <c r="T81" s="53" cm="1">
        <f t="array" ref="T81">_xll.BDP(B81&amp;" Equity","OPT_STRIKE_PX")</f>
        <v>616</v>
      </c>
      <c r="U81" s="19">
        <f>T81/S81-1</f>
        <v>-1.5124868097080579E-2</v>
      </c>
      <c r="V81" s="37" cm="1">
        <f t="array" ref="V81">_xll.BDP($B81&amp;" Equity","ivol_mid")</f>
        <v>18.946580000000001</v>
      </c>
      <c r="W81" s="38">
        <f>_xll.BDP(B81&amp;" Equity","DELTA_MID_RT")</f>
        <v>-0.317310631275177</v>
      </c>
      <c r="X81" s="48">
        <f>Y81/'Master P&amp;L'!$AE$5</f>
        <v>-4.8599334287221701E-3</v>
      </c>
      <c r="Y81" s="15">
        <f>IF(G81="Sell", S81*W81*-H81*O81/N81, S81*W81*H81*O81/N81)</f>
        <v>-10915580.909055471</v>
      </c>
      <c r="Z81" s="15" cm="1">
        <f t="array" ref="Z81">_xll.BDP($B81&amp;" Equity","opt_theta")*H81*O81/N81</f>
        <v>-16824.115000000002</v>
      </c>
      <c r="AA81" s="19" cm="1">
        <f t="array" ref="AA81">_xll.BDP($B81&amp;" Equity","opt_theta")/I81</f>
        <v>-6.4945435244161367E-2</v>
      </c>
      <c r="AB81" s="36" t="str" cm="1">
        <f t="array" ref="AB81">_xll.BDP($C81&amp;" Equity","EXPECTED_REPORT_DT")</f>
        <v>#N/A N/A</v>
      </c>
      <c r="AC81" s="15">
        <f>S81*H81*O81/N81</f>
        <v>34400300</v>
      </c>
      <c r="AD81" s="48">
        <f>AC81/'Master P&amp;L'!$AE$5</f>
        <v>1.5316011975998231E-2</v>
      </c>
      <c r="AE81" t="str">
        <f>B81&amp;" -&gt; Buy to open "&amp;H81&amp;"x"</f>
        <v>QQQ US 02/06/26 P616 -&gt; Buy to open 550x</v>
      </c>
    </row>
    <row r="82" spans="1:38">
      <c r="A82" s="98" t="s">
        <v>256</v>
      </c>
      <c r="B82" s="59" t="s">
        <v>2291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21/01/2026</v>
      </c>
      <c r="E82" t="str" cm="1">
        <f t="array" ref="E82">_xll.BDP($B82&amp;" Equity","opt_days_expire")</f>
        <v>#N/A N/A</v>
      </c>
      <c r="F82" t="s">
        <v>194</v>
      </c>
      <c r="G82" s="105" t="s">
        <v>248</v>
      </c>
      <c r="H82" s="96">
        <f>H81</f>
        <v>550</v>
      </c>
      <c r="I82" s="97" t="str">
        <f>IF(G82="Buy",L82,K82)</f>
        <v>#N/A N/A</v>
      </c>
      <c r="J82" s="19" t="e">
        <f>I82/S82</f>
        <v>#VALUE!</v>
      </c>
      <c r="K82" s="36" t="str" cm="1">
        <f t="array" ref="K82">_xll.BDP($B82&amp;" Equity","bid")</f>
        <v>#N/A N/A</v>
      </c>
      <c r="L82" s="36" t="str" cm="1">
        <f t="array" ref="L82">_xll.BDP($B82&amp;" Equity","ask")</f>
        <v>#N/A N/A</v>
      </c>
      <c r="M82" s="40" t="e">
        <f>(L82/K82-1)</f>
        <v>#VALUE!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625.46</v>
      </c>
      <c r="T82" s="53" cm="1">
        <f t="array" ref="T82">_xll.BDP(B82&amp;" Equity","OPT_STRIKE_PX")</f>
        <v>614</v>
      </c>
      <c r="U82" s="19">
        <f>T82/S82-1</f>
        <v>-1.8322514629232955E-2</v>
      </c>
      <c r="V82" s="37" cm="1">
        <f t="array" ref="V82">_xll.BDP($B82&amp;" Equity","ivol_mid")</f>
        <v>84.461179999999999</v>
      </c>
      <c r="W82" s="38" cm="1">
        <f t="array" ref="W82">_xll.BDP(B82&amp;" Equity","DELTA_MID_RT")</f>
        <v>-1.6759999096393585E-2</v>
      </c>
      <c r="X82" s="48">
        <f>Y82/'Master P&amp;L'!$AE$5</f>
        <v>2.5669634687808365E-4</v>
      </c>
      <c r="Y82" s="15">
        <f>IF(G82="Sell", S82*W82*-H82*O82/N82, S82*W82*H82*O82/N82)</f>
        <v>576548.99691566825</v>
      </c>
      <c r="Z82" s="15" cm="1">
        <f t="array" ref="Z82">_xll.BDP($B82&amp;" Equity","opt_theta")*H82*O82/N82</f>
        <v>0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N/A</v>
      </c>
      <c r="AC82" s="15">
        <f>S82*H82*O82/N82</f>
        <v>34400300</v>
      </c>
      <c r="AD82" s="48">
        <f>AC82/'Master P&amp;L'!$AE$5</f>
        <v>1.5316011975998231E-2</v>
      </c>
      <c r="AE82" t="str">
        <f>B82&amp;" -&gt; Buy to open "&amp;H82&amp;"x"</f>
        <v>QQQ US 01/21/26 P614 -&gt; Buy to open 550x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>
        <f>T81-T82</f>
        <v>2</v>
      </c>
      <c r="W83" s="100" t="s">
        <v>252</v>
      </c>
      <c r="X83" s="122">
        <f>X81+X82</f>
        <v>-4.6032370818440867E-3</v>
      </c>
      <c r="AC83" s="100" t="s">
        <v>229</v>
      </c>
      <c r="AD83" s="122">
        <f>AD81</f>
        <v>1.5316011975998231E-2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>
        <f>Y81+Y82</f>
        <v>-10339031.912139803</v>
      </c>
      <c r="AC84" s="100"/>
      <c r="AD84" s="104"/>
    </row>
    <row r="85" spans="1:38">
      <c r="K85" s="64" t="e">
        <f>K84-K78</f>
        <v>#DIV/0!</v>
      </c>
      <c r="Y85" s="64">
        <f>Y84/S81</f>
        <v>-16530.284769833088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-244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-244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-301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-301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-301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-301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-430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-374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-248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-248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-403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-403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-399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-213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-213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-213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-129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-129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-8.0631371727748688E-2</v>
      </c>
    </row>
    <row r="153" spans="1:33">
      <c r="A153" s="98"/>
      <c r="B153" s="321" t="s">
        <v>2378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11</v>
      </c>
      <c r="F153" t="str" cm="1">
        <f t="array" ref="F153">_xll.BDP(B153&amp;" Index","QUOTED_CURRENCY_REALTIME")</f>
        <v>USD</v>
      </c>
      <c r="G153" s="105" t="s">
        <v>247</v>
      </c>
      <c r="H153" s="96">
        <v>15</v>
      </c>
      <c r="I153" s="97">
        <v>191</v>
      </c>
      <c r="J153" s="19">
        <f>I153/S153</f>
        <v>7.3895675555426593E-3</v>
      </c>
      <c r="K153" s="36" cm="1">
        <f t="array" ref="K153">_xll.BDP($B153&amp;" Index","bid")</f>
        <v>248.5</v>
      </c>
      <c r="L153" s="36" cm="1">
        <f t="array" ref="L153">_xll.BDP($B153&amp;" Index","ask")</f>
        <v>250.5</v>
      </c>
      <c r="M153" s="40">
        <f>(L153/K153-1)</f>
        <v>8.0482897384306362E-3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57300</v>
      </c>
      <c r="Q153" s="58">
        <f>P153/'Master P&amp;L'!$AD$5*10000</f>
        <v>0.25511623044703058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25847.25</v>
      </c>
      <c r="T153" s="53" cm="1">
        <f t="array" ref="T153">_xll.BDP(B153&amp;" Index","OPT_STRIKE_PX")</f>
        <v>26000</v>
      </c>
      <c r="U153" s="40">
        <f>T153/S153-1</f>
        <v>5.9097196026656196E-3</v>
      </c>
      <c r="V153" s="37" cm="1">
        <f t="array" ref="V153">_xll.BDP($B153&amp;" Index","ivol_mid")</f>
        <v>18.288494</v>
      </c>
      <c r="W153" s="38" cm="1">
        <f t="array" ref="W153">_xll.BDP(B153&amp;" Index","DELTA_MID_RT")</f>
        <v>0.4302697479724884</v>
      </c>
      <c r="X153" s="48">
        <f>Y153/'Master P&amp;L'!$AE$5</f>
        <v>1.4854562916310488E-3</v>
      </c>
      <c r="Y153" s="15">
        <f>IF(G153="Sell", S153*W153*-H153*O153/N153, S153*W153*H153*O153/N153)</f>
        <v>3336386.9229845703</v>
      </c>
      <c r="Z153" s="15" cm="1">
        <f t="array" ref="Z153">_xll.BDP($B153&amp;" Index","opt_theta")*H153*O153/N153</f>
        <v>-4620.1776</v>
      </c>
      <c r="AA153" s="126" cm="1">
        <f t="array" ref="AA153">_xll.BDP($B153&amp;" Index","opt_theta")/I153</f>
        <v>-8.0631371727748688E-2</v>
      </c>
      <c r="AB153" s="36" t="str" cm="1">
        <f t="array" ref="AB153">_xll.BDP($C153&amp;" Index","EXPECTED_REPORT_DT")</f>
        <v>#N/A Field Not Applicable</v>
      </c>
      <c r="AC153" s="15">
        <f>S153*H153*O153/N153</f>
        <v>7754175</v>
      </c>
      <c r="AD153" s="48">
        <f>AC153/'Master P&amp;L'!$AE$5</f>
        <v>3.4523837630481735E-3</v>
      </c>
      <c r="AG153" t="str">
        <f>B153&amp;" -&gt; Buy to open "&amp;H153&amp;"x"</f>
        <v>1OG6C 26000 -&gt; Buy to open 15x</v>
      </c>
    </row>
    <row r="154" spans="1:33">
      <c r="A154" s="98"/>
      <c r="B154" s="321" t="s">
        <v>2378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11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248.5</v>
      </c>
      <c r="J154" s="19">
        <f>I154/S154</f>
        <v>9.6141755892793241E-3</v>
      </c>
      <c r="K154" s="36" cm="1">
        <f t="array" ref="K154">_xll.BDP($B154&amp;" Index","bid")</f>
        <v>248.5</v>
      </c>
      <c r="L154" s="36" cm="1">
        <f t="array" ref="L154">_xll.BDP($B154&amp;" Index","ask")</f>
        <v>250.5</v>
      </c>
      <c r="M154" s="40">
        <f>(L154/K154-1)</f>
        <v>8.0482897384306362E-3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-198800</v>
      </c>
      <c r="Q154" s="58">
        <f>P154/'Master P&amp;L'!$AD$5*10000</f>
        <v>-0.88511529865392113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25847.25</v>
      </c>
      <c r="T154" s="53" cm="1">
        <f t="array" ref="T154">_xll.BDP(B154&amp;" Index","OPT_STRIKE_PX")</f>
        <v>26000</v>
      </c>
      <c r="U154" s="40">
        <f>T154/S154-1</f>
        <v>5.9097196026656196E-3</v>
      </c>
      <c r="V154" s="37" cm="1">
        <f t="array" ref="V154">_xll.BDP($B154&amp;" Index","ivol_mid")</f>
        <v>18.288494</v>
      </c>
      <c r="W154" s="38" cm="1">
        <f t="array" ref="W154">_xll.BDP(B154&amp;" Index","DELTA_MID_RT")</f>
        <v>0.4302697479724884</v>
      </c>
      <c r="X154" s="48">
        <f>Y154/'Master P&amp;L'!$AE$5</f>
        <v>-3.9612167776827967E-3</v>
      </c>
      <c r="Y154" s="15">
        <f>IF(G154="Sell", S154*W154*-H154*O154/N154, S154*W154*H154*O154/N154)</f>
        <v>-8897031.7946255207</v>
      </c>
      <c r="Z154" s="15" cm="1">
        <f t="array" ref="Z154">_xll.BDP($B154&amp;" Index","opt_theta")*H154*O154/N154</f>
        <v>-12320.473600000001</v>
      </c>
      <c r="AA154" s="126" cm="1">
        <f t="array" ref="AA154">_xll.BDP($B154&amp;" Index","opt_theta")/I154</f>
        <v>-6.1974213279678066E-2</v>
      </c>
      <c r="AB154" s="36" t="str" cm="1">
        <f t="array" ref="AB154">_xll.BDP($C154&amp;" Index","EXPECTED_REPORT_DT")</f>
        <v>#N/A Field Not Applicable</v>
      </c>
      <c r="AC154" s="15">
        <f>S154*H154*O154/N154</f>
        <v>20677800</v>
      </c>
      <c r="AD154" s="48">
        <f>AC154/'Master P&amp;L'!$AE$5</f>
        <v>9.2063567014617955E-3</v>
      </c>
      <c r="AG154" t="str">
        <f>B154&amp;" -&gt; Buy to open "&amp;H154&amp;"x"</f>
        <v>1OG6C 26000 -&gt; Buy to open 40x</v>
      </c>
    </row>
    <row r="155" spans="1:33">
      <c r="H155" s="100" t="s">
        <v>116</v>
      </c>
      <c r="I155" s="102">
        <f>I153-I154</f>
        <v>-57.5</v>
      </c>
      <c r="J155" s="100" t="s">
        <v>249</v>
      </c>
      <c r="K155" s="101">
        <f>K154/L153</f>
        <v>0.99201596806387227</v>
      </c>
      <c r="O155" s="164"/>
      <c r="P155" s="100" t="s">
        <v>250</v>
      </c>
      <c r="Q155" s="108">
        <f>Q153+Q154</f>
        <v>-0.62999906820689056</v>
      </c>
      <c r="S155" s="100" t="s">
        <v>251</v>
      </c>
      <c r="T155" s="102">
        <f>T154-T153</f>
        <v>0</v>
      </c>
      <c r="W155" s="100" t="s">
        <v>252</v>
      </c>
      <c r="X155" s="122">
        <f>X153+X154</f>
        <v>-2.4757604860517479E-3</v>
      </c>
      <c r="Y155" s="13">
        <f>Y153+Y154</f>
        <v>-5560644.8716409504</v>
      </c>
      <c r="AC155" s="100" t="s">
        <v>229</v>
      </c>
      <c r="AD155" s="122">
        <f>AD153</f>
        <v>3.4523837630481735E-3</v>
      </c>
    </row>
    <row r="156" spans="1:33">
      <c r="H156" s="100" t="s">
        <v>253</v>
      </c>
      <c r="I156" s="102">
        <f>(T155-I155)/I155</f>
        <v>-1</v>
      </c>
      <c r="J156" s="100" t="s">
        <v>145</v>
      </c>
      <c r="K156" s="109">
        <f>AVERAGE(K153:L153)-AVERAGE(K154:L154)</f>
        <v>0</v>
      </c>
      <c r="O156" s="164"/>
      <c r="P156" s="100"/>
      <c r="Q156" s="108"/>
      <c r="S156" s="100"/>
      <c r="T156" s="102"/>
      <c r="W156" s="100"/>
      <c r="X156" s="122"/>
      <c r="Y156" s="13">
        <f>Y155/S153</f>
        <v>-215.1348739862442</v>
      </c>
      <c r="AC156" s="100"/>
      <c r="AD156" s="104"/>
    </row>
    <row r="157" spans="1:33">
      <c r="K157" s="64">
        <f>K153-K154</f>
        <v>0</v>
      </c>
      <c r="L157" s="64">
        <f>L153-L154</f>
        <v>0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2128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6954.9</v>
      </c>
      <c r="T160" s="53" cm="1">
        <f t="array" ref="T160">_xll.BDP(B160&amp;" Index","OPT_STRIKE_PX")</f>
        <v>6950</v>
      </c>
      <c r="U160" s="40">
        <f>T160/S160-1</f>
        <v>-7.0453924571156623E-4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69549000</v>
      </c>
      <c r="AD160" s="48">
        <f>AC160/'Master P&amp;L'!$AE$5</f>
        <v>3.0965233353159739E-2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3.0965233353159739E-2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27.099999999999998</v>
      </c>
    </row>
    <row r="168" spans="1:37">
      <c r="A168">
        <v>300</v>
      </c>
      <c r="H168" s="276">
        <v>1</v>
      </c>
      <c r="I168" s="64">
        <f>I170-I171</f>
        <v>27.099999999999998</v>
      </c>
      <c r="K168" s="129"/>
    </row>
    <row r="169" spans="1:37">
      <c r="A169" s="237">
        <v>1</v>
      </c>
      <c r="B169" s="384" t="s">
        <v>2067</v>
      </c>
      <c r="C169" t="str" cm="1">
        <f t="array" ref="C169">_xll.BDP(B169&amp;" Equity","OPT_UNDL_TICKER")</f>
        <v>META US</v>
      </c>
      <c r="D169" s="64">
        <f>A169*AVERAGE(K169:L169)</f>
        <v>20.975000000000001</v>
      </c>
      <c r="E169" cm="1">
        <f t="array" ref="E169">_xll.BDP($B169&amp;" Index","opt_days_expire")</f>
        <v>81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20.85</v>
      </c>
      <c r="J169" s="19">
        <f>I169/S169</f>
        <v>3.1010173121542032E-2</v>
      </c>
      <c r="K169" s="36" cm="1">
        <f t="array" ref="K169">_xll.BDP($B169&amp;" Equity","bid")</f>
        <v>20.85</v>
      </c>
      <c r="L169" s="36" cm="1">
        <f t="array" ref="L169">_xll.BDP($B169&amp;" Equity","ask")</f>
        <v>21.1</v>
      </c>
      <c r="M169" s="40">
        <f>(L169/K169-1)</f>
        <v>1.1990407673860837E-2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-83400</v>
      </c>
      <c r="Q169" s="58">
        <f>P169/'Master P&amp;L'!$AD$5*10000</f>
        <v>-0.37132100557211778</v>
      </c>
      <c r="R169" s="37" cm="1">
        <f t="array" ref="R169">_xll.BDP($C169&amp;" Equity","EST_PE_NXT_YR")*(T169/S169)</f>
        <v>22.45136350146797</v>
      </c>
      <c r="S169" s="36" cm="1">
        <f t="array" ref="S169">_xll.BDP(C169&amp;" Equity","LAST_PRICE")</f>
        <v>672.36</v>
      </c>
      <c r="T169" s="53" cm="1">
        <f t="array" ref="T169">_xll.BDP(B169&amp;" Equity","OPT_STRIKE_PX")</f>
        <v>750</v>
      </c>
      <c r="U169" s="40">
        <f>T169/S169-1</f>
        <v>0.11547385329287874</v>
      </c>
      <c r="V169" s="37" cm="1">
        <f t="array" ref="V169">_xll.BDP($B169&amp;" Equity","ivol_mid")</f>
        <v>36.362299999999998</v>
      </c>
      <c r="W169" s="38" cm="1">
        <f t="array" ref="W169">_xll.BDP(B169&amp;" Equity","DELTA_MID_RT")</f>
        <v>0.3084740936756134</v>
      </c>
      <c r="X169" s="48">
        <f>Y169/'Master P&amp;L'!$AE$5</f>
        <v>-3.6937204512736563E-4</v>
      </c>
      <c r="Y169" s="15">
        <f>IF(G169="Sell", S169*W169*-H169*O169/N169, S169*W169*H169*O169/N169)</f>
        <v>-829622.56649494171</v>
      </c>
      <c r="Z169" s="15" cm="1">
        <f t="array" ref="Z169">_xll.BDP($B169&amp;" Equity","opt_theta")*H169*O169/N169</f>
        <v>-990.36399999999992</v>
      </c>
      <c r="AA169" s="19" cm="1">
        <f t="array" ref="AA169">_xll.BDP($B169&amp;" Equity","opt_theta")/I169</f>
        <v>-1.1874868105515588E-2</v>
      </c>
      <c r="AB169" s="36" t="str" cm="1">
        <f t="array" ref="AB169">_xll.BDP($C169&amp;" Equity","EXPECTED_REPORT_DT")</f>
        <v>28/01/2026</v>
      </c>
      <c r="AC169" s="15">
        <f>S169*H169*O169/N169</f>
        <v>2689440</v>
      </c>
      <c r="AD169" s="19">
        <f>AC169/'Master P&amp;L'!$AE$5</f>
        <v>1.1974167448751518E-3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4" t="s">
        <v>2068</v>
      </c>
      <c r="C170" t="str" cm="1">
        <f t="array" ref="C170">_xll.BDP(B170&amp;" Equity","OPT_UNDL_TICKER")</f>
        <v>META US</v>
      </c>
      <c r="D170" s="64">
        <f>A170*AVERAGE(K170:L170)</f>
        <v>82.35</v>
      </c>
      <c r="E170" cm="1">
        <f t="array" ref="E170">_xll.BDP($B170&amp;" Index","opt_days_expire")</f>
        <v>81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41.3</v>
      </c>
      <c r="J170" s="19">
        <f>I170/S170</f>
        <v>6.1425426854661187E-2</v>
      </c>
      <c r="K170" s="36" cm="1">
        <f t="array" ref="K170">_xll.BDP($B170&amp;" Equity","bid")</f>
        <v>41.05</v>
      </c>
      <c r="L170" s="36" cm="1">
        <f t="array" ref="L170">_xll.BDP($B170&amp;" Equity","ask")</f>
        <v>41.3</v>
      </c>
      <c r="M170" s="40">
        <f>(L170/K170-1)</f>
        <v>6.0901339829475543E-3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165200</v>
      </c>
      <c r="Q170" s="58">
        <f>P170/'Master P&amp;L'!$AD$5*10000</f>
        <v>0.73551834676875127</v>
      </c>
      <c r="R170" s="37" cm="1">
        <f t="array" ref="R170">_xll.BDP($C170&amp;" Equity","EST_PE_NXT_YR")*(T170/S170)</f>
        <v>20.655254421350534</v>
      </c>
      <c r="S170" s="36" cm="1">
        <f t="array" ref="S170">_xll.BDP(C170&amp;" Equity","LAST_PRICE")</f>
        <v>672.36</v>
      </c>
      <c r="T170" s="53" cm="1">
        <f t="array" ref="T170">_xll.BDP(B170&amp;" Equity","OPT_STRIKE_PX")</f>
        <v>690</v>
      </c>
      <c r="U170" s="40">
        <f>T170/S170-1</f>
        <v>2.6235945029448482E-2</v>
      </c>
      <c r="V170" s="37" cm="1">
        <f t="array" ref="V170">_xll.BDP($B170&amp;" Equity","ivol_mid")</f>
        <v>36.624809999999997</v>
      </c>
      <c r="W170" s="38" cm="1">
        <f t="array" ref="W170">_xll.BDP(B170&amp;" Equity","DELTA_MID_RT")</f>
        <v>0.49404162168502808</v>
      </c>
      <c r="X170" s="48">
        <f>Y170/'Master P&amp;L'!$AE$5</f>
        <v>5.915737104709275E-4</v>
      </c>
      <c r="Y170" s="15">
        <f>IF(G170="Sell", S170*W170*-H170*O170/N170, S170*W170*H170*O170/N170)</f>
        <v>1328695.2990245819</v>
      </c>
      <c r="Z170" s="15" cm="1">
        <f t="array" ref="Z170">_xll.BDP($B170&amp;" Equity","opt_theta")*H170*O170/N170</f>
        <v>-1119.82</v>
      </c>
      <c r="AA170" s="19" cm="1">
        <f t="array" ref="AA170">_xll.BDP($B170&amp;" Equity","opt_theta")/I170</f>
        <v>-6.7785714285714289E-3</v>
      </c>
      <c r="AB170" s="36" t="str" cm="1">
        <f t="array" ref="AB170">_xll.BDP($C170&amp;" Equity","EXPECTED_REPORT_DT")</f>
        <v>28/01/2026</v>
      </c>
      <c r="AC170" s="15">
        <f>S170*H170*O170/N170</f>
        <v>2689440</v>
      </c>
      <c r="AD170" s="48">
        <f>AC170/'Master P&amp;L'!$AE$5</f>
        <v>1.1974167448751518E-3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4" t="s">
        <v>2069</v>
      </c>
      <c r="C171" t="str" cm="1">
        <f t="array" ref="C171">_xll.BDP(B171&amp;" Equity","OPT_UNDL_TICKER")</f>
        <v>META US</v>
      </c>
      <c r="D171" s="64">
        <f>A171*AVERAGE(K171:L171)</f>
        <v>28.6</v>
      </c>
      <c r="E171" cm="1">
        <f t="array" ref="E171">_xll.BDP($B171&amp;" Index","opt_days_expire")</f>
        <v>81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14.2</v>
      </c>
      <c r="J171" s="19">
        <f>I171/S171</f>
        <v>2.1119638289011838E-2</v>
      </c>
      <c r="K171" s="36" cm="1">
        <f t="array" ref="K171">_xll.BDP($B171&amp;" Equity","bid")</f>
        <v>14.2</v>
      </c>
      <c r="L171" s="36" cm="1">
        <f t="array" ref="L171">_xll.BDP($B171&amp;" Equity","ask")</f>
        <v>14.4</v>
      </c>
      <c r="M171" s="40">
        <f>(L171/K171-1)</f>
        <v>1.4084507042253502E-2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-56800</v>
      </c>
      <c r="Q171" s="58">
        <f>P171/'Master P&amp;L'!$AD$5*10000</f>
        <v>-0.25289008532969171</v>
      </c>
      <c r="R171" s="37" cm="1">
        <f t="array" ref="R171">_xll.BDP($C171&amp;" Equity","EST_PE_NXT_YR")*(T171/S171)</f>
        <v>17.661739287821472</v>
      </c>
      <c r="S171" s="36" cm="1">
        <f t="array" ref="S171">_xll.BDP(C171&amp;" Equity","LAST_PRICE")</f>
        <v>672.36</v>
      </c>
      <c r="T171" s="53" cm="1">
        <f t="array" ref="T171">_xll.BDP(B171&amp;" Equity","OPT_STRIKE_PX")</f>
        <v>590</v>
      </c>
      <c r="U171" s="40">
        <f>T171/S171-1</f>
        <v>-0.12249390207626865</v>
      </c>
      <c r="V171" s="37" cm="1">
        <f t="array" ref="V171">_xll.BDP(B171&amp;" Equity","ivol_mid")</f>
        <v>37.905470000000001</v>
      </c>
      <c r="W171" s="38" cm="1">
        <f t="array" ref="W171">_xll.BDP(B171&amp;" Equity","DELTA_MID_RT")</f>
        <v>-0.19556093215942383</v>
      </c>
      <c r="X171" s="48">
        <f>Y171/'Master P&amp;L'!$AE$5</f>
        <v>2.3416793481108764E-4</v>
      </c>
      <c r="Y171" s="15">
        <f>IF(G171="Sell", S171*W171*-H171*O171/N171, S171*W171*H171*O171/N171)</f>
        <v>525949.39338684082</v>
      </c>
      <c r="Z171" s="15" cm="1">
        <f t="array" ref="Z171">_xll.BDP($B171&amp;" Equity","opt_theta")*H171*O171/N171</f>
        <v>-810.89199999999994</v>
      </c>
      <c r="AA171" s="19" cm="1">
        <f t="array" ref="AA171">_xll.BDP($B171&amp;" Equity","opt_theta")/I171</f>
        <v>-1.4276267605633802E-2</v>
      </c>
      <c r="AB171" s="36" t="str" cm="1">
        <f t="array" ref="AB171">_xll.BDP($C171&amp;" Equity","EXPECTED_REPORT_DT")</f>
        <v>28/01/2026</v>
      </c>
      <c r="AC171" s="15">
        <f>S171*H171*O171/N171</f>
        <v>2689440</v>
      </c>
      <c r="AD171" s="19">
        <f>AC171/'Master P&amp;L'!$AE$5</f>
        <v>1.1974167448751518E-3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6.2499999999999964</v>
      </c>
      <c r="J172" s="100" t="s">
        <v>249</v>
      </c>
      <c r="K172" s="101">
        <f>K171/L170</f>
        <v>0.34382566585956414</v>
      </c>
      <c r="P172" s="130">
        <f>P170+P171+P169</f>
        <v>25000</v>
      </c>
      <c r="Q172" s="58">
        <f>P172/'Master P&amp;L'!$AD$5*10000</f>
        <v>0.11130725586694179</v>
      </c>
      <c r="S172" s="100" t="s">
        <v>251</v>
      </c>
      <c r="T172" s="102"/>
      <c r="W172" s="100" t="s">
        <v>252</v>
      </c>
      <c r="X172" s="122">
        <f>X170+X171+X169</f>
        <v>4.5636960015464954E-4</v>
      </c>
      <c r="AC172" s="100" t="s">
        <v>229</v>
      </c>
      <c r="AD172" s="122">
        <f>AD170</f>
        <v>1.1974167448751518E-3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5.899999999999995</v>
      </c>
      <c r="P173" s="100"/>
      <c r="Q173" s="108"/>
      <c r="S173" s="100"/>
      <c r="T173" s="102"/>
      <c r="W173" s="100"/>
      <c r="X173" s="122"/>
      <c r="Y173" s="13">
        <f>(Y169+Y170+Y171)/S170</f>
        <v>1524.513840675354</v>
      </c>
      <c r="AC173" s="100"/>
      <c r="AD173" s="104"/>
    </row>
    <row r="174" spans="1:37">
      <c r="D174" s="64"/>
      <c r="H174" s="96"/>
      <c r="I174" s="64">
        <f>(I170*A170)-(I171*A171)-(I169*A169)</f>
        <v>33.349999999999994</v>
      </c>
      <c r="K174" s="64"/>
      <c r="N174" s="36"/>
      <c r="O174" s="162"/>
      <c r="P174" s="15"/>
      <c r="Q174" s="58"/>
    </row>
    <row r="175" spans="1:37">
      <c r="I175" s="21">
        <f>I171/I170</f>
        <v>0.34382566585956414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>
      <c r="A180" s="237"/>
      <c r="B180" t="s">
        <v>2322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32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40.75</v>
      </c>
      <c r="J180" s="19">
        <f>I180/S180</f>
        <v>6.0607412695579746E-2</v>
      </c>
      <c r="K180" s="36" cm="1">
        <f t="array" ref="K180">_xll.BDP($B180&amp;" Equity","bid")</f>
        <v>40.450000000000003</v>
      </c>
      <c r="L180" s="36" cm="1">
        <f t="array" ref="L180">_xll.BDP($B180&amp;" Equity","ask")</f>
        <v>40.75</v>
      </c>
      <c r="M180" s="40">
        <f>(L180/K180-1)</f>
        <v>7.4165636588379158E-3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142625</v>
      </c>
      <c r="Q180" s="58">
        <f>P180/'Master P&amp;L'!$AD$5*10000</f>
        <v>0.63500789472090291</v>
      </c>
      <c r="R180" s="37" cm="1">
        <f t="array" ref="R180">_xll.BDP($C180&amp;" Equity","EST_PE_NXT_YR")*(T180/S180)</f>
        <v>19.757199881291815</v>
      </c>
      <c r="S180" s="36" cm="1">
        <f t="array" ref="S180">_xll.BDP(C180&amp;" Equity","LAST_PRICE")</f>
        <v>672.36</v>
      </c>
      <c r="T180" s="53" cm="1">
        <f t="array" ref="T180">_xll.BDP(B180&amp;" Equity","OPT_STRIKE_PX")</f>
        <v>660</v>
      </c>
      <c r="U180" s="40">
        <f>T180/S180-1</f>
        <v>-1.8383009102266645E-2</v>
      </c>
      <c r="V180" s="37" cm="1">
        <f t="array" ref="V180">_xll.BDP(B180&amp;" Equity","ivol_mid")</f>
        <v>41.204560000000001</v>
      </c>
      <c r="W180" s="38" cm="1">
        <f t="array" ref="W180">_xll.BDP(B180&amp;" Equity","DELTA_MID_RT")</f>
        <v>0.59409695863723755</v>
      </c>
      <c r="X180" s="48">
        <f>Y180/'Master P&amp;L'!$AE$5</f>
        <v>6.2245894055767503E-4</v>
      </c>
      <c r="Y180" s="15">
        <f>IF(G180="Sell", S180*W180*-H180*O180/N180, S180*W180*H180*O180/N180)</f>
        <v>1398064.6088826656</v>
      </c>
      <c r="Z180" s="15" cm="1">
        <f t="array" ref="Z180">_xll.BDP($B180&amp;" Equity","opt_theta")*H180*O180/N180</f>
        <v>-1735.7794999999999</v>
      </c>
      <c r="AA180" s="19" cm="1">
        <f t="array" ref="AA180">_xll.BDP($B180&amp;" Equity","opt_theta")/I180</f>
        <v>-1.2170233128834355E-2</v>
      </c>
      <c r="AB180" s="36" t="str" cm="1">
        <f t="array" ref="AB180">_xll.BDP($C180&amp;" Equity","EXPECTED_REPORT_DT")</f>
        <v>28/01/2026</v>
      </c>
      <c r="AC180" s="15">
        <f>S180*H180*O180/N180</f>
        <v>2353260</v>
      </c>
      <c r="AD180" s="19">
        <f>AC180/'Master P&amp;L'!$AE$5</f>
        <v>1.0477396517657577E-3</v>
      </c>
      <c r="AE180" t="str">
        <f>B180  &amp; " -&gt; Sell to open " &amp;   H180 &amp;"x"</f>
        <v>META US 02/27/26 C660 -&gt; Sell to open 35x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6.09</v>
      </c>
      <c r="J185" s="18">
        <f>T186-T187</f>
        <v>15</v>
      </c>
      <c r="K185" s="276">
        <f>(J185-I185)/I185</f>
        <v>1.4630541871921183</v>
      </c>
      <c r="Q185" s="276">
        <f>Q187+Q186</f>
        <v>5.4228895058374034E-2</v>
      </c>
    </row>
    <row r="186" spans="1:37">
      <c r="A186" s="237">
        <v>1</v>
      </c>
      <c r="B186" s="132" t="s">
        <v>2089</v>
      </c>
      <c r="C186" t="str" cm="1">
        <f t="array" ref="C186">_xll.BDP(B186&amp;" Equity","OPT_UNDL_TICKER")</f>
        <v>NFLX US</v>
      </c>
      <c r="D186" s="64">
        <f>A186*AVERAGE(K186:L186)</f>
        <v>0.37</v>
      </c>
      <c r="E186" cm="1">
        <f t="array" ref="E186">_xll.BDP($B186&amp;" Index","opt_days_expire")</f>
        <v>53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0.36</v>
      </c>
      <c r="J186" s="19">
        <f>I186/S186</f>
        <v>4.2007001166861138E-3</v>
      </c>
      <c r="K186" s="36" cm="1">
        <f t="array" ref="K186">_xll.BDP($B186&amp;" Equity","bid")</f>
        <v>0.36</v>
      </c>
      <c r="L186" s="36" cm="1">
        <f t="array" ref="L186">_xll.BDP($B186&amp;" Equity","ask")</f>
        <v>0.38</v>
      </c>
      <c r="M186" s="40">
        <f>(L186/K186-1)</f>
        <v>5.555555555555558E-2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-719.99999999999989</v>
      </c>
      <c r="Q186" s="58">
        <f>P186/'Master P&amp;L'!$AD$5*10000</f>
        <v>-3.205648968967923E-3</v>
      </c>
      <c r="R186" s="37" cm="1">
        <f t="array" ref="R186">_xll.BDP($C186&amp;" Equity","EST_PE_NXT_YR")*(T186/S186)</f>
        <v>27.649481706169492</v>
      </c>
      <c r="S186" s="36" cm="1">
        <f t="array" ref="S186">_xll.BDP(C186&amp;" Equity","LAST_PRICE")</f>
        <v>85.7</v>
      </c>
      <c r="T186" s="53" cm="1">
        <f t="array" ref="T186">_xll.BDP(B186&amp;" Equity","OPT_STRIKE_PX")</f>
        <v>105</v>
      </c>
      <c r="U186" s="40">
        <f>T186/S186-1</f>
        <v>0.22520420070011671</v>
      </c>
      <c r="V186" s="37" cm="1">
        <f t="array" ref="V186">_xll.BDP($B186&amp;" Equity","ivol_mid")</f>
        <v>33.615569999999998</v>
      </c>
      <c r="W186" s="38" cm="1">
        <f t="array" ref="W186">_xll.BDP(B186&amp;" Equity","DELTA_MID_RT")</f>
        <v>7.6752789318561554E-2</v>
      </c>
      <c r="X186" s="48">
        <f>Y186/'Master P&amp;L'!$AE$5</f>
        <v>-5.8571784014555956E-6</v>
      </c>
      <c r="Y186" s="15">
        <f>IF(G186="Sell", S186*W186*-H186*O186/N186, S186*W186*H186*O186/N186)</f>
        <v>-13155.42808920145</v>
      </c>
      <c r="Z186" s="15" cm="1">
        <f t="array" ref="Z186">_xll.BDP($B186&amp;" Equity","opt_theta")*H186*O186/N186</f>
        <v>-29.956</v>
      </c>
      <c r="AA186" s="19" cm="1">
        <f t="array" ref="AA186">_xll.BDP($B186&amp;" Equity","opt_theta")/I186</f>
        <v>-4.1605555555555555E-2</v>
      </c>
      <c r="AB186" s="36" t="str" cm="1">
        <f t="array" ref="AB186">_xll.BDP($C186&amp;" Equity","EXPECTED_REPORT_DT")</f>
        <v>17/04/2026</v>
      </c>
      <c r="AC186" s="15">
        <f>S186*H186*O186/N186</f>
        <v>171400</v>
      </c>
      <c r="AD186" s="19">
        <f>AC186/'Master P&amp;L'!$AE$5</f>
        <v>7.6312254622375292E-5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2087</v>
      </c>
      <c r="C187" t="str" cm="1">
        <f t="array" ref="C187">_xll.BDP(B187&amp;" Equity","OPT_UNDL_TICKER")</f>
        <v>NFLX US</v>
      </c>
      <c r="D187" s="64">
        <f>A187*AVERAGE(K187:L187)</f>
        <v>12.7</v>
      </c>
      <c r="E187" cm="1">
        <f t="array" ref="E187">_xll.BDP($B187&amp;" Index","opt_days_expire")</f>
        <v>53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6.45</v>
      </c>
      <c r="J187" s="19">
        <f>I187/S187</f>
        <v>7.5262543757292882E-2</v>
      </c>
      <c r="K187" s="36" cm="1">
        <f t="array" ref="K187">_xll.BDP($B187&amp;" Equity","bid")</f>
        <v>6.25</v>
      </c>
      <c r="L187" s="36" cm="1">
        <f t="array" ref="L187">_xll.BDP($B187&amp;" Equity","ask")</f>
        <v>6.45</v>
      </c>
      <c r="M187" s="40">
        <f>(L187/K187-1)</f>
        <v>3.2000000000000028E-2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12900</v>
      </c>
      <c r="Q187" s="58">
        <f>P187/'Master P&amp;L'!$AD$5*10000</f>
        <v>5.7434544027341959E-2</v>
      </c>
      <c r="R187" s="37" cm="1">
        <f t="array" ref="R187">_xll.BDP($C187&amp;" Equity","EST_PE_NXT_YR")*(T187/S187)</f>
        <v>23.699555748145279</v>
      </c>
      <c r="S187" s="36" cm="1">
        <f t="array" ref="S187">_xll.BDP(C187&amp;" Equity","LAST_PRICE")</f>
        <v>85.7</v>
      </c>
      <c r="T187" s="53" cm="1">
        <f t="array" ref="T187">_xll.BDP(B187&amp;" Equity","OPT_STRIKE_PX")</f>
        <v>90</v>
      </c>
      <c r="U187" s="40">
        <f>T187/S187-1</f>
        <v>5.0175029171528607E-2</v>
      </c>
      <c r="V187" s="37" cm="1">
        <f t="array" ref="V187">_xll.BDP($B187&amp;" Equity","ivol_mid")</f>
        <v>31.453710000000001</v>
      </c>
      <c r="W187" s="38" cm="1">
        <f t="array" ref="W187">_xll.BDP(B187&amp;" Equity","DELTA_MID_RT")</f>
        <v>-0.62740910053253174</v>
      </c>
      <c r="X187" s="48">
        <f>Y187/'Master P&amp;L'!$AE$5</f>
        <v>-4.7879003032234017E-5</v>
      </c>
      <c r="Y187" s="15">
        <f>IF(G187="Sell", S187*W187*-H187*O187/N187, S187*W187*H187*O187/N187)</f>
        <v>-107537.91983127594</v>
      </c>
      <c r="Z187" s="15" cm="1">
        <f t="array" ref="Z187">_xll.BDP($B187&amp;" Equity","opt_theta")*H187*O187/N187</f>
        <v>-73.844000000000008</v>
      </c>
      <c r="AA187" s="19" cm="1">
        <f t="array" ref="AA187">_xll.BDP($B187&amp;" Equity","opt_theta")/I187</f>
        <v>-5.7243410852713186E-3</v>
      </c>
      <c r="AB187" s="36" t="str" cm="1">
        <f t="array" ref="AB187">_xll.BDP($C187&amp;" Equity","EXPECTED_REPORT_DT")</f>
        <v>17/04/2026</v>
      </c>
      <c r="AC187" s="15">
        <f>S187*H187*O187/N187</f>
        <v>171400</v>
      </c>
      <c r="AD187" s="48">
        <f>AC187/'Master P&amp;L'!$AE$5</f>
        <v>7.6312254622375292E-5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2088</v>
      </c>
      <c r="C188" t="str" cm="1">
        <f t="array" ref="C188">_xll.BDP(B188&amp;" Equity","OPT_UNDL_TICKER")</f>
        <v>NFLX US</v>
      </c>
      <c r="D188" s="64">
        <f>A188*AVERAGE(K188:L188)</f>
        <v>3.33</v>
      </c>
      <c r="E188" cm="1">
        <f t="array" ref="E188">_xll.BDP($B188&amp;" Index","opt_days_expire")</f>
        <v>53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1.63</v>
      </c>
      <c r="J188" s="19">
        <f>I188/S188</f>
        <v>1.9019836639439906E-2</v>
      </c>
      <c r="K188" s="36" cm="1">
        <f t="array" ref="K188">_xll.BDP($B188&amp;" Equity","bid")</f>
        <v>1.63</v>
      </c>
      <c r="L188" s="36" cm="1">
        <f t="array" ref="L188">_xll.BDP($B188&amp;" Equity","ask")</f>
        <v>1.7</v>
      </c>
      <c r="M188" s="40">
        <f>(L188/K188-1)</f>
        <v>4.2944785276073594E-2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-4890</v>
      </c>
      <c r="Q188" s="58">
        <f>P188/'Master P&amp;L'!$AD$5*10000</f>
        <v>-2.1771699247573814E-2</v>
      </c>
      <c r="R188" s="37" cm="1">
        <f t="array" ref="R188">_xll.BDP($C188&amp;" Equity","EST_PE_NXT_YR")*(T188/S188)</f>
        <v>21.066271776129135</v>
      </c>
      <c r="S188" s="36" cm="1">
        <f t="array" ref="S188">_xll.BDP(C188&amp;" Equity","LAST_PRICE")</f>
        <v>85.7</v>
      </c>
      <c r="T188" s="53" cm="1">
        <f t="array" ref="T188">_xll.BDP(B188&amp;" Equity","OPT_STRIKE_PX")</f>
        <v>80</v>
      </c>
      <c r="U188" s="40">
        <f>T188/S188-1</f>
        <v>-6.6511085180863461E-2</v>
      </c>
      <c r="V188" s="37" cm="1">
        <f t="array" ref="V188">_xll.BDP(B188&amp;" Equity","ivol_mid")</f>
        <v>31.604579999999999</v>
      </c>
      <c r="W188" s="38" cm="1">
        <f t="array" ref="W188">_xll.BDP(B188&amp;" Equity","DELTA_MID_RT")</f>
        <v>-0.25176537036895752</v>
      </c>
      <c r="X188" s="48">
        <f>Y188/'Master P&amp;L'!$AE$5</f>
        <v>2.8819174573038764E-5</v>
      </c>
      <c r="Y188" s="15">
        <f>IF(G188="Sell", S188*W188*-H188*O188/N188, S188*W188*H188*O188/N188)</f>
        <v>64728.876721858993</v>
      </c>
      <c r="Z188" s="15" cm="1">
        <f t="array" ref="Z188">_xll.BDP($B188&amp;" Equity","opt_theta")*H188*O188/N188</f>
        <v>-90.809999999999988</v>
      </c>
      <c r="AA188" s="19" cm="1">
        <f t="array" ref="AA188">_xll.BDP($B188&amp;" Equity","opt_theta")/I188</f>
        <v>-1.8570552147239263E-2</v>
      </c>
      <c r="AB188" s="36" t="str" cm="1">
        <f t="array" ref="AB188">_xll.BDP($C188&amp;" Equity","EXPECTED_REPORT_DT")</f>
        <v>17/04/2026</v>
      </c>
      <c r="AC188" s="15">
        <f>S188*H188*O188/N188</f>
        <v>257100</v>
      </c>
      <c r="AD188" s="19">
        <f>AC188/'Master P&amp;L'!$AE$5</f>
        <v>1.1446838193356293E-4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4.46</v>
      </c>
      <c r="J189" s="100" t="s">
        <v>249</v>
      </c>
      <c r="K189" s="101">
        <f>K188/L187</f>
        <v>0.25271317829457363</v>
      </c>
      <c r="P189" s="130">
        <f>P187+P188+P186</f>
        <v>7290</v>
      </c>
      <c r="Q189" s="58">
        <f>P189/'Master P&amp;L'!$AD$5*10000</f>
        <v>3.2457195810800227E-2</v>
      </c>
      <c r="S189" s="100" t="s">
        <v>251</v>
      </c>
      <c r="T189" s="102"/>
      <c r="W189" s="100" t="s">
        <v>252</v>
      </c>
      <c r="X189" s="122">
        <f>X187+X188+X186</f>
        <v>-2.4917006860650847E-5</v>
      </c>
      <c r="AC189" s="100" t="s">
        <v>229</v>
      </c>
      <c r="AD189" s="122">
        <f>AD187</f>
        <v>7.6312254622375292E-5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4.3149999999999995</v>
      </c>
      <c r="P190" s="100"/>
      <c r="Q190" s="108"/>
      <c r="S190" s="100"/>
      <c r="T190" s="102"/>
      <c r="W190" s="100"/>
      <c r="X190" s="122"/>
      <c r="Y190" s="13">
        <f>(Y186+Y187+Y188)/S187</f>
        <v>-653.0276685953138</v>
      </c>
      <c r="AC190" s="100"/>
      <c r="AD190" s="104"/>
    </row>
    <row r="191" spans="1:37">
      <c r="D191" s="64"/>
      <c r="H191" s="96"/>
      <c r="I191" s="64">
        <f>I187-I186</f>
        <v>6.09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-0.29999999999999982</v>
      </c>
      <c r="Q193" s="64">
        <f>Q196+Q197</f>
        <v>-2.0035306056049529E-2</v>
      </c>
    </row>
    <row r="194" spans="1:37">
      <c r="A194">
        <v>300</v>
      </c>
      <c r="H194" s="276">
        <v>1</v>
      </c>
      <c r="I194" s="129">
        <f>(I196-I195)/I197</f>
        <v>0.44175824175824174</v>
      </c>
      <c r="K194" s="129"/>
      <c r="Q194" s="129">
        <f>(Q196+Q195)/Q197</f>
        <v>-0.44175824175824169</v>
      </c>
    </row>
    <row r="195" spans="1:37">
      <c r="A195" s="237">
        <v>1</v>
      </c>
      <c r="B195" s="132" t="s">
        <v>2359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2.2400000000000002</v>
      </c>
      <c r="J195" s="19">
        <f>I195/S195</f>
        <v>5.2718286655683691E-2</v>
      </c>
      <c r="K195" s="36" cm="1">
        <f t="array" ref="K195">_xll.BDP($B195&amp;" Equity","bid")</f>
        <v>2.2400000000000002</v>
      </c>
      <c r="L195" s="36" cm="1">
        <f t="array" ref="L195">_xll.BDP($B195&amp;" Equity","ask")</f>
        <v>2.46</v>
      </c>
      <c r="M195" s="40">
        <f>(L195/K195-1)</f>
        <v>9.8214285714285587E-2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-33600.000000000007</v>
      </c>
      <c r="Q195" s="58">
        <f>P195/'Master P&amp;L'!$AD$5*10000</f>
        <v>-0.14959695188516978</v>
      </c>
      <c r="R195" s="37" cm="1">
        <f t="array" ref="R195">_xll.BDP($C195&amp;" Equity","EST_PE_NXT_YR")*(T195/S195)</f>
        <v>60.204385440089375</v>
      </c>
      <c r="S195" s="36" cm="1">
        <f t="array" ref="S195">_xll.BDP(C195&amp;" Equity","LAST_PRICE")</f>
        <v>42.49</v>
      </c>
      <c r="T195" s="53" cm="1">
        <f t="array" ref="T195">_xll.BDP(B195&amp;" Equity","OPT_STRIKE_PX")</f>
        <v>60</v>
      </c>
      <c r="U195" s="40">
        <f>T195/S195-1</f>
        <v>0.41209696399152729</v>
      </c>
      <c r="V195" s="37" cm="1">
        <f t="array" ref="V195">_xll.BDP($B195&amp;" Equity","ivol_mid")</f>
        <v>58.498040000000003</v>
      </c>
      <c r="W195" s="38" cm="1">
        <f t="array" ref="W195">_xll.BDP(B195&amp;" Equity","DELTA_MID_RT")</f>
        <v>0.27010548114776611</v>
      </c>
      <c r="X195" s="48">
        <f>Y195/'Master P&amp;L'!$AE$5</f>
        <v>-7.6646945928062765E-5</v>
      </c>
      <c r="Y195" s="15">
        <f>IF(G195="Sell", S195*W195*-H195*O195/N195, S195*W195*H195*O195/N195)</f>
        <v>-172151.72840952876</v>
      </c>
      <c r="Z195" s="15" cm="1">
        <f t="array" ref="Z195">_xll.BDP($B195&amp;" Equity","opt_theta")*H195*O195/N195</f>
        <v>-241.71</v>
      </c>
      <c r="AA195" s="19" cm="1">
        <f t="array" ref="AA195">_xll.BDP($B195&amp;" Equity","opt_theta")/I195</f>
        <v>-7.1937499999999996E-3</v>
      </c>
      <c r="AB195" s="36" t="str" cm="1">
        <f t="array" ref="AB195">_xll.BDP($C195&amp;" Equity","EXPECTED_REPORT_DT")</f>
        <v>24/04/2026</v>
      </c>
      <c r="AC195" s="15">
        <f>S195*H195*O195/N195</f>
        <v>637350</v>
      </c>
      <c r="AD195" s="19">
        <f>AC195/'Master P&amp;L'!$AE$5</f>
        <v>2.8376671810718138E-4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2358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4.25</v>
      </c>
      <c r="J196" s="19">
        <f>I196/S196</f>
        <v>0.10002353494939985</v>
      </c>
      <c r="K196" s="36" cm="1">
        <f t="array" ref="K196">_xll.BDP($B196&amp;" Equity","bid")</f>
        <v>4.05</v>
      </c>
      <c r="L196" s="36" cm="1">
        <f t="array" ref="L196">_xll.BDP($B196&amp;" Equity","ask")</f>
        <v>4.25</v>
      </c>
      <c r="M196" s="40">
        <f>(L196/K196-1)</f>
        <v>4.9382716049382713E-2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63750</v>
      </c>
      <c r="Q196" s="58">
        <f>P196/'Master P&amp;L'!$AD$5*10000</f>
        <v>0.28383350246070155</v>
      </c>
      <c r="R196" s="37" cm="1">
        <f t="array" ref="R196">_xll.BDP($C196&amp;" Equity","EST_PE_NXT_YR")*(T196/S196)</f>
        <v>50.170321200074476</v>
      </c>
      <c r="S196" s="36">
        <f>_xll.BDP(C196&amp;" Equity","LAST_PRICE")</f>
        <v>42.49</v>
      </c>
      <c r="T196" s="53" cm="1">
        <f t="array" ref="T196">_xll.BDP(B196&amp;" Equity","OPT_STRIKE_PX")</f>
        <v>50</v>
      </c>
      <c r="U196" s="40">
        <f>T196/S196-1</f>
        <v>0.17674746999293944</v>
      </c>
      <c r="V196" s="37" cm="1">
        <f t="array" ref="V196">_xll.BDP($B196&amp;" Equity","ivol_mid")</f>
        <v>56.264890000000001</v>
      </c>
      <c r="W196" s="38" cm="1">
        <f t="array" ref="W196">_xll.BDP(B196&amp;" Equity","DELTA_MID_RT")</f>
        <v>0.42671576142311096</v>
      </c>
      <c r="X196" s="48">
        <f>Y196/'Master P&amp;L'!$AE$5</f>
        <v>1.210877311836432E-4</v>
      </c>
      <c r="Y196" s="15">
        <f>IF(G196="Sell", S196*W196*-H196*O196/N196, S196*W196*H196*O196/N196)</f>
        <v>271967.29054301977</v>
      </c>
      <c r="Z196" s="15" cm="1">
        <f t="array" ref="Z196">_xll.BDP($B196&amp;" Equity","opt_theta")*H196*O196/N196</f>
        <v>-274.35000000000002</v>
      </c>
      <c r="AA196" s="19" cm="1">
        <f t="array" ref="AA196">_xll.BDP($B196&amp;" Equity","opt_theta")/I196</f>
        <v>-4.303529411764706E-3</v>
      </c>
      <c r="AB196" s="36" t="str" cm="1">
        <f t="array" ref="AB196">_xll.BDP($C196&amp;" Equity","EXPECTED_REPORT_DT")</f>
        <v>24/04/2026</v>
      </c>
      <c r="AC196" s="15">
        <f>S196*H196*O196/N196</f>
        <v>637350</v>
      </c>
      <c r="AD196" s="19">
        <f>AC196/'Master P&amp;L'!$AE$5</f>
        <v>2.8376671810718138E-4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2357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4.55</v>
      </c>
      <c r="J197" s="19">
        <f>I197/S197</f>
        <v>0.10708401976935748</v>
      </c>
      <c r="K197" s="36" cm="1">
        <f t="array" ref="K197">_xll.BDP($B197&amp;" Equity","bid")</f>
        <v>4.55</v>
      </c>
      <c r="L197" s="36" cm="1">
        <f t="array" ref="L197">_xll.BDP($B197&amp;" Equity","ask")</f>
        <v>4.5999999999999996</v>
      </c>
      <c r="M197" s="40">
        <f>(L197/K197-1)</f>
        <v>1.098901098901095E-2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-68250</v>
      </c>
      <c r="Q197" s="58">
        <f>P197/'Master P&amp;L'!$AD$5*10000</f>
        <v>-0.30386880851675108</v>
      </c>
      <c r="R197" s="37" cm="1">
        <f t="array" ref="R197">_xll.BDP($C197&amp;" Equity","EST_PE_NXT_YR")*(T197/S197)</f>
        <v>40.136256960059583</v>
      </c>
      <c r="S197" s="36" cm="1">
        <f t="array" ref="S197">_xll.BDP(C197&amp;" Equity","LAST_PRICE")</f>
        <v>42.49</v>
      </c>
      <c r="T197" s="53" cm="1">
        <f t="array" ref="T197">_xll.BDP(B197&amp;" Equity","OPT_STRIKE_PX")</f>
        <v>40</v>
      </c>
      <c r="U197" s="40">
        <f>T197/S197-1</f>
        <v>-5.8602024005648401E-2</v>
      </c>
      <c r="V197" s="37" cm="1">
        <f t="array" ref="V197">_xll.BDP($B197&amp;" Equity","ivol_mid")</f>
        <v>53.666460000000001</v>
      </c>
      <c r="W197" s="38" cm="1">
        <f t="array" ref="W197">_xll.BDP(B197&amp;" Equity","DELTA_MID_RT")</f>
        <v>-0.3505139946937561</v>
      </c>
      <c r="X197" s="48">
        <f>Y197/'Master P&amp;L'!$AE$5</f>
        <v>9.9464205924885157E-5</v>
      </c>
      <c r="Y197" s="15">
        <f>IF(G197="Sell", S197*W197*-H197*O197/N197, S197*W197*H197*O197/N197)</f>
        <v>223400.09451806545</v>
      </c>
      <c r="Z197" s="15" cm="1">
        <f t="array" ref="Z197">_xll.BDP($B197&amp;" Equity","opt_theta")*H197*O197/N197</f>
        <v>-252.69</v>
      </c>
      <c r="AA197" s="19" cm="1">
        <f t="array" ref="AA197">_xll.BDP($B197&amp;" Equity","opt_theta")/I197</f>
        <v>-3.7024175824175824E-3</v>
      </c>
      <c r="AB197" s="36" t="str" cm="1">
        <f t="array" ref="AB197">_xll.BDP($C197&amp;" Equity","EXPECTED_REPORT_DT")</f>
        <v>24/04/2026</v>
      </c>
      <c r="AC197" s="15">
        <f>S197*H197*O197/N197</f>
        <v>637350</v>
      </c>
      <c r="AD197" s="19">
        <f>AC197/'Master P&amp;L'!$AE$5</f>
        <v>2.8376671810718138E-4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-2.54</v>
      </c>
      <c r="J198" s="100" t="s">
        <v>249</v>
      </c>
      <c r="K198" s="101">
        <f>K197/L196</f>
        <v>1.0705882352941176</v>
      </c>
      <c r="P198" s="130">
        <f>P196+P197+P195</f>
        <v>-38100.000000000007</v>
      </c>
      <c r="Q198" s="58">
        <f>P198/'Master P&amp;L'!$AD$5*10000</f>
        <v>-0.16963225794121931</v>
      </c>
      <c r="S198" s="100" t="s">
        <v>251</v>
      </c>
      <c r="T198" s="102"/>
      <c r="W198" s="100" t="s">
        <v>252</v>
      </c>
      <c r="X198" s="122">
        <f>X196+X197+X195</f>
        <v>1.4390499118046559E-4</v>
      </c>
      <c r="AC198" s="100" t="s">
        <v>229</v>
      </c>
      <c r="AD198" s="122">
        <f>AD196</f>
        <v>2.8376671810718138E-4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-2.774999999999999</v>
      </c>
      <c r="P199" s="100"/>
      <c r="Q199" s="108"/>
      <c r="S199" s="100"/>
      <c r="T199" s="102"/>
      <c r="W199" s="100"/>
      <c r="X199" s="122"/>
      <c r="Y199" s="13">
        <f>(Y195+Y196+Y197)/S196</f>
        <v>7606.8641245365143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-2.84</v>
      </c>
      <c r="K200" s="64"/>
      <c r="N200" s="36"/>
      <c r="O200" s="162"/>
      <c r="P200" s="15"/>
      <c r="Q200" s="58"/>
      <c r="X200" s="71">
        <f>AD198+X198</f>
        <v>4.2767170928764697E-4</v>
      </c>
    </row>
    <row r="201" spans="1:37">
      <c r="I201" s="64"/>
      <c r="K201" s="64"/>
    </row>
    <row r="202" spans="1:37">
      <c r="H202" s="276">
        <v>1</v>
      </c>
      <c r="I202" s="64">
        <f>I204-I205</f>
        <v>-1</v>
      </c>
      <c r="K202" s="64"/>
      <c r="Q202" s="129" t="e">
        <f>(Q204+Q203)/Q205</f>
        <v>#VALUE!</v>
      </c>
    </row>
    <row r="203" spans="1:37">
      <c r="A203" s="237"/>
      <c r="B203" t="s">
        <v>2259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t="str" cm="1">
        <f t="array" ref="E203">_xll.BDP($B203&amp;" Index","opt_days_expire")</f>
        <v>#N/A N/A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140</v>
      </c>
      <c r="I203" s="97" t="str">
        <f>IF(G203="Buy",L203,K203)</f>
        <v>#N/A N/A</v>
      </c>
      <c r="J203" s="19" t="e">
        <f>I203/S203</f>
        <v>#VALUE!</v>
      </c>
      <c r="K203" s="36" t="str" cm="1">
        <f t="array" ref="K203">_xll.BDP($B203&amp;" Equity","bid")</f>
        <v>#N/A N/A</v>
      </c>
      <c r="L203" s="36" cm="1">
        <f t="array" ref="L203">_xll.BDP($B203&amp;" Equity","ask")</f>
        <v>0.01</v>
      </c>
      <c r="M203" s="40" t="e">
        <f>(L203/K203-1)</f>
        <v>#VALUE!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625.46</v>
      </c>
      <c r="T203" s="53" cm="1">
        <f t="array" ref="T203">_xll.BDP(B203&amp;" Equity","OPT_STRIKE_PX")</f>
        <v>635</v>
      </c>
      <c r="U203" s="40">
        <f>T203/S203-1</f>
        <v>1.525277395836655E-2</v>
      </c>
      <c r="V203" s="37" t="str" cm="1">
        <f t="array" ref="V203">_xll.BDP($B203&amp;" Equity","ivol_mid")</f>
        <v>#N/A N/A</v>
      </c>
      <c r="W203" s="38" t="str" cm="1">
        <f t="array" ref="W203">_xll.BDP(B203&amp;" Equity","DELTA_MID_RT")</f>
        <v>#N/A N/A</v>
      </c>
      <c r="X203" s="48" t="e">
        <f>Y203/'Master P&amp;L'!$AE$5</f>
        <v>#VALUE!</v>
      </c>
      <c r="Y203" s="15" t="e">
        <f>IF(G203="Sell", S203*W203*-H203*O203/N203, S203*W203*H203*O203/N203)</f>
        <v>#VALUE!</v>
      </c>
      <c r="Z203" s="15" t="e" cm="1">
        <f t="array" ref="Z203">_xll.BDP($B203&amp;" Equity","opt_theta")*H203*O203/N203</f>
        <v>#VALUE!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#N/A N/A</v>
      </c>
      <c r="AC203" s="15">
        <f>S203*H203*O203/N203</f>
        <v>8756440</v>
      </c>
      <c r="AD203" s="19">
        <f>AC203/'Master P&amp;L'!$AE$5</f>
        <v>3.898621230254095E-3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2260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t="str" cm="1">
        <f t="array" ref="E204">_xll.BDP($B204&amp;" Index","opt_days_expire")</f>
        <v>#N/A N/A</v>
      </c>
      <c r="F204" t="str" cm="1">
        <f t="array" ref="F204">_xll.BDP(B204&amp;" Equity","QUOTED_CURRENCY_REALTIME")</f>
        <v>USD</v>
      </c>
      <c r="G204" s="105" t="s">
        <v>247</v>
      </c>
      <c r="H204" s="131">
        <v>140</v>
      </c>
      <c r="I204" s="97">
        <f>IF(G204="Buy",L204,K204)</f>
        <v>0.01</v>
      </c>
      <c r="J204" s="19">
        <f>I204/S204</f>
        <v>1.5988232660761679E-5</v>
      </c>
      <c r="K204" s="36" t="str" cm="1">
        <f t="array" ref="K204">_xll.BDP($B204&amp;" Equity","bid")</f>
        <v>#N/A N/A</v>
      </c>
      <c r="L204" s="36" cm="1">
        <f t="array" ref="L204">_xll.BDP($B204&amp;" Equity","ask")</f>
        <v>0.01</v>
      </c>
      <c r="M204" s="40" t="e">
        <f>(L204/K204-1)</f>
        <v>#VALUE!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140</v>
      </c>
      <c r="Q204" s="58">
        <f>P204/'Master P&amp;L'!$AD$5*10000</f>
        <v>6.233206328548741E-4</v>
      </c>
      <c r="R204" s="37" t="e" cm="1">
        <f t="array" ref="R204">_xll.BDP($C204&amp;" Equity","EST_PE_NXT_YR")*(T204/S204)</f>
        <v>#VALUE!</v>
      </c>
      <c r="S204" s="36">
        <f>_xll.BDP(C204&amp;" Equity","LAST_PRICE")</f>
        <v>625.46</v>
      </c>
      <c r="T204" s="53" cm="1">
        <f t="array" ref="T204">_xll.BDP(B204&amp;" Equity","OPT_STRIKE_PX")</f>
        <v>633</v>
      </c>
      <c r="U204" s="40">
        <f>T204/S204-1</f>
        <v>1.2055127426214174E-2</v>
      </c>
      <c r="V204" s="37" t="str" cm="1">
        <f t="array" ref="V204">_xll.BDP($B204&amp;" Equity","ivol_mid")</f>
        <v>#N/A N/A</v>
      </c>
      <c r="W204" s="38" t="str" cm="1">
        <f t="array" ref="W204">_xll.BDP(B204&amp;" Equity","DELTA_MID_RT")</f>
        <v>#N/A N/A</v>
      </c>
      <c r="X204" s="48" t="e">
        <f>Y204/'Master P&amp;L'!$AE$5</f>
        <v>#VALUE!</v>
      </c>
      <c r="Y204" s="15" t="e">
        <f>IF(G204="Sell", S204*W204*-H204*O204/N204, S204*W204*H204*O204/N204)</f>
        <v>#VALUE!</v>
      </c>
      <c r="Z204" s="15" t="e" cm="1">
        <f t="array" ref="Z204">_xll.BDP($B204&amp;" Equity","opt_theta")*H204*O204/N204</f>
        <v>#VALUE!</v>
      </c>
      <c r="AA204" s="19" t="e" cm="1">
        <f t="array" ref="AA204">_xll.BDP($B204&amp;" Equity","opt_theta")/I204</f>
        <v>#VALUE!</v>
      </c>
      <c r="AB204" s="36" t="str" cm="1">
        <f t="array" ref="AB204">_xll.BDP($C204&amp;" Equity","EXPECTED_REPORT_DT")</f>
        <v>#N/A N/A</v>
      </c>
      <c r="AC204" s="15">
        <f>S204*H204*O204/N204</f>
        <v>8756440</v>
      </c>
      <c r="AD204" s="19">
        <f>AC204/'Master P&amp;L'!$AE$5</f>
        <v>3.898621230254095E-3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2261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t="str" cm="1">
        <f t="array" ref="E205">_xll.BDP($B205&amp;" Index","opt_days_expire")</f>
        <v>#N/A N/A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210</v>
      </c>
      <c r="I205" s="97">
        <f>IF(G205="Buy",L205,K205)</f>
        <v>1.01</v>
      </c>
      <c r="J205" s="19">
        <f>I205/S205</f>
        <v>1.6148114987369296E-3</v>
      </c>
      <c r="K205" s="36" cm="1">
        <f t="array" ref="K205">_xll.BDP($B205&amp;" Equity","bid")</f>
        <v>1.01</v>
      </c>
      <c r="L205" s="36" cm="1">
        <f t="array" ref="L205">_xll.BDP($B205&amp;" Equity","ask")</f>
        <v>1.53</v>
      </c>
      <c r="M205" s="40">
        <f>(L205/K205-1)</f>
        <v>0.51485148514851486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-21210</v>
      </c>
      <c r="Q205" s="58">
        <f>P205/'Master P&amp;L'!$AD$5*10000</f>
        <v>-9.4433075877513414E-2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625.46</v>
      </c>
      <c r="T205" s="53" cm="1">
        <f t="array" ref="T205">_xll.BDP(B205&amp;" Equity","OPT_STRIKE_PX")</f>
        <v>622</v>
      </c>
      <c r="U205" s="40">
        <f>T205/S205-1</f>
        <v>-5.5319285006235619E-3</v>
      </c>
      <c r="V205" s="37" t="str" cm="1">
        <f t="array" ref="V205">_xll.BDP($B205&amp;" Equity","ivol_mid")</f>
        <v>#N/A N/A</v>
      </c>
      <c r="W205" s="38" t="str" cm="1">
        <f t="array" ref="W205">_xll.BDP(B205&amp;" Equity","DELTA_MID_RT")</f>
        <v>#N/A N/A</v>
      </c>
      <c r="X205" s="48" t="e">
        <f>Y205/'Master P&amp;L'!$AE$5</f>
        <v>#VALUE!</v>
      </c>
      <c r="Y205" s="15" t="e">
        <f>IF(G205="Sell", S205*W205*-H205*O205/N205, S205*W205*H205*O205/N205)</f>
        <v>#VALUE!</v>
      </c>
      <c r="Z205" s="15" t="e" cm="1">
        <f t="array" ref="Z205">_xll.BDP($B205&amp;" Equity","opt_theta")*H205*O205/N205</f>
        <v>#VALUE!</v>
      </c>
      <c r="AA205" s="19" t="e" cm="1">
        <f t="array" ref="AA205">_xll.BDP($B205&amp;" Equity","opt_theta")/I205</f>
        <v>#VALUE!</v>
      </c>
      <c r="AB205" s="36" t="str" cm="1">
        <f t="array" ref="AB205">_xll.BDP($C205&amp;" Equity","EXPECTED_REPORT_DT")</f>
        <v>#N/A N/A</v>
      </c>
      <c r="AC205" s="15">
        <f>S205*H205*O205/N205</f>
        <v>13134660</v>
      </c>
      <c r="AD205" s="19">
        <f>AC205/'Master P&amp;L'!$AE$5</f>
        <v>5.8479318453811425E-3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>
        <f>K205/L204</f>
        <v>101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 t="e">
        <f>X204+X205+X203</f>
        <v>#VALUE!</v>
      </c>
      <c r="AC206" s="100" t="s">
        <v>229</v>
      </c>
      <c r="AD206" s="122">
        <f>AD204</f>
        <v>3.898621230254095E-3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-1.27</v>
      </c>
      <c r="P207" s="100"/>
      <c r="Q207" s="108"/>
      <c r="S207" s="100"/>
      <c r="T207" s="102"/>
      <c r="W207" s="100"/>
      <c r="X207" s="122"/>
      <c r="Y207" s="13" t="e">
        <f>(Y203+Y204+Y205)/S204</f>
        <v>#VALUE!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 t="e">
        <f>AD206+X206</f>
        <v>#VALUE!</v>
      </c>
    </row>
    <row r="209" spans="1:37">
      <c r="B209" s="59"/>
    </row>
    <row r="210" spans="1:37">
      <c r="A210">
        <v>300</v>
      </c>
      <c r="H210" s="276">
        <v>1</v>
      </c>
      <c r="I210" s="64" t="e">
        <f>I212+I214-I211-I213</f>
        <v>#VALUE!</v>
      </c>
      <c r="K210" s="129"/>
      <c r="W210" s="50">
        <f>W212-W211+W214-W213</f>
        <v>9.6942377276718616E-3</v>
      </c>
    </row>
    <row r="211" spans="1:37">
      <c r="A211" s="237">
        <v>9</v>
      </c>
      <c r="B211" t="s">
        <v>2304</v>
      </c>
      <c r="C211" t="str" cm="1">
        <f t="array" ref="C211">_xll.BDP(B211&amp;" Equity","OPT_UNDL_TICKER")</f>
        <v>QQQ US</v>
      </c>
      <c r="D211" s="64"/>
      <c r="E211" cm="1">
        <f t="array" ref="E211">_xll.BDP($B211&amp;" Index","opt_days_expire")</f>
        <v>0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0.01</v>
      </c>
      <c r="J211" s="19">
        <f>I211/S211</f>
        <v>1.5988232660761679E-5</v>
      </c>
      <c r="K211" s="36" t="str" cm="1">
        <f t="array" ref="K211">_xll.BDP($B211&amp;" Equity","bid")</f>
        <v>#N/A N/A</v>
      </c>
      <c r="L211" s="36" cm="1">
        <f t="array" ref="L211">_xll.BDP($B211&amp;" Equity","ask")</f>
        <v>0.01</v>
      </c>
      <c r="M211" s="40" t="e">
        <f>(L211/K211-1)</f>
        <v>#VALUE!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200</v>
      </c>
      <c r="Q211" s="58">
        <f>P211/'Master P&amp;L'!$AD$5*10000</f>
        <v>8.9045804693553424E-4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625.46</v>
      </c>
      <c r="T211" s="53" cm="1">
        <f t="array" ref="T211">_xll.BDP(B211&amp;" Equity","OPT_STRIKE_PX")</f>
        <v>630</v>
      </c>
      <c r="U211" s="40">
        <f>T211/S211-1</f>
        <v>7.2586576279858317E-3</v>
      </c>
      <c r="V211" s="37" cm="1">
        <f t="array" ref="V211">_xll.BDP($B211&amp;" Equity","ivol_mid")</f>
        <v>30.558679999999999</v>
      </c>
      <c r="W211" s="38" cm="1">
        <f t="array" ref="W211">_xll.BDP(B211&amp;" Equity","DELTA_MID_RT")</f>
        <v>1.0750485584139824E-2</v>
      </c>
      <c r="X211" s="48">
        <f>Y211/'Master P&amp;L'!$AE$5</f>
        <v>5.9874387619811604E-5</v>
      </c>
      <c r="Y211" s="15">
        <f>IF(G211="Sell", S211*W211*-H211*O211/N211, S211*W211*H211*O211/N211)</f>
        <v>134479.97426912191</v>
      </c>
      <c r="Z211" s="15" cm="1">
        <f t="array" ref="Z211">_xll.BDP($B211&amp;" Equity","opt_theta")*H211*O211/N211</f>
        <v>0</v>
      </c>
      <c r="AA211" s="19" cm="1">
        <f t="array" ref="AA211">_xll.BDP($B211&amp;" Equity","opt_theta")/I211</f>
        <v>0</v>
      </c>
      <c r="AB211" s="36" t="str" cm="1">
        <f t="array" ref="AB211">_xll.BDP($C211&amp;" Equity","EXPECTED_REPORT_DT")</f>
        <v>#N/A N/A</v>
      </c>
      <c r="AC211" s="15">
        <f>S211*H211*O211/N211</f>
        <v>12509200</v>
      </c>
      <c r="AD211" s="19">
        <f>AC211/'Master P&amp;L'!$AE$5</f>
        <v>5.5694589003629927E-3</v>
      </c>
      <c r="AE211" t="s">
        <v>1875</v>
      </c>
      <c r="AK211" t="s">
        <v>1791</v>
      </c>
    </row>
    <row r="212" spans="1:37">
      <c r="A212" s="237">
        <v>3</v>
      </c>
      <c r="B212" t="s">
        <v>2303</v>
      </c>
      <c r="C212" t="str" cm="1">
        <f t="array" ref="C212">_xll.BDP(B212&amp;" Equity","OPT_UNDL_TICKER")</f>
        <v>QQQ US</v>
      </c>
      <c r="D212" s="64"/>
      <c r="E212" cm="1">
        <f t="array" ref="E212">_xll.BDP($B212&amp;" Index","opt_days_expire")</f>
        <v>0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 t="str">
        <f>IF(G212="Buy",L212,K212)</f>
        <v>#N/A N/A</v>
      </c>
      <c r="J212" s="19" t="e">
        <f>I212/S212</f>
        <v>#VALUE!</v>
      </c>
      <c r="K212" s="36" t="str" cm="1">
        <f t="array" ref="K212">_xll.BDP($B212&amp;" Equity","bid")</f>
        <v>#N/A N/A</v>
      </c>
      <c r="L212" s="36" cm="1">
        <f t="array" ref="L212">_xll.BDP($B212&amp;" Equity","ask")</f>
        <v>0.01</v>
      </c>
      <c r="M212" s="40" t="e">
        <f>(L212/K212-1)</f>
        <v>#VALUE!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 t="e">
        <f>IF(G212="Buy",((I212/N212)*H212*O212),((I212/N212)*-H212*O212))</f>
        <v>#VALUE!</v>
      </c>
      <c r="Q212" s="58" t="e">
        <f>P212/'Master P&amp;L'!$AD$5*10000</f>
        <v>#VALUE!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625.46</v>
      </c>
      <c r="T212" s="53" cm="1">
        <f t="array" ref="T212">_xll.BDP(B212&amp;" Equity","OPT_STRIKE_PX")</f>
        <v>627</v>
      </c>
      <c r="U212" s="40">
        <f>T212/S212-1</f>
        <v>2.4621878297572675E-3</v>
      </c>
      <c r="V212" s="37" cm="1">
        <f t="array" ref="V212">_xll.BDP($B212&amp;" Equity","ivol_mid")</f>
        <v>11.43497</v>
      </c>
      <c r="W212" s="38" cm="1">
        <f t="array" ref="W212">_xll.BDP(B212&amp;" Equity","DELTA_MID_RT")</f>
        <v>1.5686845406889915E-2</v>
      </c>
      <c r="X212" s="48">
        <f>Y212/'Master P&amp;L'!$AE$5</f>
        <v>-8.7367240770021385E-5</v>
      </c>
      <c r="Y212" s="15">
        <f>IF(G212="Sell", S212*W212*-H212*O212/N212, S212*W212*H212*O212/N212)</f>
        <v>-196229.88656386736</v>
      </c>
      <c r="Z212" s="15" cm="1">
        <f t="array" ref="Z212">_xll.BDP($B212&amp;" Equity","opt_theta")*H212*O212/N212</f>
        <v>0</v>
      </c>
      <c r="AA212" s="19" t="e" cm="1">
        <f t="array" ref="AA212">_xll.BDP($B212&amp;" Equity","opt_theta")/I212</f>
        <v>#VALUE!</v>
      </c>
      <c r="AB212" s="36" t="str" cm="1">
        <f t="array" ref="AB212">_xll.BDP($C212&amp;" Equity","EXPECTED_REPORT_DT")</f>
        <v>#N/A N/A</v>
      </c>
      <c r="AC212" s="15">
        <f>S212*H212*O212/N212</f>
        <v>12509200</v>
      </c>
      <c r="AD212" s="48">
        <f>AC212/'Master P&amp;L'!$AE$5</f>
        <v>5.5694589003629927E-3</v>
      </c>
      <c r="AE212" t="s">
        <v>1876</v>
      </c>
      <c r="AK212" t="s">
        <v>1792</v>
      </c>
    </row>
    <row r="213" spans="1:37">
      <c r="A213" s="237">
        <v>20</v>
      </c>
      <c r="B213" t="s">
        <v>2305</v>
      </c>
      <c r="C213" t="str" cm="1">
        <f t="array" ref="C213">_xll.BDP(B213&amp;" Equity","OPT_UNDL_TICKER")</f>
        <v>QQQ US</v>
      </c>
      <c r="D213" s="64"/>
      <c r="E213" cm="1">
        <f t="array" ref="E213">_xll.BDP($B213&amp;" Index","opt_days_expire")</f>
        <v>0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0.01</v>
      </c>
      <c r="J213" s="19">
        <f>I213/S213</f>
        <v>1.5988232660761679E-5</v>
      </c>
      <c r="K213" s="36" t="str" cm="1">
        <f t="array" ref="K213">_xll.BDP($B213&amp;" Equity","bid")</f>
        <v>#N/A N/A</v>
      </c>
      <c r="L213" s="36" cm="1">
        <f t="array" ref="L213">_xll.BDP($B213&amp;" Equity","ask")</f>
        <v>0.01</v>
      </c>
      <c r="M213" s="40" t="e">
        <f>(L213/K213-1)</f>
        <v>#VALUE!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200</v>
      </c>
      <c r="Q213" s="58">
        <f>P213/'Master P&amp;L'!$AD$5*10000</f>
        <v>8.9045804693553424E-4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625.46</v>
      </c>
      <c r="T213" s="53" cm="1">
        <f t="array" ref="T213">_xll.BDP(B213&amp;" Equity","OPT_STRIKE_PX")</f>
        <v>615</v>
      </c>
      <c r="U213" s="40">
        <f>T213/S213-1</f>
        <v>-1.6723691363156767E-2</v>
      </c>
      <c r="V213" s="37" cm="1">
        <f t="array" ref="V213">_xll.BDP(B213&amp;" Equity","ivol_mid")</f>
        <v>86.173950000000005</v>
      </c>
      <c r="W213" s="38" cm="1">
        <f t="array" ref="W213">_xll.BDP(B213&amp;" Equity","DELTA_MID_RT")</f>
        <v>-4.7578779049217701E-3</v>
      </c>
      <c r="X213" s="48">
        <f>Y213/'Master P&amp;L'!$AE$5</f>
        <v>-2.6498805444406981E-5</v>
      </c>
      <c r="Y213" s="15">
        <f>IF(G213="Sell", S213*W213*-H213*O213/N213, S213*W213*H213*O213/N213)</f>
        <v>-59517.246288247406</v>
      </c>
      <c r="Z213" s="15" cm="1">
        <f t="array" ref="Z213">_xll.BDP($B213&amp;" Equity","opt_theta")*H213*O213/N213</f>
        <v>0</v>
      </c>
      <c r="AA213" s="19" cm="1">
        <f t="array" ref="AA213">_xll.BDP($B213&amp;" Equity","opt_theta")/I213</f>
        <v>0</v>
      </c>
      <c r="AB213" s="36" t="str" cm="1">
        <f t="array" ref="AB213">_xll.BDP($C213&amp;" Equity","EXPECTED_REPORT_DT")</f>
        <v>#N/A N/A</v>
      </c>
      <c r="AC213" s="15">
        <f>S213*H213*O213/N213</f>
        <v>12509200</v>
      </c>
      <c r="AD213" s="19">
        <f>AC213/'Master P&amp;L'!$AE$5</f>
        <v>5.5694589003629927E-3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 t="e">
        <f>I212+I214-I213-I211</f>
        <v>#VALUE!</v>
      </c>
      <c r="J215" s="100" t="s">
        <v>249</v>
      </c>
      <c r="K215" s="101">
        <f>K214/L212</f>
        <v>0</v>
      </c>
      <c r="P215" s="130" t="e">
        <f>P212+P214+P211+P213</f>
        <v>#VALUE!</v>
      </c>
      <c r="Q215" s="58" t="e">
        <f>P215/'Master P&amp;L'!$AD$5*10000</f>
        <v>#VALUE!</v>
      </c>
      <c r="S215" s="100" t="s">
        <v>251</v>
      </c>
      <c r="T215" s="102"/>
      <c r="W215" s="100" t="s">
        <v>252</v>
      </c>
      <c r="X215" s="122">
        <f>X212+X214+X211+X213</f>
        <v>-5.3991658594616762E-5</v>
      </c>
      <c r="AC215" s="100" t="s">
        <v>229</v>
      </c>
      <c r="AD215" s="122">
        <f>AD212</f>
        <v>5.5694589003629927E-3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-98.727196455001831</v>
      </c>
      <c r="AC216" s="100"/>
      <c r="AD216" s="104"/>
    </row>
    <row r="217" spans="1:37">
      <c r="C217" t="e">
        <f>H211*(T211-T212)*100+P215</f>
        <v>#VALUE!</v>
      </c>
      <c r="D217" s="64"/>
      <c r="H217" s="96"/>
      <c r="I217" s="64" t="e">
        <f>I212-I211</f>
        <v>#VALUE!</v>
      </c>
      <c r="K217" s="64" t="e">
        <f>(I211/25*A211)+(I212/25*A212)-(I214/25*A214)</f>
        <v>#VALUE!</v>
      </c>
      <c r="N217" s="36"/>
      <c r="O217" s="162"/>
      <c r="P217" s="15"/>
      <c r="Q217" s="58"/>
    </row>
    <row r="218" spans="1:37">
      <c r="C218" t="e">
        <f>C217/'Master P&amp;L'!$AD$5*10000</f>
        <v>#VALUE!</v>
      </c>
      <c r="I218" s="64">
        <f>I213-I214</f>
        <v>0.01</v>
      </c>
      <c r="K218">
        <v>11.59</v>
      </c>
      <c r="M218" s="267" t="e">
        <f>(I215-K216)*500*100</f>
        <v>#VALUE!</v>
      </c>
      <c r="P218">
        <v>-7500</v>
      </c>
      <c r="S218">
        <v>521.79999999999995</v>
      </c>
    </row>
    <row r="219" spans="1:37">
      <c r="I219" s="40" t="e">
        <f>I218/I217</f>
        <v>#VALUE!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16.45</v>
      </c>
      <c r="J221" s="64">
        <f>I224-I225</f>
        <v>10.350000000000001</v>
      </c>
      <c r="K221" s="129"/>
      <c r="W221" s="50">
        <f>W223-W222+W225-W224</f>
        <v>0.30296409130096436</v>
      </c>
    </row>
    <row r="222" spans="1:37">
      <c r="A222" s="237">
        <v>9</v>
      </c>
      <c r="B222" s="59" t="s">
        <v>2107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143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15.55</v>
      </c>
      <c r="J222" s="19">
        <f>I222/S222</f>
        <v>4.7868246883176847E-2</v>
      </c>
      <c r="K222" s="36" cm="1">
        <f t="array" ref="K222">_xll.BDP($B222&amp;" Equity","bid")</f>
        <v>15.55</v>
      </c>
      <c r="L222" s="36" cm="1">
        <f t="array" ref="L222">_xll.BDP($B222&amp;" Equity","ask")</f>
        <v>15.75</v>
      </c>
      <c r="M222" s="40">
        <f>(L222/K222-1)</f>
        <v>1.2861736334405016E-2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-77750</v>
      </c>
      <c r="Q222" s="58">
        <f>P222/'Master P&amp;L'!$AD$5*10000</f>
        <v>-0.34616556574618895</v>
      </c>
      <c r="R222" s="37" cm="1">
        <f t="array" ref="R222">_xll.BDP($C222&amp;" Equity","EST_PE_NXT_YR")*(T222/S222)</f>
        <v>29.234331512565799</v>
      </c>
      <c r="S222" s="36" cm="1">
        <f t="array" ref="S222">_xll.BDP(C222&amp;" Equity","LAST_PRICE")</f>
        <v>324.85000000000002</v>
      </c>
      <c r="T222" s="53" cm="1">
        <f t="array" ref="T222">_xll.BDP(B222&amp;" Equity","OPT_STRIKE_PX")</f>
        <v>410</v>
      </c>
      <c r="U222" s="40">
        <f>T222/S222-1</f>
        <v>0.26212097891334452</v>
      </c>
      <c r="V222" s="37" cm="1">
        <f t="array" ref="V222">_xll.BDP($B222&amp;" Equity","ivol_mid")</f>
        <v>49.022280000000002</v>
      </c>
      <c r="W222" s="38" cm="1">
        <f t="array" ref="W222">_xll.BDP(B222&amp;" Equity","DELTA_MID_RT")</f>
        <v>0.28979992866516113</v>
      </c>
      <c r="X222" s="48">
        <f>Y222/'Master P&amp;L'!$AE$5</f>
        <v>-2.0957265576157424E-4</v>
      </c>
      <c r="Y222" s="15">
        <f>IF(G222="Sell", S222*W222*-H222*O222/N222, S222*W222*H222*O222/N222)</f>
        <v>-470707.53413438797</v>
      </c>
      <c r="Z222" s="15" cm="1">
        <f t="array" ref="Z222">_xll.BDP($B222&amp;" Equity","opt_theta")*H222*O222/N222</f>
        <v>-590.20000000000005</v>
      </c>
      <c r="AA222" s="19" cm="1">
        <f t="array" ref="AA222">_xll.BDP($B222&amp;" Equity","opt_theta")/I222</f>
        <v>-7.5909967845659166E-3</v>
      </c>
      <c r="AB222" s="36" t="str" cm="1">
        <f t="array" ref="AB222">_xll.BDP($C222&amp;" Equity","EXPECTED_REPORT_DT")</f>
        <v>06/03/2026</v>
      </c>
      <c r="AC222" s="15">
        <f>S222*H222*O222/N222</f>
        <v>1624250.0000000002</v>
      </c>
      <c r="AD222" s="19">
        <f>AC222/'Master P&amp;L'!$AE$5</f>
        <v>7.2316324136752089E-4</v>
      </c>
      <c r="AE222" t="s">
        <v>1875</v>
      </c>
      <c r="AK222" t="s">
        <v>1791</v>
      </c>
    </row>
    <row r="223" spans="1:37">
      <c r="A223" s="237">
        <v>3</v>
      </c>
      <c r="B223" s="59" t="s">
        <v>2105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143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32</v>
      </c>
      <c r="J223" s="19">
        <f>I223/S223</f>
        <v>9.8507003232261039E-2</v>
      </c>
      <c r="K223" s="36" cm="1">
        <f t="array" ref="K223">_xll.BDP($B223&amp;" Equity","bid")</f>
        <v>31.75</v>
      </c>
      <c r="L223" s="36" cm="1">
        <f t="array" ref="L223">_xll.BDP($B223&amp;" Equity","ask")</f>
        <v>32</v>
      </c>
      <c r="M223" s="40">
        <f>(L223/K223-1)</f>
        <v>7.8740157480314821E-3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160000</v>
      </c>
      <c r="Q223" s="58">
        <f>P223/'Master P&amp;L'!$AD$5*10000</f>
        <v>0.71236643754842743</v>
      </c>
      <c r="R223" s="37" cm="1">
        <f t="array" ref="R223">_xll.BDP($C223&amp;" Equity","EST_PE_NXT_YR")*(T223/S223)</f>
        <v>24.956136657068363</v>
      </c>
      <c r="S223" s="36" cm="1">
        <f t="array" ref="S223">_xll.BDP(C223&amp;" Equity","LAST_PRICE")</f>
        <v>324.85000000000002</v>
      </c>
      <c r="T223" s="53" cm="1">
        <f t="array" ref="T223">_xll.BDP(B223&amp;" Equity","OPT_STRIKE_PX")</f>
        <v>350</v>
      </c>
      <c r="U223" s="40">
        <f>T223/S223-1</f>
        <v>7.7420347852855009E-2</v>
      </c>
      <c r="V223" s="37" cm="1">
        <f t="array" ref="V223">_xll.BDP($B223&amp;" Equity","ivol_mid")</f>
        <v>49.1843</v>
      </c>
      <c r="W223" s="38" cm="1">
        <f t="array" ref="W223">_xll.BDP(B223&amp;" Equity","DELTA_MID_RT")</f>
        <v>0.48487547039985657</v>
      </c>
      <c r="X223" s="48">
        <f>Y223/'Master P&amp;L'!$AE$5</f>
        <v>3.5064411683396172E-4</v>
      </c>
      <c r="Y223" s="15">
        <f>IF(G223="Sell", S223*W223*-H223*O223/N223, S223*W223*H223*O223/N223)</f>
        <v>787558.98279696715</v>
      </c>
      <c r="Z223" s="15" cm="1">
        <f t="array" ref="Z223">_xll.BDP($B223&amp;" Equity","opt_theta")*H223*O223/N223</f>
        <v>-687.67499999999995</v>
      </c>
      <c r="AA223" s="19" cm="1">
        <f t="array" ref="AA223">_xll.BDP($B223&amp;" Equity","opt_theta")/I223</f>
        <v>-4.2979687499999997E-3</v>
      </c>
      <c r="AB223" s="36" t="str" cm="1">
        <f t="array" ref="AB223">_xll.BDP($C223&amp;" Equity","EXPECTED_REPORT_DT")</f>
        <v>06/03/2026</v>
      </c>
      <c r="AC223" s="15">
        <f>S223*H223*O223/N223</f>
        <v>1624250.0000000002</v>
      </c>
      <c r="AD223" s="48">
        <f>AC223/'Master P&amp;L'!$AE$5</f>
        <v>7.2316324136752089E-4</v>
      </c>
      <c r="AE223" t="s">
        <v>1876</v>
      </c>
      <c r="AK223" t="s">
        <v>1792</v>
      </c>
    </row>
    <row r="224" spans="1:37">
      <c r="A224" s="237"/>
      <c r="B224" s="59" t="s">
        <v>2104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143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26.1</v>
      </c>
      <c r="J224" s="19">
        <f>I224/S224</f>
        <v>8.0344774511312916E-2</v>
      </c>
      <c r="K224" s="36" cm="1">
        <f t="array" ref="K224">_xll.BDP($B224&amp;" Equity","bid")</f>
        <v>26.1</v>
      </c>
      <c r="L224" s="36" cm="1">
        <f t="array" ref="L224">_xll.BDP($B224&amp;" Equity","ask")</f>
        <v>26.35</v>
      </c>
      <c r="M224" s="40">
        <f>(L224/K224-1)</f>
        <v>9.5785440613027628E-3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-130500</v>
      </c>
      <c r="Q224" s="58">
        <f>P224/'Master P&amp;L'!$AD$5*10000</f>
        <v>-0.58102387562543611</v>
      </c>
      <c r="R224" s="37" cm="1">
        <f t="array" ref="R224">_xll.BDP($C224&amp;" Equity","EST_PE_NXT_YR")*(T224/S224)</f>
        <v>21.390974277487167</v>
      </c>
      <c r="S224" s="36" cm="1">
        <f t="array" ref="S224">_xll.BDP(C224&amp;" Equity","LAST_PRICE")</f>
        <v>324.85000000000002</v>
      </c>
      <c r="T224" s="53" cm="1">
        <f t="array" ref="T224">_xll.BDP(B224&amp;" Equity","OPT_STRIKE_PX")</f>
        <v>300</v>
      </c>
      <c r="U224" s="40">
        <f>T224/S224-1</f>
        <v>-7.6496844697552802E-2</v>
      </c>
      <c r="V224" s="37" cm="1">
        <f t="array" ref="V224">_xll.BDP(B224&amp;" Equity","ivol_mid")</f>
        <v>50.123840000000001</v>
      </c>
      <c r="W224" s="38" cm="1">
        <f t="array" ref="W224">_xll.BDP(B224&amp;" Equity","DELTA_MID_RT")</f>
        <v>-0.32817983627319336</v>
      </c>
      <c r="X224" s="48">
        <f>Y224/'Master P&amp;L'!$AE$5</f>
        <v>2.3732759415078479E-4</v>
      </c>
      <c r="Y224" s="15">
        <f>IF(G224="Sell", S224*W224*-H224*O224/N224, S224*W224*H224*O224/N224)</f>
        <v>533046.09906673431</v>
      </c>
      <c r="Z224" s="15" cm="1">
        <f t="array" ref="Z224">_xll.BDP($B224&amp;" Equity","opt_theta")*H224*O224/N224</f>
        <v>-633.3950000000001</v>
      </c>
      <c r="AA224" s="19" cm="1">
        <f t="array" ref="AA224">_xll.BDP($B224&amp;" Equity","opt_theta")/I224</f>
        <v>-4.8536015325670503E-3</v>
      </c>
      <c r="AB224" s="36" t="str" cm="1">
        <f t="array" ref="AB224">_xll.BDP($C224&amp;" Equity","EXPECTED_REPORT_DT")</f>
        <v>06/03/2026</v>
      </c>
      <c r="AC224" s="15">
        <f>S224*H224*O224/N224</f>
        <v>1624250.0000000002</v>
      </c>
      <c r="AD224" s="19">
        <f>AC224/'Master P&amp;L'!$AE$5</f>
        <v>7.2316324136752089E-4</v>
      </c>
      <c r="AE224" t="s">
        <v>1877</v>
      </c>
      <c r="AK224" t="s">
        <v>1793</v>
      </c>
    </row>
    <row r="225" spans="1:37">
      <c r="A225" s="237"/>
      <c r="B225" s="59" t="s">
        <v>2106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143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15.75</v>
      </c>
      <c r="J225" s="19">
        <f>I225/S225</f>
        <v>4.8483915653378479E-2</v>
      </c>
      <c r="K225" s="36" cm="1">
        <f t="array" ref="K225">_xll.BDP($B225&amp;" Equity","bid")</f>
        <v>15.55</v>
      </c>
      <c r="L225" s="36" cm="1">
        <f t="array" ref="L225">_xll.BDP($B225&amp;" Equity","ask")</f>
        <v>15.75</v>
      </c>
      <c r="M225" s="40">
        <f>(L225/K225-1)</f>
        <v>1.2861736334405016E-2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78750</v>
      </c>
      <c r="Q225" s="58">
        <f>P225/'Master P&amp;L'!$AD$5*10000</f>
        <v>0.35061785598086664</v>
      </c>
      <c r="R225" s="37" cm="1">
        <f t="array" ref="R225">_xll.BDP($C225&amp;" Equity","EST_PE_NXT_YR")*(T225/S225)</f>
        <v>19.251876849738451</v>
      </c>
      <c r="S225" s="36" cm="1">
        <f t="array" ref="S225">_xll.BDP(C225&amp;" Equity","LAST_PRICE")</f>
        <v>324.85000000000002</v>
      </c>
      <c r="T225" s="53" cm="1">
        <f t="array" ref="T225">_xll.BDP(B225&amp;" Equity","OPT_STRIKE_PX")</f>
        <v>270</v>
      </c>
      <c r="U225" s="40">
        <f>T225/S225-1</f>
        <v>-0.16884716022779755</v>
      </c>
      <c r="V225" s="37" cm="1">
        <f t="array" ref="V225">_xll.BDP(B225&amp;" Equity","ivol_mid")</f>
        <v>51.432490000000001</v>
      </c>
      <c r="W225" s="38" cm="1">
        <f t="array" ref="W225">_xll.BDP(B225&amp;" Equity","DELTA_MID_RT")</f>
        <v>-0.22029128670692444</v>
      </c>
      <c r="X225" s="48">
        <f>Y225/'Master P&amp;L'!$AE$5</f>
        <v>-1.5930656094000133E-4</v>
      </c>
      <c r="Y225" s="15">
        <f>IF(G225="Sell", S225*W225*-H225*O225/N225, S225*W225*H225*O225/N225)</f>
        <v>-357808.12243372202</v>
      </c>
      <c r="Z225" s="15" cm="1">
        <f t="array" ref="Z225">_xll.BDP($B225&amp;" Equity","opt_theta")*H225*O225/N225</f>
        <v>-531.38499999999999</v>
      </c>
      <c r="AA225" s="19" cm="1">
        <f t="array" ref="AA225">_xll.BDP($B225&amp;" Equity","opt_theta")/I225</f>
        <v>-6.7477460317460318E-3</v>
      </c>
      <c r="AB225" s="36" t="str" cm="1">
        <f t="array" ref="AB225">_xll.BDP($C225&amp;" Equity","EXPECTED_REPORT_DT")</f>
        <v>06/03/2026</v>
      </c>
      <c r="AC225" s="15">
        <f>S225*H225*O225/N225</f>
        <v>1624250.0000000002</v>
      </c>
      <c r="AD225" s="19">
        <f>AC225/'Master P&amp;L'!$AE$5</f>
        <v>7.2316324136752089E-4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6.0999999999999979</v>
      </c>
      <c r="J226" s="100" t="s">
        <v>249</v>
      </c>
      <c r="K226" s="101">
        <f>K225/L223</f>
        <v>0.48593750000000002</v>
      </c>
      <c r="P226" s="130">
        <f>P223+P225+P222+P224</f>
        <v>30500</v>
      </c>
      <c r="Q226" s="58">
        <f>P226/'Master P&amp;L'!$AD$5*10000</f>
        <v>0.13579485215766898</v>
      </c>
      <c r="S226" s="100" t="s">
        <v>251</v>
      </c>
      <c r="T226" s="102"/>
      <c r="W226" s="100" t="s">
        <v>252</v>
      </c>
      <c r="X226" s="122">
        <f>X223+X225+X222+X224</f>
        <v>2.1909249428317095E-4</v>
      </c>
      <c r="AC226" s="100" t="s">
        <v>229</v>
      </c>
      <c r="AD226" s="122">
        <f>AD223</f>
        <v>7.2316324136752089E-4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5.6499999999999986</v>
      </c>
      <c r="P227" s="100"/>
      <c r="Q227" s="108"/>
      <c r="S227" s="100"/>
      <c r="T227" s="102"/>
      <c r="W227" s="100"/>
      <c r="X227" s="122"/>
      <c r="Y227" s="13">
        <f>(Y222+Y223+Y224)/S223</f>
        <v>2616.276890039444</v>
      </c>
      <c r="AC227" s="100"/>
      <c r="AD227" s="104"/>
    </row>
    <row r="228" spans="1:37">
      <c r="D228" s="64"/>
      <c r="H228" s="96"/>
      <c r="I228" s="64">
        <f>I223-I222</f>
        <v>16.45</v>
      </c>
      <c r="K228" s="64">
        <f>(I222/25*A222)+(I223/25*A223)-(I225/25*A225)</f>
        <v>9.4379999999999988</v>
      </c>
      <c r="N228" s="36"/>
      <c r="O228" s="162"/>
      <c r="P228" s="15"/>
      <c r="Q228" s="58"/>
    </row>
    <row r="229" spans="1:37">
      <c r="I229" s="64">
        <f>I224-I225</f>
        <v>10.350000000000001</v>
      </c>
      <c r="K229">
        <v>11.59</v>
      </c>
      <c r="M229" s="267">
        <f>(I226-K227)*500*100</f>
        <v>22499.999999999967</v>
      </c>
      <c r="P229">
        <v>-7500</v>
      </c>
      <c r="S229">
        <v>521.79999999999995</v>
      </c>
    </row>
    <row r="230" spans="1:37">
      <c r="I230" s="40">
        <f>I229/I228</f>
        <v>0.629179331306991</v>
      </c>
    </row>
    <row r="231" spans="1:37">
      <c r="I231" s="64"/>
    </row>
    <row r="232" spans="1:37">
      <c r="I232" s="64"/>
    </row>
    <row r="233" spans="1:37">
      <c r="A233" s="457">
        <f>P233/Y233</f>
        <v>0.18801972961583879</v>
      </c>
      <c r="B233" s="59" t="s">
        <v>2319</v>
      </c>
      <c r="C233" t="str" cm="1">
        <f t="array" ref="C233">_xll.BDP(B233&amp;" Equity","OPT_UNDL_TICKER")</f>
        <v>META US</v>
      </c>
      <c r="D233" s="43">
        <f>J233+U233</f>
        <v>0.11666369206972449</v>
      </c>
      <c r="E233" cm="1">
        <f t="array" ref="E233">_xll.BDP($B233&amp;" Index","opt_days_expire")</f>
        <v>172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70.8</v>
      </c>
      <c r="J233" s="19">
        <f>I233/S233</f>
        <v>0.10530073175084775</v>
      </c>
      <c r="K233" s="36" cm="1">
        <f t="array" ref="K233">_xll.BDP($B233&amp;" Equity","bid")</f>
        <v>70.45</v>
      </c>
      <c r="L233" s="36" cm="1">
        <f t="array" ref="L233">_xll.BDP($B233&amp;" Equity","ask")</f>
        <v>70.8</v>
      </c>
      <c r="M233" s="40">
        <f>(L233/K233-1)</f>
        <v>4.968062455642297E-3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283200</v>
      </c>
      <c r="Q233" s="58">
        <f>P233/'Master P&amp;L'!$AD$5*10000</f>
        <v>1.2608885944607167</v>
      </c>
      <c r="R233" s="37" cm="1">
        <f t="array" ref="R233">_xll.BDP($C233&amp;" Equity","EST_PE_NXT_YR")*(T233/S233)</f>
        <v>20.355902907997628</v>
      </c>
      <c r="S233" s="36" cm="1">
        <f t="array" ref="S233">_xll.BDP(C233&amp;" Equity","LAST_PRICE")</f>
        <v>672.36</v>
      </c>
      <c r="T233" s="53" cm="1">
        <f t="array" ref="T233">_xll.BDP(B233&amp;" Equity","OPT_STRIKE_PX")</f>
        <v>680</v>
      </c>
      <c r="U233" s="40">
        <f>T233/S233-1</f>
        <v>1.1362960318876736E-2</v>
      </c>
      <c r="V233" s="37" cm="1">
        <f t="array" ref="V233">_xll.BDP($B233&amp;" Equity","ivol_mid")</f>
        <v>37.516779999999997</v>
      </c>
      <c r="W233" s="38" cm="1">
        <f t="array" ref="W233">_xll.BDP(B233&amp;" Equity","DELTA_MID_RT")</f>
        <v>0.56005150079727173</v>
      </c>
      <c r="X233" s="48">
        <f>Y233/'Master P&amp;L'!$AE$5</f>
        <v>6.7061504504711258E-4</v>
      </c>
      <c r="Y233" s="15">
        <f>IF(G233="Sell", S233*W233*-H233*O233/N233, S233*W233*H233*O233/N233)</f>
        <v>1506224.9083042145</v>
      </c>
      <c r="Z233" s="15" cm="1">
        <f t="array" ref="Z233">_xll.BDP($B233&amp;" Equity","opt_theta")*H233*O233/N233</f>
        <v>-766.70399999999995</v>
      </c>
      <c r="AA233" s="19" cm="1">
        <f t="array" ref="AA233">_xll.BDP($B233&amp;" Equity","opt_theta")/I233</f>
        <v>-2.7072881355932206E-3</v>
      </c>
      <c r="AB233" s="36" t="str" cm="1">
        <f t="array" ref="AB233">_xll.BDP($C233&amp;" Equity","EXPECTED_REPORT_DT")</f>
        <v>28/01/2026</v>
      </c>
      <c r="AC233" s="15">
        <f>S233*H233*O233/N233</f>
        <v>2689440</v>
      </c>
      <c r="AD233" s="48">
        <f>AC233/'Master P&amp;L'!$AE$5</f>
        <v>1.1974167448751518E-3</v>
      </c>
      <c r="AE233" t="str">
        <f>B233&amp;" -&gt; Buy to open "&amp;H233&amp;"x"</f>
        <v>META US 07/17/26 C680 -&gt; Buy to open 40x</v>
      </c>
    </row>
    <row r="234" spans="1:37">
      <c r="A234" s="457">
        <f t="shared" ref="A234:A235" si="0">P234/Y234</f>
        <v>0.16375415345033134</v>
      </c>
      <c r="B234" s="59" t="s">
        <v>2307</v>
      </c>
      <c r="C234" t="str" cm="1">
        <f t="array" ref="C234">_xll.BDP(B234&amp;" Equity","OPT_UNDL_TICKER")</f>
        <v>AMZN US</v>
      </c>
      <c r="D234" s="43">
        <f>J234+U234</f>
        <v>0.12972904957637793</v>
      </c>
      <c r="E234" cm="1">
        <f t="array" ref="E234">_xll.BDP($B234&amp;" Index","opt_days_expire")</f>
        <v>172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19.350000000000001</v>
      </c>
      <c r="J234" s="19">
        <f>I234/S234</f>
        <v>8.1159298716550629E-2</v>
      </c>
      <c r="K234" s="36" cm="1">
        <f t="array" ref="K234">_xll.BDP($B234&amp;" Equity","bid")</f>
        <v>19.100000000000001</v>
      </c>
      <c r="L234" s="36" cm="1">
        <f t="array" ref="L234">_xll.BDP($B234&amp;" Equity","ask")</f>
        <v>19.350000000000001</v>
      </c>
      <c r="M234" s="40">
        <f>(L234/K234-1)</f>
        <v>1.308900523560208E-2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203175.00000000003</v>
      </c>
      <c r="Q234" s="58">
        <f>P234/'Master P&amp;L'!$AD$5*10000</f>
        <v>0.90459406843063606</v>
      </c>
      <c r="R234" s="37" cm="1">
        <f t="array" ref="R234">_xll.BDP($C234&amp;" Equity","EST_PE_NXT_YR")*(T234/S234)</f>
        <v>26.963302561960703</v>
      </c>
      <c r="S234" s="36" cm="1">
        <f t="array" ref="S234">_xll.BDP(C234&amp;" Equity","LAST_PRICE")</f>
        <v>238.42</v>
      </c>
      <c r="T234" s="53" cm="1">
        <f t="array" ref="T234">_xll.BDP(B234&amp;" Equity","OPT_STRIKE_PX")</f>
        <v>250</v>
      </c>
      <c r="U234" s="40">
        <f>T234/S234-1</f>
        <v>4.8569750859827288E-2</v>
      </c>
      <c r="V234" s="37" cm="1">
        <f t="array" ref="V234">_xll.BDP(B234&amp;" Equity","ivol_mid")</f>
        <v>34.349139999999998</v>
      </c>
      <c r="W234" s="38" cm="1">
        <f t="array" ref="W234">_xll.BDP(B234&amp;" Equity","DELTA_MID_RT")</f>
        <v>0.49561673402786255</v>
      </c>
      <c r="X234" s="48">
        <f>Y234/'Master P&amp;L'!$AE$5</f>
        <v>5.5240984693863697E-4</v>
      </c>
      <c r="Y234" s="15">
        <f>IF(G234="Sell", S234*W234*-H234*O234/N234, S234*W234*H234*O234/N234)</f>
        <v>1240731.8881326912</v>
      </c>
      <c r="Z234" s="15" cm="1">
        <f t="array" ref="Z234">_xll.BDP($B234&amp;" Equity","opt_theta")*H234*O234/N234</f>
        <v>-667.18050000000005</v>
      </c>
      <c r="AA234" s="19" cm="1">
        <f t="array" ref="AA234">_xll.BDP($B234&amp;" Equity","opt_theta")/I234</f>
        <v>-3.2837726098191213E-3</v>
      </c>
      <c r="AB234" s="36" t="str" cm="1">
        <f t="array" ref="AB234">_xll.BDP($C234&amp;" Equity","EXPECTED_REPORT_DT")</f>
        <v>05/02/2026</v>
      </c>
      <c r="AC234" s="15">
        <f>S234*H234*O234/N234</f>
        <v>2503410</v>
      </c>
      <c r="AD234" s="19">
        <f>AC234/'Master P&amp;L'!$AE$5</f>
        <v>1.114590789639443E-3</v>
      </c>
      <c r="AE234" t="str">
        <f>B234  &amp; " -&gt; Sell to open " &amp;   H234 &amp;"x"</f>
        <v>AMZN US 07/17/26 C250 -&gt; Sell to open 105x</v>
      </c>
    </row>
    <row r="235" spans="1:37">
      <c r="A235" s="457">
        <f t="shared" si="0"/>
        <v>0.14792480662718852</v>
      </c>
      <c r="B235" s="59" t="s">
        <v>2310</v>
      </c>
      <c r="C235" t="str" cm="1">
        <f t="array" ref="C235">_xll.BDP(B235&amp;" Equity","OPT_UNDL_TICKER")</f>
        <v>MSFT US</v>
      </c>
      <c r="D235" s="43">
        <f>J235+U235</f>
        <v>8.3822403674406756E-2</v>
      </c>
      <c r="E235" cm="1">
        <f t="array" ref="E235">_xll.BDP($B235&amp;" Index","opt_days_expire")</f>
        <v>172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39.700000000000003</v>
      </c>
      <c r="J235" s="19">
        <f t="shared" ref="J235" si="2">I235/S235</f>
        <v>8.4417793654843934E-2</v>
      </c>
      <c r="K235" s="36" cm="1">
        <f t="array" ref="K235">_xll.BDP($B235&amp;" Equity","bid")</f>
        <v>39.5</v>
      </c>
      <c r="L235" s="36" cm="1">
        <f t="array" ref="L235">_xll.BDP($B235&amp;" Equity","ask")</f>
        <v>39.700000000000003</v>
      </c>
      <c r="M235" s="40">
        <f t="shared" ref="M235" si="3">(L235/K235-1)</f>
        <v>5.0632911392405333E-3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218350</v>
      </c>
      <c r="Q235" s="58">
        <f>P235/'Master P&amp;L'!$AD$5*10000</f>
        <v>0.97215757274186954</v>
      </c>
      <c r="R235" s="37" cm="1">
        <f t="array" ref="R235">_xll.BDP($C235&amp;" Equity","EST_PE_NXT_YR")*(T235/S235)</f>
        <v>25.132282196577588</v>
      </c>
      <c r="S235" s="36" cm="1">
        <f t="array" ref="S235">_xll.BDP(C235&amp;" Equity","LAST_PRICE")</f>
        <v>470.28</v>
      </c>
      <c r="T235" s="53" cm="1">
        <f t="array" ref="T235">_xll.BDP(B235&amp;" Equity","OPT_STRIKE_PX")</f>
        <v>470</v>
      </c>
      <c r="U235" s="40">
        <f t="shared" ref="U235" si="5">T235/S235-1</f>
        <v>-5.9538998043717761E-4</v>
      </c>
      <c r="V235" s="37" cm="1">
        <f t="array" ref="V235">_xll.BDP(B235&amp;" Equity","ivol_mid")</f>
        <v>28.075990000000001</v>
      </c>
      <c r="W235" s="38" cm="1">
        <f t="array" ref="W235">_xll.BDP(B235&amp;" Equity","DELTA_MID_RT")</f>
        <v>0.57068043947219849</v>
      </c>
      <c r="X235" s="48">
        <f>Y235/'Master P&amp;L'!$AE$5</f>
        <v>6.5719712258402734E-4</v>
      </c>
      <c r="Y235" s="15">
        <f t="shared" ref="Y235" si="6">IF(G235="Sell", S235*W235*-H235*O235/N235, S235*W235*H235*O235/N235)</f>
        <v>1476087.7839124203</v>
      </c>
      <c r="Z235" s="15" cm="1">
        <f t="array" ref="Z235">_xll.BDP($B235&amp;" Equity","opt_theta")*H235*O235/N235</f>
        <v>-556.72649999999999</v>
      </c>
      <c r="AA235" s="19" cm="1">
        <f t="array" ref="AA235">_xll.BDP($B235&amp;" Equity","opt_theta")/I235</f>
        <v>-2.5496977329974809E-3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2586540</v>
      </c>
      <c r="AD235" s="19">
        <f>AC235/'Master P&amp;L'!$AE$5</f>
        <v>1.1516026783603185E-3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57">
        <f t="shared" ref="A236" si="9">P236/Y236</f>
        <v>0.16705318210366069</v>
      </c>
      <c r="B236" s="59" t="s">
        <v>2312</v>
      </c>
      <c r="C236" t="str" cm="1">
        <f t="array" ref="C236">_xll.BDP(B236&amp;" Equity","OPT_UNDL_TICKER")</f>
        <v>GOOG US</v>
      </c>
      <c r="D236" s="43">
        <f>J236+U236</f>
        <v>0.13222818429809052</v>
      </c>
      <c r="E236" cm="1">
        <f t="array" ref="E236">_xll.BDP($B236&amp;" Index","opt_days_expire")</f>
        <v>172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27.7</v>
      </c>
      <c r="J236" s="19">
        <f t="shared" ref="J236" si="11">I236/S236</f>
        <v>8.3036062232081306E-2</v>
      </c>
      <c r="K236" s="36" cm="1">
        <f t="array" ref="K236">_xll.BDP($B236&amp;" Equity","bid")</f>
        <v>27.5</v>
      </c>
      <c r="L236" s="36" cm="1">
        <f t="array" ref="L236">_xll.BDP($B236&amp;" Equity","ask")</f>
        <v>27.7</v>
      </c>
      <c r="M236" s="40">
        <f t="shared" ref="M236" si="12">(L236/K236-1)</f>
        <v>7.2727272727273196E-3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193900</v>
      </c>
      <c r="Q236" s="58">
        <f>P236/'Master P&amp;L'!$AD$5*10000</f>
        <v>0.86329907650400051</v>
      </c>
      <c r="R236" s="37" cm="1">
        <f t="array" ref="R236">_xll.BDP($C236&amp;" Equity","EST_PE_NXT_YR")*(T236/S236)</f>
        <v>29.686127213816238</v>
      </c>
      <c r="S236" s="36" cm="1">
        <f t="array" ref="S236">_xll.BDP(C236&amp;" Equity","LAST_PRICE")</f>
        <v>333.59</v>
      </c>
      <c r="T236" s="53" cm="1">
        <f t="array" ref="T236">_xll.BDP(B236&amp;" Equity","OPT_STRIKE_PX")</f>
        <v>350</v>
      </c>
      <c r="U236" s="40">
        <f t="shared" ref="U236" si="14">T236/S236-1</f>
        <v>4.9192122066009203E-2</v>
      </c>
      <c r="V236" s="37" cm="1">
        <f t="array" ref="V236">_xll.BDP(B236&amp;" Equity","ivol_mid")</f>
        <v>35.209829999999997</v>
      </c>
      <c r="W236" s="38" cm="1">
        <f t="array" ref="W236">_xll.BDP(B236&amp;" Equity","DELTA_MID_RT")</f>
        <v>0.49706363677978516</v>
      </c>
      <c r="X236" s="48">
        <f>Y236/'Master P&amp;L'!$AE$5</f>
        <v>5.1678098293769814E-4</v>
      </c>
      <c r="Y236" s="15">
        <f t="shared" ref="Y236" si="15">IF(G236="Sell", S236*W236*-H236*O236/N236, S236*W236*H236*O236/N236)</f>
        <v>1160708.2101535797</v>
      </c>
      <c r="Z236" s="15" cm="1">
        <f t="array" ref="Z236">_xll.BDP($B236&amp;" Equity","opt_theta")*H236*O236/N236</f>
        <v>-636.82499999999993</v>
      </c>
      <c r="AA236" s="19" cm="1">
        <f t="array" ref="AA236">_xll.BDP($B236&amp;" Equity","opt_theta")/I236</f>
        <v>-3.2842960288808664E-3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2335130</v>
      </c>
      <c r="AD236" s="19">
        <f>AC236/'Master P&amp;L'!$AE$5</f>
        <v>1.0396676495702871E-3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57">
        <f t="shared" ref="A237" si="18">P237/Y237</f>
        <v>0.20604947993709177</v>
      </c>
      <c r="B237" s="59" t="s">
        <v>2318</v>
      </c>
      <c r="C237" t="str" cm="1">
        <f t="array" ref="C237">_xll.BDP(B237&amp;" Equity","OPT_UNDL_TICKER")</f>
        <v>NVDA US</v>
      </c>
      <c r="D237" s="43">
        <f t="shared" ref="D237" si="19">J237+U237</f>
        <v>0.15353676194562138</v>
      </c>
      <c r="E237" cm="1">
        <f t="array" ref="E237">_xll.BDP($B237&amp;" Index","opt_days_expire")</f>
        <v>172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20.100000000000001</v>
      </c>
      <c r="J237" s="19">
        <f t="shared" ref="J237" si="21">I237/S237</f>
        <v>0.10779213814554621</v>
      </c>
      <c r="K237" s="36" cm="1">
        <f t="array" ref="K237">_xll.BDP($B237&amp;" Equity","bid")</f>
        <v>20</v>
      </c>
      <c r="L237" s="36" cm="1">
        <f t="array" ref="L237">_xll.BDP($B237&amp;" Equity","ask")</f>
        <v>20.100000000000001</v>
      </c>
      <c r="M237" s="40">
        <f t="shared" ref="M237" si="22">(L237/K237-1)</f>
        <v>5.0000000000001155E-3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271350</v>
      </c>
      <c r="Q237" s="58">
        <f>P237/'Master P&amp;L'!$AD$5*10000</f>
        <v>1.2081289551797862</v>
      </c>
      <c r="R237" s="37" cm="1">
        <f t="array" ref="R237">_xll.BDP($C237&amp;" Equity","EST_PE_NXT_YR")*(T237/S237)</f>
        <v>25.200498352823764</v>
      </c>
      <c r="S237" s="36" cm="1">
        <f t="array" ref="S237">_xll.BDP(C237&amp;" Equity","LAST_PRICE")</f>
        <v>186.47</v>
      </c>
      <c r="T237" s="53" cm="1">
        <f t="array" ref="T237">_xll.BDP(B237&amp;" Equity","OPT_STRIKE_PX")</f>
        <v>195</v>
      </c>
      <c r="U237" s="40">
        <f t="shared" ref="U237" si="24">T237/S237-1</f>
        <v>4.5744623800075157E-2</v>
      </c>
      <c r="V237" s="37" cm="1">
        <f t="array" ref="V237">_xll.BDP(B237&amp;" Equity","ivol_mid")</f>
        <v>43.792380000000001</v>
      </c>
      <c r="W237" s="38" cm="1">
        <f t="array" ref="W237">_xll.BDP(B237&amp;" Equity","DELTA_MID_RT")</f>
        <v>0.52313715219497681</v>
      </c>
      <c r="X237" s="48">
        <f>Y237/'Master P&amp;L'!$AE$5</f>
        <v>5.8632953383266765E-4</v>
      </c>
      <c r="Y237" s="15">
        <f t="shared" ref="Y237" si="25">IF(G237="Sell", S237*W237*-H237*O237/N237, S237*W237*H237*O237/N237)</f>
        <v>1316916.6943922639</v>
      </c>
      <c r="Z237" s="15" cm="1">
        <f t="array" ref="Z237">_xll.BDP($B237&amp;" Equity","opt_theta")*H237*O237/N237</f>
        <v>-847.00350000000014</v>
      </c>
      <c r="AA237" s="19" cm="1">
        <f t="array" ref="AA237">_xll.BDP($B237&amp;" Equity","opt_theta")/I237</f>
        <v>-3.121442786069652E-3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2517345</v>
      </c>
      <c r="AD237" s="19">
        <f>AC237/'Master P&amp;L'!$AE$5</f>
        <v>1.1207950560814662E-3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-51.449999999999996</v>
      </c>
      <c r="J239" s="19"/>
      <c r="K239" s="109">
        <f>AVERAGE(K233:L233)-AVERAGE(K234:L234)</f>
        <v>51.4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21" sqref="E21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IF(B5="","",IF(LEN(B5)&gt;9,SUMIFS(Options!$H$3:$H$24,Options!$B$3:$B$24,Check!B5),SUMIFS('Master P&amp;L'!$H$11:$H$85,'Master P&amp;L'!$B$11:$B$85,Check!B5)))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2273</v>
      </c>
      <c r="P5" s="217">
        <f>IF(O5="","",IF(OR(LEFT(O5,4)="Cash",LEFT(O5,4)="Prov"),0,SUMIFS(Input_APM!N:N,Input_APM!L:L,Check!O5)))</f>
        <v>-28</v>
      </c>
      <c r="Q5" s="22">
        <f>IF(O5="","",IF(LEN(O5)&gt;9,SUMIFS(Options!$H$3:$H$24,Options!$B$3:$B$24,Check!O5),SUMIFS('Master P&amp;L'!$H$11:$H$85,'Master P&amp;L'!$B$11:$B$85,Check!O5)))</f>
        <v>0</v>
      </c>
      <c r="R5" s="217">
        <f>IF(O5="","",P5-Q5)</f>
        <v>-28</v>
      </c>
      <c r="S5" s="361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IF(B6="","",IF(LEN(B6)&gt;9,SUMIFS(Options!$H$3:$H$24,Options!$B$3:$B$24,Check!B6),SUMIFS('Master P&amp;L'!$H$11:$H$85,'Master P&amp;L'!$B$11:$B$85,Check!B6)))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2250</v>
      </c>
      <c r="P6" s="217">
        <f>IF(O6="","",IF(OR(LEFT(O6,4)="Cash",LEFT(O6,4)="Prov"),0,SUMIFS(Input_APM!N:N,Input_APM!L:L,Check!O6)))</f>
        <v>-23</v>
      </c>
      <c r="Q6" s="22">
        <f>IF(O6="","",IF(LEN(O6)&gt;9,SUMIFS(Options!$H$3:$H$24,Options!$B$3:$B$24,Check!O6),SUMIFS('Master P&amp;L'!$H$11:$H$85,'Master P&amp;L'!$B$11:$B$85,Check!O6)))</f>
        <v>0</v>
      </c>
      <c r="R6" s="217">
        <f t="shared" ref="R6:R69" si="1">IF(O6="","",P6-Q6)</f>
        <v>-23</v>
      </c>
      <c r="S6" s="361" t="str">
        <f t="shared" ref="S6:S69" si="2">IF(O6="","",IF((P6+Q6)=0,"Ok",IF(OR(P6=0,Q6=0),"Erro",P6/Q6)))</f>
        <v>Erro</v>
      </c>
      <c r="V6" s="13"/>
    </row>
    <row r="7" spans="2:22">
      <c r="B7" t="s">
        <v>2141</v>
      </c>
      <c r="C7" s="233">
        <f>IF(B7="","",IF(LEN(B7)&gt;9,SUMIFS(Options!$H$3:$H$24,Options!$B$3:$B$24,Check!B7),SUMIFS('Master P&amp;L'!$H$11:$H$85,'Master P&amp;L'!$B$11:$B$85,Check!B7)))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2251</v>
      </c>
      <c r="P7" s="217">
        <f>IF(O7="","",IF(OR(LEFT(O7,4)="Cash",LEFT(O7,4)="Prov"),0,SUMIFS(Input_APM!N:N,Input_APM!L:L,Check!O7)))</f>
        <v>117</v>
      </c>
      <c r="Q7" s="22">
        <f>IF(O7="","",IF(LEN(O7)&gt;9,SUMIFS(Options!$H$3:$H$24,Options!$B$3:$B$24,Check!O7),SUMIFS('Master P&amp;L'!$H$11:$H$85,'Master P&amp;L'!$B$11:$B$85,Check!O7)))</f>
        <v>0</v>
      </c>
      <c r="R7" s="217">
        <f t="shared" si="1"/>
        <v>117</v>
      </c>
      <c r="S7" s="361" t="str">
        <f t="shared" si="2"/>
        <v>Erro</v>
      </c>
      <c r="V7" s="13"/>
    </row>
    <row r="8" spans="2:22">
      <c r="B8" t="s">
        <v>38</v>
      </c>
      <c r="C8" s="233">
        <f>IF(B8="","",IF(LEN(B8)&gt;9,SUMIFS(Options!$H$3:$H$24,Options!$B$3:$B$24,Check!B8),SUMIFS('Master P&amp;L'!$H$11:$H$85,'Master P&amp;L'!$B$11:$B$85,Check!B8)))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448</v>
      </c>
      <c r="P8" s="217">
        <f>IF(O8="","",IF(OR(LEFT(O8,4)="Cash",LEFT(O8,4)="Prov"),0,SUMIFS(Input_APM!N:N,Input_APM!L:L,Check!O8)))</f>
        <v>4223</v>
      </c>
      <c r="Q8" s="22">
        <f>IF(O8="","",IF(LEN(O8)&gt;9,SUMIFS(Options!$H$3:$H$24,Options!$B$3:$B$24,Check!O8),SUMIFS('Master P&amp;L'!$H$11:$H$85,'Master P&amp;L'!$B$11:$B$85,Check!O8)))</f>
        <v>4500</v>
      </c>
      <c r="R8" s="217">
        <f t="shared" si="1"/>
        <v>-277</v>
      </c>
      <c r="S8" s="361">
        <f t="shared" si="2"/>
        <v>0.93844444444444441</v>
      </c>
      <c r="V8" s="13"/>
    </row>
    <row r="9" spans="2:22">
      <c r="B9" t="s">
        <v>3</v>
      </c>
      <c r="C9" s="233">
        <f>IF(B9="","",IF(LEN(B9)&gt;9,SUMIFS(Options!$H$3:$H$24,Options!$B$3:$B$24,Check!B9),SUMIFS('Master P&amp;L'!$H$11:$H$85,'Master P&amp;L'!$B$11:$B$85,Check!B9)))</f>
        <v>-13000</v>
      </c>
      <c r="D9" s="233">
        <f>IF(B9="","",SUMIFS(Input_APM!N:N,Input_APM!L:L,Check!B9,Input_APM!M:M,Check!$F$1))</f>
        <v>-12201</v>
      </c>
      <c r="E9" s="219">
        <f>IF(B9="","",C9-M9)</f>
        <v>0</v>
      </c>
      <c r="F9" s="233">
        <f>IF(B9="","",SUMIFS(Input_APM!N:N,Input_APM!M:M,Check!$F$1,Input_APM!L:L,Check!B9))</f>
        <v>-12201</v>
      </c>
      <c r="G9" s="233">
        <f>IF(B9="","",SUMIFS(Input_APM!N:N,Input_APM!M:M,Check!$G$1,Input_APM!L:L,Check!B9))</f>
        <v>0</v>
      </c>
      <c r="H9" s="217">
        <f t="shared" si="0"/>
        <v>-12201</v>
      </c>
      <c r="I9" s="217">
        <f>SUMIFS(Input_APM!N:N,Input_APM!L:L,Check!B9)</f>
        <v>-12201</v>
      </c>
      <c r="J9" s="219">
        <f t="shared" si="3"/>
        <v>0</v>
      </c>
      <c r="K9" s="22">
        <f>IF(B9="","",SUMIFS('Input_APM (Zenith)'!N:N,'Input_APM (Zenith)'!L:L,Check!B9,'Input_APM (Zenith)'!M:M,Check!$F$1))</f>
        <v>-799</v>
      </c>
      <c r="L9" s="22">
        <f>IF(B9="","",SUMIFS('Input_APM (Zenith)'!N:N,'Input_APM (Zenith)'!L:L,Check!B9,'Input_APM (Zenith)'!M:M,Check!$G$1))</f>
        <v>0</v>
      </c>
      <c r="M9" s="240">
        <f t="shared" si="4"/>
        <v>-13000</v>
      </c>
      <c r="O9" t="s">
        <v>399</v>
      </c>
      <c r="P9" s="217">
        <f>IF(O9="","",IF(OR(LEFT(O9,4)="Cash",LEFT(O9,4)="Prov"),0,SUMIFS(Input_APM!N:N,Input_APM!L:L,Check!O9)))</f>
        <v>20751</v>
      </c>
      <c r="Q9" s="22">
        <f>IF(O9="","",IF(LEN(O9)&gt;9,SUMIFS(Options!$H$3:$H$24,Options!$B$3:$B$24,Check!O9),SUMIFS('Master P&amp;L'!$H$11:$H$85,'Master P&amp;L'!$B$11:$B$85,Check!O9)))</f>
        <v>22135</v>
      </c>
      <c r="R9" s="217">
        <f t="shared" si="1"/>
        <v>-1384</v>
      </c>
      <c r="S9" s="361">
        <f t="shared" si="2"/>
        <v>0.93747458775694603</v>
      </c>
      <c r="V9" s="13"/>
    </row>
    <row r="10" spans="2:22">
      <c r="B10" t="s">
        <v>131</v>
      </c>
      <c r="C10" s="233">
        <f>IF(B10="","",IF(LEN(B10)&gt;9,SUMIFS(Options!$H$3:$H$24,Options!$B$3:$B$24,Check!B10),SUMIFS('Master P&amp;L'!$H$11:$H$85,'Master P&amp;L'!$B$11:$B$85,Check!B10)))</f>
        <v>11500</v>
      </c>
      <c r="D10" s="233">
        <f>IF(B10="","",SUMIFS(Input_APM!N:N,Input_APM!L:L,Check!B10,Input_APM!M:M,Check!$F$1))</f>
        <v>0</v>
      </c>
      <c r="E10" s="217">
        <f t="shared" ref="E10:E65" si="5">IF(B10="","",C10-M10)</f>
        <v>11500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2308</v>
      </c>
      <c r="P10" s="217">
        <f>IF(O10="","",IF(OR(LEFT(O10,4)="Cash",LEFT(O10,4)="Prov"),0,SUMIFS(Input_APM!N:N,Input_APM!L:L,Check!O10)))</f>
        <v>46</v>
      </c>
      <c r="Q10" s="22">
        <f>IF(O10="","",IF(LEN(O10)&gt;9,SUMIFS(Options!$H$3:$H$24,Options!$B$3:$B$24,Check!O10),SUMIFS('Master P&amp;L'!$H$11:$H$85,'Master P&amp;L'!$B$11:$B$85,Check!O10)))</f>
        <v>50</v>
      </c>
      <c r="R10" s="217">
        <f t="shared" si="1"/>
        <v>-4</v>
      </c>
      <c r="S10" s="361">
        <f t="shared" si="2"/>
        <v>0.92</v>
      </c>
      <c r="V10" s="13"/>
    </row>
    <row r="11" spans="2:22">
      <c r="B11" t="s">
        <v>2148</v>
      </c>
      <c r="C11" s="233">
        <f>IF(B11="","",IF(LEN(B11)&gt;9,SUMIFS(Options!$H$3:$H$24,Options!$B$3:$B$24,Check!B11),SUMIFS('Master P&amp;L'!$H$11:$H$85,'Master P&amp;L'!$B$11:$B$85,Check!B11)))</f>
        <v>10250</v>
      </c>
      <c r="D11" s="233">
        <f>IF(B11="","",SUMIFS(Input_APM!N:N,Input_APM!L:L,Check!B11,Input_APM!M:M,Check!$F$1))</f>
        <v>10447</v>
      </c>
      <c r="E11" s="217">
        <f t="shared" si="5"/>
        <v>-900</v>
      </c>
      <c r="F11" s="233">
        <f>IF(B11="","",SUMIFS(Input_APM!N:N,Input_APM!M:M,Check!$F$1,Input_APM!L:L,Check!B11))</f>
        <v>10447</v>
      </c>
      <c r="G11" s="233">
        <f>IF(B11="","",SUMIFS(Input_APM!N:N,Input_APM!M:M,Check!$G$1,Input_APM!L:L,Check!B11))</f>
        <v>0</v>
      </c>
      <c r="H11" s="217">
        <f t="shared" si="0"/>
        <v>10447</v>
      </c>
      <c r="I11" s="217">
        <f>SUMIFS(Input_APM!N:N,Input_APM!L:L,Check!B11)</f>
        <v>10447</v>
      </c>
      <c r="J11" s="219">
        <f t="shared" si="3"/>
        <v>0</v>
      </c>
      <c r="K11" s="22">
        <f>IF(B11="","",SUMIFS('Input_APM (Zenith)'!N:N,'Input_APM (Zenith)'!L:L,Check!B11,'Input_APM (Zenith)'!M:M,Check!$F$1))</f>
        <v>703</v>
      </c>
      <c r="L11" s="22">
        <f>IF(B11="","",SUMIFS('Input_APM (Zenith)'!N:N,'Input_APM (Zenith)'!L:L,Check!B11,'Input_APM (Zenith)'!M:M,Check!$G$1))</f>
        <v>0</v>
      </c>
      <c r="M11" s="240">
        <f t="shared" si="4"/>
        <v>11150</v>
      </c>
      <c r="O11" t="s">
        <v>2227</v>
      </c>
      <c r="P11" s="217">
        <f>IF(O11="","",IF(OR(LEFT(O11,4)="Cash",LEFT(O11,4)="Prov"),0,SUMIFS(Input_APM!N:N,Input_APM!L:L,Check!O11)))</f>
        <v>1874</v>
      </c>
      <c r="Q11" s="22">
        <f>IF(O11="","",IF(LEN(O11)&gt;9,SUMIFS(Options!$H$3:$H$24,Options!$B$3:$B$24,Check!O11),SUMIFS('Master P&amp;L'!$H$11:$H$85,'Master P&amp;L'!$B$11:$B$85,Check!O11)))</f>
        <v>2000</v>
      </c>
      <c r="R11" s="217">
        <f t="shared" si="1"/>
        <v>-126</v>
      </c>
      <c r="S11" s="361">
        <f t="shared" si="2"/>
        <v>0.93700000000000006</v>
      </c>
      <c r="V11" s="13"/>
    </row>
    <row r="12" spans="2:22">
      <c r="B12" t="s">
        <v>399</v>
      </c>
      <c r="C12" s="233">
        <f>IF(B12="","",IF(LEN(B12)&gt;9,SUMIFS(Options!$H$3:$H$24,Options!$B$3:$B$24,Check!B12),SUMIFS('Master P&amp;L'!$H$11:$H$85,'Master P&amp;L'!$B$11:$B$85,Check!B12)))</f>
        <v>22135</v>
      </c>
      <c r="D12" s="233">
        <f>IF(B12="","",SUMIFS(Input_APM!N:N,Input_APM!L:L,Check!B12,Input_APM!M:M,Check!$F$1))</f>
        <v>20751</v>
      </c>
      <c r="E12" s="217">
        <f t="shared" si="5"/>
        <v>0</v>
      </c>
      <c r="F12" s="233">
        <f>IF(B12="","",SUMIFS(Input_APM!N:N,Input_APM!M:M,Check!$F$1,Input_APM!L:L,Check!B12))</f>
        <v>20751</v>
      </c>
      <c r="G12" s="233">
        <f>IF(B12="","",SUMIFS(Input_APM!N:N,Input_APM!M:M,Check!$G$1,Input_APM!L:L,Check!B12))</f>
        <v>0</v>
      </c>
      <c r="H12" s="217">
        <f t="shared" si="0"/>
        <v>20751</v>
      </c>
      <c r="I12" s="217">
        <f>SUMIFS(Input_APM!N:N,Input_APM!L:L,Check!B12)</f>
        <v>20751</v>
      </c>
      <c r="J12" s="219">
        <f t="shared" si="3"/>
        <v>0</v>
      </c>
      <c r="K12" s="22">
        <f>IF(B12="","",SUMIFS('Input_APM (Zenith)'!N:N,'Input_APM (Zenith)'!L:L,Check!B12,'Input_APM (Zenith)'!M:M,Check!$F$1))</f>
        <v>1384</v>
      </c>
      <c r="L12" s="22">
        <f>IF(B12="","",SUMIFS('Input_APM (Zenith)'!N:N,'Input_APM (Zenith)'!L:L,Check!B12,'Input_APM (Zenith)'!M:M,Check!$G$1))</f>
        <v>0</v>
      </c>
      <c r="M12" s="240">
        <f t="shared" si="4"/>
        <v>22135</v>
      </c>
      <c r="O12" t="s">
        <v>137</v>
      </c>
      <c r="P12" s="217">
        <f>IF(O12="","",IF(OR(LEFT(O12,4)="Cash",LEFT(O12,4)="Prov"),0,SUMIFS(Input_APM!N:N,Input_APM!L:L,Check!O12)))</f>
        <v>1930</v>
      </c>
      <c r="Q12" s="22">
        <f>IF(O12="","",IF(LEN(O12)&gt;9,SUMIFS(Options!$H$3:$H$24,Options!$B$3:$B$24,Check!O12),SUMIFS('Master P&amp;L'!$H$11:$H$85,'Master P&amp;L'!$B$11:$B$85,Check!O12)))</f>
        <v>653</v>
      </c>
      <c r="R12" s="217">
        <f t="shared" si="1"/>
        <v>1277</v>
      </c>
      <c r="S12" s="361">
        <f t="shared" si="2"/>
        <v>2.9555895865237365</v>
      </c>
      <c r="V12" s="13"/>
    </row>
    <row r="13" spans="2:22">
      <c r="B13" t="s">
        <v>81</v>
      </c>
      <c r="C13" s="233">
        <f>IF(B13="","",IF(LEN(B13)&gt;9,SUMIFS(Options!$H$3:$H$24,Options!$B$3:$B$24,Check!B13),SUMIFS('Master P&amp;L'!$H$11:$H$85,'Master P&amp;L'!$B$11:$B$85,Check!B13)))</f>
        <v>763</v>
      </c>
      <c r="D13" s="233">
        <f>IF(B13="","",SUMIFS(Input_APM!N:N,Input_APM!L:L,Check!B13,Input_APM!M:M,Check!$F$1))</f>
        <v>1252</v>
      </c>
      <c r="E13" s="219">
        <f t="shared" si="5"/>
        <v>-582</v>
      </c>
      <c r="F13" s="233">
        <f>IF(B13="","",SUMIFS(Input_APM!N:N,Input_APM!M:M,Check!$F$1,Input_APM!L:L,Check!B13))</f>
        <v>1252</v>
      </c>
      <c r="G13" s="233">
        <f>IF(B13="","",SUMIFS(Input_APM!N:N,Input_APM!M:M,Check!$G$1,Input_APM!L:L,Check!B13))</f>
        <v>0</v>
      </c>
      <c r="H13" s="217">
        <f t="shared" si="0"/>
        <v>1252</v>
      </c>
      <c r="I13" s="217">
        <f>SUMIFS(Input_APM!N:N,Input_APM!L:L,Check!B13)</f>
        <v>1252</v>
      </c>
      <c r="J13" s="219">
        <f t="shared" si="3"/>
        <v>0</v>
      </c>
      <c r="K13" s="22">
        <f>IF(B13="","",SUMIFS('Input_APM (Zenith)'!N:N,'Input_APM (Zenith)'!L:L,Check!B13,'Input_APM (Zenith)'!M:M,Check!$F$1))</f>
        <v>93</v>
      </c>
      <c r="L13" s="22">
        <f>IF(B13="","",SUMIFS('Input_APM (Zenith)'!N:N,'Input_APM (Zenith)'!L:L,Check!B13,'Input_APM (Zenith)'!M:M,Check!$G$1))</f>
        <v>0</v>
      </c>
      <c r="M13" s="240">
        <f t="shared" si="4"/>
        <v>1345</v>
      </c>
      <c r="O13" t="s">
        <v>2105</v>
      </c>
      <c r="P13" s="217">
        <f>IF(O13="","",IF(OR(LEFT(O13,4)="Cash",LEFT(O13,4)="Prov"),0,SUMIFS(Input_APM!N:N,Input_APM!L:L,Check!O13)))</f>
        <v>114</v>
      </c>
      <c r="Q13" s="22">
        <f>IF(O13="","",IF(LEN(O13)&gt;9,SUMIFS(Options!$H$3:$H$24,Options!$B$3:$B$24,Check!O13),SUMIFS('Master P&amp;L'!$H$11:$H$85,'Master P&amp;L'!$B$11:$B$85,Check!O13)))</f>
        <v>120</v>
      </c>
      <c r="R13" s="217">
        <f t="shared" si="1"/>
        <v>-6</v>
      </c>
      <c r="S13" s="361">
        <f t="shared" si="2"/>
        <v>0.95</v>
      </c>
      <c r="V13" s="13"/>
    </row>
    <row r="14" spans="2:22">
      <c r="B14" t="s">
        <v>90</v>
      </c>
      <c r="C14" s="233">
        <f>IF(B14="","",IF(LEN(B14)&gt;9,SUMIFS(Options!$H$3:$H$24,Options!$B$3:$B$24,Check!B14),SUMIFS('Master P&amp;L'!$H$11:$H$85,'Master P&amp;L'!$B$11:$B$85,Check!B14)))</f>
        <v>2450</v>
      </c>
      <c r="D14" s="233">
        <f>IF(B14="","",SUMIFS(Input_APM!N:N,Input_APM!L:L,Check!B14,Input_APM!M:M,Check!$F$1))</f>
        <v>3458</v>
      </c>
      <c r="E14" s="217">
        <f t="shared" si="5"/>
        <v>-1250</v>
      </c>
      <c r="F14" s="233">
        <f>IF(B14="","",SUMIFS(Input_APM!N:N,Input_APM!M:M,Check!$F$1,Input_APM!L:L,Check!B14))</f>
        <v>3458</v>
      </c>
      <c r="G14" s="233">
        <f>IF(B14="","",SUMIFS(Input_APM!N:N,Input_APM!M:M,Check!$G$1,Input_APM!L:L,Check!B14))</f>
        <v>0</v>
      </c>
      <c r="H14" s="217">
        <f t="shared" si="0"/>
        <v>3458</v>
      </c>
      <c r="I14" s="217">
        <f>SUMIFS(Input_APM!N:N,Input_APM!L:L,Check!B14)</f>
        <v>3458</v>
      </c>
      <c r="J14" s="219">
        <f t="shared" si="3"/>
        <v>0</v>
      </c>
      <c r="K14" s="22">
        <f>IF(B14="","",SUMIFS('Input_APM (Zenith)'!N:N,'Input_APM (Zenith)'!L:L,Check!B14,'Input_APM (Zenith)'!M:M,Check!$F$1))</f>
        <v>242</v>
      </c>
      <c r="L14" s="22">
        <f>IF(B14="","",SUMIFS('Input_APM (Zenith)'!N:N,'Input_APM (Zenith)'!L:L,Check!B14,'Input_APM (Zenith)'!M:M,Check!$G$1))</f>
        <v>0</v>
      </c>
      <c r="M14" s="240">
        <f t="shared" si="4"/>
        <v>3700</v>
      </c>
      <c r="O14" t="s">
        <v>461</v>
      </c>
      <c r="P14" s="217">
        <f>IF(O14="","",IF(OR(LEFT(O14,4)="Cash",LEFT(O14,4)="Prov"),0,SUMIFS(Input_APM!N:N,Input_APM!L:L,Check!O14)))</f>
        <v>3163</v>
      </c>
      <c r="Q14" s="22">
        <f>IF(O14="","",IF(LEN(O14)&gt;9,SUMIFS(Options!$H$3:$H$24,Options!$B$3:$B$24,Check!O14),SUMIFS('Master P&amp;L'!$H$11:$H$85,'Master P&amp;L'!$B$11:$B$85,Check!O14)))</f>
        <v>3378</v>
      </c>
      <c r="R14" s="217">
        <f t="shared" si="1"/>
        <v>-215</v>
      </c>
      <c r="S14" s="361">
        <f t="shared" si="2"/>
        <v>0.9363528715216104</v>
      </c>
      <c r="V14" s="13"/>
    </row>
    <row r="15" spans="2:22">
      <c r="B15" t="s">
        <v>2285</v>
      </c>
      <c r="C15" s="233">
        <f>IF(B15="","",IF(LEN(B15)&gt;9,SUMIFS(Options!$H$3:$H$24,Options!$B$3:$B$24,Check!B15),SUMIFS('Master P&amp;L'!$H$11:$H$85,'Master P&amp;L'!$B$11:$B$85,Check!B15)))</f>
        <v>2400</v>
      </c>
      <c r="D15" s="233">
        <f>IF(B15="","",SUMIFS(Input_APM!N:N,Input_APM!L:L,Check!B15,Input_APM!M:M,Check!$F$1))</f>
        <v>0</v>
      </c>
      <c r="E15" s="219">
        <f t="shared" si="5"/>
        <v>2400</v>
      </c>
      <c r="F15" s="233">
        <f>IF(B15="","",SUMIFS(Input_APM!N:N,Input_APM!M:M,Check!$F$1,Input_APM!L:L,Check!B15))</f>
        <v>0</v>
      </c>
      <c r="G15" s="233">
        <f>IF(B15="","",SUMIFS(Input_APM!N:N,Input_APM!M:M,Check!$G$1,Input_APM!L:L,Check!B15))</f>
        <v>0</v>
      </c>
      <c r="H15" s="217">
        <f t="shared" si="0"/>
        <v>0</v>
      </c>
      <c r="I15" s="217">
        <f>SUMIFS(Input_APM!N:N,Input_APM!L:L,Check!B15)</f>
        <v>0</v>
      </c>
      <c r="J15" s="219">
        <f t="shared" si="3"/>
        <v>0</v>
      </c>
      <c r="K15" s="22">
        <f>IF(B15="","",SUMIFS('Input_APM (Zenith)'!N:N,'Input_APM (Zenith)'!L:L,Check!B15,'Input_APM (Zenith)'!M:M,Check!$F$1))</f>
        <v>0</v>
      </c>
      <c r="L15" s="22">
        <f>IF(B15="","",SUMIFS('Input_APM (Zenith)'!N:N,'Input_APM (Zenith)'!L:L,Check!B15,'Input_APM (Zenith)'!M:M,Check!$G$1))</f>
        <v>0</v>
      </c>
      <c r="M15" s="240">
        <f t="shared" si="4"/>
        <v>0</v>
      </c>
      <c r="O15" t="s">
        <v>2141</v>
      </c>
      <c r="P15" s="217">
        <f>IF(O15="","",IF(OR(LEFT(O15,4)="Cash",LEFT(O15,4)="Prov"),0,SUMIFS(Input_APM!N:N,Input_APM!L:L,Check!O15)))</f>
        <v>3285</v>
      </c>
      <c r="Q15" s="22">
        <f>IF(O15="","",IF(LEN(O15)&gt;9,SUMIFS(Options!$H$3:$H$24,Options!$B$3:$B$24,Check!O15),SUMIFS('Master P&amp;L'!$H$11:$H$85,'Master P&amp;L'!$B$11:$B$85,Check!O15)))</f>
        <v>3510</v>
      </c>
      <c r="R15" s="217">
        <f t="shared" si="1"/>
        <v>-225</v>
      </c>
      <c r="S15" s="361">
        <f t="shared" si="2"/>
        <v>0.9358974358974359</v>
      </c>
      <c r="V15" s="13"/>
    </row>
    <row r="16" spans="2:22">
      <c r="B16" t="s">
        <v>2288</v>
      </c>
      <c r="C16" s="233">
        <f>IF(B16="","",IF(LEN(B16)&gt;9,SUMIFS(Options!$H$3:$H$24,Options!$B$3:$B$24,Check!B16),SUMIFS('Master P&amp;L'!$H$11:$H$85,'Master P&amp;L'!$B$11:$B$85,Check!B16)))</f>
        <v>0</v>
      </c>
      <c r="D16" s="233">
        <f>IF(B16="","",SUMIFS(Input_APM!N:N,Input_APM!L:L,Check!B16,Input_APM!M:M,Check!$F$1))</f>
        <v>0</v>
      </c>
      <c r="E16" s="217">
        <f t="shared" si="5"/>
        <v>0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295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IF(O16="","",IF(LEN(O16)&gt;9,SUMIFS(Options!$H$3:$H$24,Options!$B$3:$B$24,Check!O16),SUMIFS('Master P&amp;L'!$H$11:$H$85,'Master P&amp;L'!$B$11:$B$85,Check!O16)))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1754</v>
      </c>
      <c r="C17" s="233">
        <f>IF(B17="","",IF(LEN(B17)&gt;9,SUMIFS(Options!$H$3:$H$24,Options!$B$3:$B$24,Check!B17),SUMIFS('Master P&amp;L'!$H$11:$H$85,'Master P&amp;L'!$B$11:$B$85,Check!B17)))</f>
        <v>42000</v>
      </c>
      <c r="D17" s="233">
        <f>IF(B17="","",SUMIFS(Input_APM!N:N,Input_APM!L:L,Check!B17,Input_APM!M:M,Check!$F$1))</f>
        <v>39308</v>
      </c>
      <c r="E17" s="219">
        <f t="shared" si="5"/>
        <v>0</v>
      </c>
      <c r="F17" s="233">
        <f>IF(B17="","",SUMIFS(Input_APM!N:N,Input_APM!M:M,Check!$F$1,Input_APM!L:L,Check!B17))</f>
        <v>39308</v>
      </c>
      <c r="G17" s="233">
        <f>IF(B17="","",SUMIFS(Input_APM!N:N,Input_APM!M:M,Check!$G$1,Input_APM!L:L,Check!B17))</f>
        <v>0</v>
      </c>
      <c r="H17" s="217">
        <f t="shared" si="0"/>
        <v>39308</v>
      </c>
      <c r="I17" s="217">
        <f>SUMIFS(Input_APM!N:N,Input_APM!L:L,Check!B17)</f>
        <v>39308</v>
      </c>
      <c r="J17" s="219">
        <f t="shared" si="3"/>
        <v>0</v>
      </c>
      <c r="K17" s="22">
        <f>IF(B17="","",SUMIFS('Input_APM (Zenith)'!N:N,'Input_APM (Zenith)'!L:L,Check!B17,'Input_APM (Zenith)'!M:M,Check!$F$1))</f>
        <v>2692</v>
      </c>
      <c r="L17" s="22">
        <f>IF(B17="","",SUMIFS('Input_APM (Zenith)'!N:N,'Input_APM (Zenith)'!L:L,Check!B17,'Input_APM (Zenith)'!M:M,Check!$G$1))</f>
        <v>0</v>
      </c>
      <c r="M17" s="240">
        <f t="shared" si="4"/>
        <v>42000</v>
      </c>
      <c r="O17" t="s">
        <v>296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IF(O17="","",IF(LEN(O17)&gt;9,SUMIFS(Options!$H$3:$H$24,Options!$B$3:$B$24,Check!O17),SUMIFS('Master P&amp;L'!$H$11:$H$85,'Master P&amp;L'!$B$11:$B$85,Check!O17)))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2063</v>
      </c>
      <c r="C18" s="233">
        <f>IF(B18="","",IF(LEN(B18)&gt;9,SUMIFS(Options!$H$3:$H$24,Options!$B$3:$B$24,Check!B18),SUMIFS('Master P&amp;L'!$H$11:$H$85,'Master P&amp;L'!$B$11:$B$85,Check!B18)))</f>
        <v>1900</v>
      </c>
      <c r="D18" s="233">
        <f>IF(B18="","",SUMIFS(Input_APM!N:N,Input_APM!L:L,Check!B18,Input_APM!M:M,Check!$F$1))</f>
        <v>1780</v>
      </c>
      <c r="E18" s="219">
        <f t="shared" si="5"/>
        <v>0</v>
      </c>
      <c r="F18" s="233">
        <f>IF(B18="","",SUMIFS(Input_APM!N:N,Input_APM!M:M,Check!$F$1,Input_APM!L:L,Check!B18))</f>
        <v>1780</v>
      </c>
      <c r="G18" s="233">
        <f>IF(B18="","",SUMIFS(Input_APM!N:N,Input_APM!M:M,Check!$G$1,Input_APM!L:L,Check!B18))</f>
        <v>0</v>
      </c>
      <c r="H18" s="217">
        <f t="shared" si="0"/>
        <v>1780</v>
      </c>
      <c r="I18" s="217">
        <f>SUMIFS(Input_APM!N:N,Input_APM!L:L,Check!B18)</f>
        <v>1780</v>
      </c>
      <c r="J18" s="219">
        <f t="shared" si="3"/>
        <v>0</v>
      </c>
      <c r="K18" s="22">
        <f>IF(B18="","",SUMIFS('Input_APM (Zenith)'!N:N,'Input_APM (Zenith)'!L:L,Check!B18,'Input_APM (Zenith)'!M:M,Check!$F$1))</f>
        <v>120</v>
      </c>
      <c r="L18" s="22">
        <f>IF(B18="","",SUMIFS('Input_APM (Zenith)'!N:N,'Input_APM (Zenith)'!L:L,Check!B18,'Input_APM (Zenith)'!M:M,Check!$G$1))</f>
        <v>0</v>
      </c>
      <c r="M18" s="240">
        <f t="shared" si="4"/>
        <v>1900</v>
      </c>
      <c r="O18" t="s">
        <v>297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IF(O18="","",IF(LEN(O18)&gt;9,SUMIFS(Options!$H$3:$H$24,Options!$B$3:$B$24,Check!O18),SUMIFS('Master P&amp;L'!$H$11:$H$85,'Master P&amp;L'!$B$11:$B$85,Check!O18)))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137</v>
      </c>
      <c r="C19" s="233">
        <f>IF(B19="","",IF(LEN(B19)&gt;9,SUMIFS(Options!$H$3:$H$24,Options!$B$3:$B$24,Check!B19),SUMIFS('Master P&amp;L'!$H$11:$H$85,'Master P&amp;L'!$B$11:$B$85,Check!B19)))</f>
        <v>653</v>
      </c>
      <c r="D19" s="233">
        <f>IF(B19="","",SUMIFS(Input_APM!N:N,Input_APM!L:L,Check!B19,Input_APM!M:M,Check!$F$1))</f>
        <v>1930</v>
      </c>
      <c r="E19" s="219">
        <f t="shared" si="5"/>
        <v>-1277</v>
      </c>
      <c r="F19" s="233">
        <f>IF(B19="","",SUMIFS(Input_APM!N:N,Input_APM!M:M,Check!$F$1,Input_APM!L:L,Check!B19))</f>
        <v>1930</v>
      </c>
      <c r="G19" s="233">
        <f>IF(B19="","",SUMIFS(Input_APM!N:N,Input_APM!M:M,Check!$G$1,Input_APM!L:L,Check!B19))</f>
        <v>0</v>
      </c>
      <c r="H19" s="217">
        <f t="shared" si="0"/>
        <v>1930</v>
      </c>
      <c r="I19" s="217">
        <f>SUMIFS(Input_APM!N:N,Input_APM!L:L,Check!B19)</f>
        <v>1930</v>
      </c>
      <c r="J19" s="219">
        <f t="shared" si="3"/>
        <v>0</v>
      </c>
      <c r="K19" s="22">
        <f>IF(B19="","",SUMIFS('Input_APM (Zenith)'!N:N,'Input_APM (Zenith)'!L:L,Check!B19,'Input_APM (Zenith)'!M:M,Check!$F$1))</f>
        <v>0</v>
      </c>
      <c r="L19" s="22">
        <f>IF(B19="","",SUMIFS('Input_APM (Zenith)'!N:N,'Input_APM (Zenith)'!L:L,Check!B19,'Input_APM (Zenith)'!M:M,Check!$G$1))</f>
        <v>0</v>
      </c>
      <c r="M19" s="240">
        <f t="shared" si="4"/>
        <v>1930</v>
      </c>
      <c r="O19" t="s">
        <v>2126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IF(O19="","",IF(LEN(O19)&gt;9,SUMIFS(Options!$H$3:$H$24,Options!$B$3:$B$24,Check!O19),SUMIFS('Master P&amp;L'!$H$11:$H$85,'Master P&amp;L'!$B$11:$B$85,Check!O19)))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96</v>
      </c>
      <c r="C20" s="233">
        <f>IF(B20="","",IF(LEN(B20)&gt;9,SUMIFS(Options!$H$3:$H$24,Options!$B$3:$B$24,Check!B20),SUMIFS('Master P&amp;L'!$H$11:$H$85,'Master P&amp;L'!$B$11:$B$85,Check!B20)))</f>
        <v>4100</v>
      </c>
      <c r="D20" s="233">
        <f>IF(B20="","",SUMIFS(Input_APM!N:N,Input_APM!L:L,Check!B20,Input_APM!M:M,Check!$F$1))</f>
        <v>3806</v>
      </c>
      <c r="E20" s="219">
        <f>IF(B20="","",C20-M20)</f>
        <v>0</v>
      </c>
      <c r="F20" s="233">
        <f>IF(B20="","",SUMIFS(Input_APM!N:N,Input_APM!M:M,Check!$F$1,Input_APM!L:L,Check!B20))</f>
        <v>3806</v>
      </c>
      <c r="G20" s="233">
        <f>IF(B20="","",SUMIFS(Input_APM!N:N,Input_APM!M:M,Check!$G$1,Input_APM!L:L,Check!B20))</f>
        <v>0</v>
      </c>
      <c r="H20" s="217">
        <f t="shared" si="0"/>
        <v>3806</v>
      </c>
      <c r="I20" s="217">
        <f>SUMIFS(Input_APM!N:N,Input_APM!L:L,Check!B20)</f>
        <v>3806</v>
      </c>
      <c r="J20" s="219">
        <f t="shared" si="3"/>
        <v>0</v>
      </c>
      <c r="K20" s="22">
        <f>IF(B20="","",SUMIFS('Input_APM (Zenith)'!N:N,'Input_APM (Zenith)'!L:L,Check!B20,'Input_APM (Zenith)'!M:M,Check!$F$1))</f>
        <v>294</v>
      </c>
      <c r="L20" s="22">
        <f>IF(B20="","",SUMIFS('Input_APM (Zenith)'!N:N,'Input_APM (Zenith)'!L:L,Check!B20,'Input_APM (Zenith)'!M:M,Check!$G$1))</f>
        <v>0</v>
      </c>
      <c r="M20" s="240">
        <f t="shared" si="4"/>
        <v>4100</v>
      </c>
      <c r="O20" t="s">
        <v>298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IF(O20="","",IF(LEN(O20)&gt;9,SUMIFS(Options!$H$3:$H$24,Options!$B$3:$B$24,Check!O20),SUMIFS('Master P&amp;L'!$H$11:$H$85,'Master P&amp;L'!$B$11:$B$85,Check!O20)))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708</v>
      </c>
      <c r="C21" s="233">
        <f>IF(B21="","",IF(LEN(B21)&gt;9,SUMIFS(Options!$H$3:$H$24,Options!$B$3:$B$24,Check!B21),SUMIFS('Master P&amp;L'!$H$11:$H$85,'Master P&amp;L'!$B$11:$B$85,Check!B21)))</f>
        <v>0</v>
      </c>
      <c r="D21" s="233">
        <f>IF(B21="","",SUMIFS(Input_APM!N:N,Input_APM!L:L,Check!B21,Input_APM!M:M,Check!$F$1))</f>
        <v>0</v>
      </c>
      <c r="E21" s="217">
        <f t="shared" si="5"/>
        <v>0</v>
      </c>
      <c r="F21" s="233">
        <f>IF(B21="","",SUMIFS(Input_APM!N:N,Input_APM!M:M,Check!$F$1,Input_APM!L:L,Check!B21))</f>
        <v>0</v>
      </c>
      <c r="G21" s="233">
        <f>IF(B21="","",SUMIFS(Input_APM!N:N,Input_APM!M:M,Check!$G$1,Input_APM!L:L,Check!B21))</f>
        <v>0</v>
      </c>
      <c r="H21" s="217">
        <f t="shared" si="0"/>
        <v>0</v>
      </c>
      <c r="I21" s="217">
        <f>SUMIFS(Input_APM!N:N,Input_APM!L:L,Check!B21)</f>
        <v>0</v>
      </c>
      <c r="J21" s="219">
        <f t="shared" si="3"/>
        <v>0</v>
      </c>
      <c r="K21" s="22">
        <f>IF(B21="","",SUMIFS('Input_APM (Zenith)'!N:N,'Input_APM (Zenith)'!L:L,Check!B21,'Input_APM (Zenith)'!M:M,Check!$F$1))</f>
        <v>0</v>
      </c>
      <c r="L21" s="22">
        <f>IF(B21="","",SUMIFS('Input_APM (Zenith)'!N:N,'Input_APM (Zenith)'!L:L,Check!B21,'Input_APM (Zenith)'!M:M,Check!$G$1))</f>
        <v>0</v>
      </c>
      <c r="M21" s="240">
        <f t="shared" si="4"/>
        <v>0</v>
      </c>
      <c r="O21" t="s">
        <v>299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IF(O21="","",IF(LEN(O21)&gt;9,SUMIFS(Options!$H$3:$H$24,Options!$B$3:$B$24,Check!O21),SUMIFS('Master P&amp;L'!$H$11:$H$85,'Master P&amp;L'!$B$11:$B$85,Check!O21)))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448</v>
      </c>
      <c r="C22" s="233">
        <f>IF(B22="","",IF(LEN(B22)&gt;9,SUMIFS(Options!$H$3:$H$24,Options!$B$3:$B$24,Check!B22),SUMIFS('Master P&amp;L'!$H$11:$H$85,'Master P&amp;L'!$B$11:$B$85,Check!B22)))</f>
        <v>4500</v>
      </c>
      <c r="D22" s="233">
        <f>IF(B22="","",SUMIFS(Input_APM!N:N,Input_APM!L:L,Check!B22,Input_APM!M:M,Check!$F$1))</f>
        <v>4223</v>
      </c>
      <c r="E22" s="217">
        <f t="shared" si="5"/>
        <v>0</v>
      </c>
      <c r="F22" s="233">
        <f>IF(B22="","",SUMIFS(Input_APM!N:N,Input_APM!M:M,Check!$F$1,Input_APM!L:L,Check!B22))</f>
        <v>4223</v>
      </c>
      <c r="G22" s="233">
        <f>IF(B22="","",SUMIFS(Input_APM!N:N,Input_APM!M:M,Check!$G$1,Input_APM!L:L,Check!B22))</f>
        <v>0</v>
      </c>
      <c r="H22" s="217">
        <f t="shared" si="0"/>
        <v>4223</v>
      </c>
      <c r="I22" s="217">
        <f>SUMIFS(Input_APM!N:N,Input_APM!L:L,Check!B22)</f>
        <v>4223</v>
      </c>
      <c r="J22" s="219">
        <f t="shared" si="3"/>
        <v>0</v>
      </c>
      <c r="K22" s="22">
        <f>IF(B22="","",SUMIFS('Input_APM (Zenith)'!N:N,'Input_APM (Zenith)'!L:L,Check!B22,'Input_APM (Zenith)'!M:M,Check!$F$1))</f>
        <v>277</v>
      </c>
      <c r="L22" s="22">
        <f>IF(B22="","",SUMIFS('Input_APM (Zenith)'!N:N,'Input_APM (Zenith)'!L:L,Check!B22,'Input_APM (Zenith)'!M:M,Check!$G$1))</f>
        <v>0</v>
      </c>
      <c r="M22" s="240">
        <f t="shared" si="4"/>
        <v>4500</v>
      </c>
      <c r="O22" t="s">
        <v>300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IF(O22="","",IF(LEN(O22)&gt;9,SUMIFS(Options!$H$3:$H$24,Options!$B$3:$B$24,Check!O22),SUMIFS('Master P&amp;L'!$H$11:$H$85,'Master P&amp;L'!$B$11:$B$85,Check!O22)))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94</v>
      </c>
      <c r="C23" s="233">
        <f>IF(B23="","",IF(LEN(B23)&gt;9,SUMIFS(Options!$H$3:$H$24,Options!$B$3:$B$24,Check!B23),SUMIFS('Master P&amp;L'!$H$11:$H$85,'Master P&amp;L'!$B$11:$B$85,Check!B23)))</f>
        <v>23008</v>
      </c>
      <c r="D23" s="233">
        <f>IF(B23="","",SUMIFS(Input_APM!N:N,Input_APM!L:L,Check!B23,Input_APM!M:M,Check!$F$1))</f>
        <v>21522</v>
      </c>
      <c r="E23" s="217">
        <f t="shared" si="5"/>
        <v>0</v>
      </c>
      <c r="F23" s="233">
        <f>IF(B23="","",SUMIFS(Input_APM!N:N,Input_APM!M:M,Check!$F$1,Input_APM!L:L,Check!B23))</f>
        <v>21522</v>
      </c>
      <c r="G23" s="233">
        <f>IF(B23="","",SUMIFS(Input_APM!N:N,Input_APM!M:M,Check!$G$1,Input_APM!L:L,Check!B23))</f>
        <v>0</v>
      </c>
      <c r="H23" s="217">
        <f t="shared" si="0"/>
        <v>21522</v>
      </c>
      <c r="I23" s="217">
        <f>SUMIFS(Input_APM!N:N,Input_APM!L:L,Check!B23)</f>
        <v>21522</v>
      </c>
      <c r="J23" s="219">
        <f t="shared" si="3"/>
        <v>0</v>
      </c>
      <c r="K23" s="22">
        <f>IF(B23="","",SUMIFS('Input_APM (Zenith)'!N:N,'Input_APM (Zenith)'!L:L,Check!B23,'Input_APM (Zenith)'!M:M,Check!$F$1))</f>
        <v>1486</v>
      </c>
      <c r="L23" s="22">
        <f>IF(B23="","",SUMIFS('Input_APM (Zenith)'!N:N,'Input_APM (Zenith)'!L:L,Check!B23,'Input_APM (Zenith)'!M:M,Check!$G$1))</f>
        <v>0</v>
      </c>
      <c r="M23" s="240">
        <f t="shared" si="4"/>
        <v>23008</v>
      </c>
      <c r="O23" t="s">
        <v>301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IF(O23="","",IF(LEN(O23)&gt;9,SUMIFS(Options!$H$3:$H$24,Options!$B$3:$B$24,Check!O23),SUMIFS('Master P&amp;L'!$H$11:$H$85,'Master P&amp;L'!$B$11:$B$85,Check!O23)))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138</v>
      </c>
      <c r="C24" s="233">
        <f>IF(B24="","",IF(LEN(B24)&gt;9,SUMIFS(Options!$H$3:$H$24,Options!$B$3:$B$24,Check!B24),SUMIFS('Master P&amp;L'!$H$11:$H$85,'Master P&amp;L'!$B$11:$B$85,Check!B24)))</f>
        <v>-49</v>
      </c>
      <c r="D24" s="233">
        <f>IF(B24="","",SUMIFS(Input_APM!N:N,Input_APM!L:L,Check!B24,Input_APM!M:M,Check!$F$1))</f>
        <v>-46</v>
      </c>
      <c r="E24" s="217">
        <f t="shared" si="5"/>
        <v>0</v>
      </c>
      <c r="F24" s="233">
        <f>IF(B24="","",SUMIFS(Input_APM!N:N,Input_APM!M:M,Check!$F$1,Input_APM!L:L,Check!B24))</f>
        <v>-46</v>
      </c>
      <c r="G24" s="233">
        <f>IF(B24="","",SUMIFS(Input_APM!N:N,Input_APM!M:M,Check!$G$1,Input_APM!L:L,Check!B24))</f>
        <v>0</v>
      </c>
      <c r="H24" s="217">
        <f t="shared" si="0"/>
        <v>-46</v>
      </c>
      <c r="I24" s="217">
        <f>SUMIFS(Input_APM!N:N,Input_APM!L:L,Check!B24)</f>
        <v>-46</v>
      </c>
      <c r="J24" s="219">
        <f t="shared" si="3"/>
        <v>0</v>
      </c>
      <c r="K24" s="22">
        <f>IF(B24="","",SUMIFS('Input_APM (Zenith)'!N:N,'Input_APM (Zenith)'!L:L,Check!B24,'Input_APM (Zenith)'!M:M,Check!$F$1))</f>
        <v>-3</v>
      </c>
      <c r="L24" s="22">
        <f>IF(B24="","",SUMIFS('Input_APM (Zenith)'!N:N,'Input_APM (Zenith)'!L:L,Check!B24,'Input_APM (Zenith)'!M:M,Check!$G$1))</f>
        <v>0</v>
      </c>
      <c r="M24" s="240">
        <f t="shared" si="4"/>
        <v>-49</v>
      </c>
      <c r="O24" t="s">
        <v>302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IF(O24="","",IF(LEN(O24)&gt;9,SUMIFS(Options!$H$3:$H$24,Options!$B$3:$B$24,Check!O24),SUMIFS('Master P&amp;L'!$H$11:$H$85,'Master P&amp;L'!$B$11:$B$85,Check!O24)))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2131</v>
      </c>
      <c r="C25" s="233">
        <f>IF(B25="","",IF(LEN(B25)&gt;9,SUMIFS(Options!$H$3:$H$24,Options!$B$3:$B$24,Check!B25),SUMIFS('Master P&amp;L'!$H$11:$H$85,'Master P&amp;L'!$B$11:$B$85,Check!B25)))</f>
        <v>31600</v>
      </c>
      <c r="D25" s="233">
        <f>IF(B25="","",SUMIFS(Input_APM!N:N,Input_APM!L:L,Check!B25,Input_APM!M:M,Check!$F$1))</f>
        <v>25080</v>
      </c>
      <c r="E25" s="217">
        <f t="shared" si="5"/>
        <v>4787</v>
      </c>
      <c r="F25" s="233">
        <f>IF(B25="","",SUMIFS(Input_APM!N:N,Input_APM!M:M,Check!$F$1,Input_APM!L:L,Check!B25))</f>
        <v>25080</v>
      </c>
      <c r="G25" s="233">
        <f>IF(B25="","",SUMIFS(Input_APM!N:N,Input_APM!M:M,Check!$G$1,Input_APM!L:L,Check!B25))</f>
        <v>0</v>
      </c>
      <c r="H25" s="217">
        <f t="shared" si="0"/>
        <v>25080</v>
      </c>
      <c r="I25" s="217">
        <f>SUMIFS(Input_APM!N:N,Input_APM!L:L,Check!B25)</f>
        <v>25080</v>
      </c>
      <c r="J25" s="219">
        <f t="shared" si="3"/>
        <v>0</v>
      </c>
      <c r="K25" s="22">
        <f>IF(B25="","",SUMIFS('Input_APM (Zenith)'!N:N,'Input_APM (Zenith)'!L:L,Check!B25,'Input_APM (Zenith)'!M:M,Check!$F$1))</f>
        <v>1733</v>
      </c>
      <c r="L25" s="22">
        <f>IF(B25="","",SUMIFS('Input_APM (Zenith)'!N:N,'Input_APM (Zenith)'!L:L,Check!B25,'Input_APM (Zenith)'!M:M,Check!$G$1))</f>
        <v>0</v>
      </c>
      <c r="M25" s="240">
        <f t="shared" si="4"/>
        <v>26813</v>
      </c>
      <c r="O25" t="s">
        <v>1906</v>
      </c>
      <c r="P25" s="217">
        <f>IF(O25="","",IF(OR(LEFT(O25,4)="Cash",LEFT(O25,4)="Prov"),0,SUMIFS(Input_APM!N:N,Input_APM!L:L,Check!O25)))</f>
        <v>4625000</v>
      </c>
      <c r="Q25" s="22">
        <f>IF(O25="","",IF(LEN(O25)&gt;9,SUMIFS(Options!$H$3:$H$24,Options!$B$3:$B$24,Check!O25),SUMIFS('Master P&amp;L'!$H$11:$H$85,'Master P&amp;L'!$B$11:$B$85,Check!O25)))</f>
        <v>0</v>
      </c>
      <c r="R25" s="217">
        <f t="shared" si="1"/>
        <v>4625000</v>
      </c>
      <c r="S25" s="361" t="str">
        <f t="shared" si="2"/>
        <v>Erro</v>
      </c>
      <c r="V25" s="13"/>
    </row>
    <row r="26" spans="2:22">
      <c r="B26" t="s">
        <v>88</v>
      </c>
      <c r="C26" s="233">
        <f>IF(B26="","",IF(LEN(B26)&gt;9,SUMIFS(Options!$H$3:$H$24,Options!$B$3:$B$24,Check!B26),SUMIFS('Master P&amp;L'!$H$11:$H$85,'Master P&amp;L'!$B$11:$B$85,Check!B26)))</f>
        <v>45750</v>
      </c>
      <c r="D26" s="233">
        <f>IF(B26="","",SUMIFS(Input_APM!N:N,Input_APM!L:L,Check!B26,Input_APM!M:M,Check!$F$1))</f>
        <v>42865</v>
      </c>
      <c r="E26" s="219">
        <f>IF(B26="","",C26-M26)</f>
        <v>0</v>
      </c>
      <c r="F26" s="233">
        <f>IF(B26="","",SUMIFS(Input_APM!N:N,Input_APM!M:M,Check!$F$1,Input_APM!L:L,Check!B26))</f>
        <v>42865</v>
      </c>
      <c r="G26" s="233">
        <f>IF(B26="","",SUMIFS(Input_APM!N:N,Input_APM!M:M,Check!$G$1,Input_APM!L:L,Check!B26))</f>
        <v>0</v>
      </c>
      <c r="H26" s="217">
        <f t="shared" si="0"/>
        <v>42865</v>
      </c>
      <c r="I26" s="217">
        <f>SUMIFS(Input_APM!N:N,Input_APM!L:L,Check!B26)</f>
        <v>42865</v>
      </c>
      <c r="J26" s="219">
        <f t="shared" si="3"/>
        <v>0</v>
      </c>
      <c r="K26" s="22">
        <f>IF(B26="","",SUMIFS('Input_APM (Zenith)'!N:N,'Input_APM (Zenith)'!L:L,Check!B26,'Input_APM (Zenith)'!M:M,Check!$F$1))</f>
        <v>2885</v>
      </c>
      <c r="L26" s="22">
        <f>IF(B26="","",SUMIFS('Input_APM (Zenith)'!N:N,'Input_APM (Zenith)'!L:L,Check!B26,'Input_APM (Zenith)'!M:M,Check!$G$1))</f>
        <v>0</v>
      </c>
      <c r="M26" s="240">
        <f t="shared" si="4"/>
        <v>45750</v>
      </c>
      <c r="O26" t="s">
        <v>484</v>
      </c>
      <c r="P26" s="217">
        <f>IF(O26="","",IF(OR(LEFT(O26,4)="Cash",LEFT(O26,4)="Prov"),0,SUMIFS(Input_APM!N:N,Input_APM!L:L,Check!O26)))</f>
        <v>0</v>
      </c>
      <c r="Q26" s="22">
        <f>IF(O26="","",IF(LEN(O26)&gt;9,SUMIFS(Options!$H$3:$H$24,Options!$B$3:$B$24,Check!O26),SUMIFS('Master P&amp;L'!$H$11:$H$85,'Master P&amp;L'!$B$11:$B$85,Check!O26)))</f>
        <v>0</v>
      </c>
      <c r="R26" s="217">
        <f t="shared" si="1"/>
        <v>0</v>
      </c>
      <c r="S26" s="361" t="str">
        <f t="shared" si="2"/>
        <v>Ok</v>
      </c>
      <c r="V26" s="13"/>
    </row>
    <row r="27" spans="2:22">
      <c r="B27" t="s">
        <v>2276</v>
      </c>
      <c r="C27" s="233">
        <f>IF(B27="","",IF(LEN(B27)&gt;9,SUMIFS(Options!$H$3:$H$24,Options!$B$3:$B$24,Check!B27),SUMIFS('Master P&amp;L'!$H$11:$H$85,'Master P&amp;L'!$B$11:$B$85,Check!B27)))</f>
        <v>-10000</v>
      </c>
      <c r="D27" s="233">
        <f>IF(B27="","",SUMIFS(Input_APM!N:N,Input_APM!L:L,Check!B27,Input_APM!M:M,Check!$F$1))</f>
        <v>-9374</v>
      </c>
      <c r="E27" s="219">
        <f t="shared" si="5"/>
        <v>0</v>
      </c>
      <c r="F27" s="233">
        <f>IF(B27="","",SUMIFS(Input_APM!N:N,Input_APM!M:M,Check!$F$1,Input_APM!L:L,Check!B27))</f>
        <v>-9374</v>
      </c>
      <c r="G27" s="233">
        <f>IF(B27="","",SUMIFS(Input_APM!N:N,Input_APM!M:M,Check!$G$1,Input_APM!L:L,Check!B27))</f>
        <v>0</v>
      </c>
      <c r="H27" s="217">
        <f t="shared" si="0"/>
        <v>-9374</v>
      </c>
      <c r="I27" s="217">
        <f>SUMIFS(Input_APM!N:N,Input_APM!L:L,Check!B27)</f>
        <v>-9374</v>
      </c>
      <c r="J27" s="219">
        <f t="shared" si="3"/>
        <v>0</v>
      </c>
      <c r="K27" s="22">
        <f>IF(B27="","",SUMIFS('Input_APM (Zenith)'!N:N,'Input_APM (Zenith)'!L:L,Check!B27,'Input_APM (Zenith)'!M:M,Check!$F$1))</f>
        <v>-626</v>
      </c>
      <c r="L27" s="22">
        <f>IF(B27="","",SUMIFS('Input_APM (Zenith)'!N:N,'Input_APM (Zenith)'!L:L,Check!B27,'Input_APM (Zenith)'!M:M,Check!$G$1))</f>
        <v>0</v>
      </c>
      <c r="M27" s="240">
        <f t="shared" si="4"/>
        <v>-10000</v>
      </c>
      <c r="O27" t="s">
        <v>1754</v>
      </c>
      <c r="P27" s="217">
        <f>IF(O27="","",IF(OR(LEFT(O27,4)="Cash",LEFT(O27,4)="Prov"),0,SUMIFS(Input_APM!N:N,Input_APM!L:L,Check!O27)))</f>
        <v>39308</v>
      </c>
      <c r="Q27" s="22">
        <f>IF(O27="","",IF(LEN(O27)&gt;9,SUMIFS(Options!$H$3:$H$24,Options!$B$3:$B$24,Check!O27),SUMIFS('Master P&amp;L'!$H$11:$H$85,'Master P&amp;L'!$B$11:$B$85,Check!O27)))</f>
        <v>42000</v>
      </c>
      <c r="R27" s="217">
        <f t="shared" si="1"/>
        <v>-2692</v>
      </c>
      <c r="S27" s="361">
        <f t="shared" si="2"/>
        <v>0.93590476190476191</v>
      </c>
      <c r="V27" s="13"/>
    </row>
    <row r="28" spans="2:22">
      <c r="B28" t="s">
        <v>4</v>
      </c>
      <c r="C28" s="233">
        <f>IF(B28="","",IF(LEN(B28)&gt;9,SUMIFS(Options!$H$3:$H$24,Options!$B$3:$B$24,Check!B28),SUMIFS('Master P&amp;L'!$H$11:$H$85,'Master P&amp;L'!$B$11:$B$85,Check!B28)))</f>
        <v>-27500</v>
      </c>
      <c r="D28" s="233">
        <f>IF(B28="","",SUMIFS(Input_APM!N:N,Input_APM!L:L,Check!B28,Input_APM!M:M,Check!$F$1))</f>
        <v>-25765</v>
      </c>
      <c r="E28" s="219">
        <f>IF(B28="","",C28-M28)</f>
        <v>0</v>
      </c>
      <c r="F28" s="233">
        <f>IF(B28="","",SUMIFS(Input_APM!N:N,Input_APM!M:M,Check!$F$1,Input_APM!L:L,Check!B28))</f>
        <v>-25765</v>
      </c>
      <c r="G28" s="233">
        <f>IF(B28="","",SUMIFS(Input_APM!N:N,Input_APM!M:M,Check!$G$1,Input_APM!L:L,Check!B28))</f>
        <v>0</v>
      </c>
      <c r="H28" s="217">
        <f t="shared" si="0"/>
        <v>-25765</v>
      </c>
      <c r="I28" s="217">
        <f>SUMIFS(Input_APM!N:N,Input_APM!L:L,Check!B28)</f>
        <v>-25765</v>
      </c>
      <c r="J28" s="219">
        <f t="shared" si="3"/>
        <v>0</v>
      </c>
      <c r="K28" s="22">
        <f>IF(B28="","",SUMIFS('Input_APM (Zenith)'!N:N,'Input_APM (Zenith)'!L:L,Check!B28,'Input_APM (Zenith)'!M:M,Check!$F$1))</f>
        <v>-1735</v>
      </c>
      <c r="L28" s="22">
        <f>IF(B28="","",SUMIFS('Input_APM (Zenith)'!N:N,'Input_APM (Zenith)'!L:L,Check!B28,'Input_APM (Zenith)'!M:M,Check!$G$1))</f>
        <v>0</v>
      </c>
      <c r="M28" s="240">
        <f t="shared" si="4"/>
        <v>-27500</v>
      </c>
      <c r="O28" t="s">
        <v>2139</v>
      </c>
      <c r="P28" s="217">
        <f>IF(O28="","",IF(OR(LEFT(O28,4)="Cash",LEFT(O28,4)="Prov"),0,SUMIFS(Input_APM!N:N,Input_APM!L:L,Check!O28)))</f>
        <v>13842</v>
      </c>
      <c r="Q28" s="22">
        <f>IF(O28="","",IF(LEN(O28)&gt;9,SUMIFS(Options!$H$3:$H$24,Options!$B$3:$B$24,Check!O28),SUMIFS('Master P&amp;L'!$H$11:$H$85,'Master P&amp;L'!$B$11:$B$85,Check!O28)))</f>
        <v>0</v>
      </c>
      <c r="R28" s="217">
        <f t="shared" si="1"/>
        <v>13842</v>
      </c>
      <c r="S28" s="361" t="str">
        <f t="shared" si="2"/>
        <v>Erro</v>
      </c>
      <c r="V28" s="13"/>
    </row>
    <row r="29" spans="2:22">
      <c r="B29" t="s">
        <v>2308</v>
      </c>
      <c r="C29" s="233">
        <f>IF(B29="","",IF(LEN(B29)&gt;9,SUMIFS(Options!$H$3:$H$24,Options!$B$3:$B$24,Check!B29),SUMIFS('Master P&amp;L'!$H$11:$H$85,'Master P&amp;L'!$B$11:$B$85,Check!B29)))</f>
        <v>50</v>
      </c>
      <c r="D29" s="233">
        <f>IF(B29="","",SUMIFS(Input_APM!N:N,Input_APM!L:L,Check!B29,Input_APM!M:M,Check!$F$1))</f>
        <v>46</v>
      </c>
      <c r="E29" s="219">
        <f t="shared" si="5"/>
        <v>0</v>
      </c>
      <c r="F29" s="233">
        <f>IF(B29="","",SUMIFS(Input_APM!N:N,Input_APM!M:M,Check!$F$1,Input_APM!L:L,Check!B29))</f>
        <v>46</v>
      </c>
      <c r="G29" s="233">
        <f>IF(B29="","",SUMIFS(Input_APM!N:N,Input_APM!M:M,Check!$G$1,Input_APM!L:L,Check!B29))</f>
        <v>0</v>
      </c>
      <c r="H29" s="217">
        <f t="shared" si="0"/>
        <v>46</v>
      </c>
      <c r="I29" s="217">
        <f>SUMIFS(Input_APM!N:N,Input_APM!L:L,Check!B29)</f>
        <v>46</v>
      </c>
      <c r="J29" s="219">
        <f t="shared" si="3"/>
        <v>0</v>
      </c>
      <c r="K29" s="22">
        <f>IF(B29="","",SUMIFS('Input_APM (Zenith)'!N:N,'Input_APM (Zenith)'!L:L,Check!B29,'Input_APM (Zenith)'!M:M,Check!$F$1))</f>
        <v>4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50</v>
      </c>
      <c r="O29" t="s">
        <v>2274</v>
      </c>
      <c r="P29" s="217">
        <f>IF(O29="","",IF(OR(LEFT(O29,4)="Cash",LEFT(O29,4)="Prov"),0,SUMIFS(Input_APM!N:N,Input_APM!L:L,Check!O29)))</f>
        <v>1031</v>
      </c>
      <c r="Q29" s="22">
        <f>IF(O29="","",IF(LEN(O29)&gt;9,SUMIFS(Options!$H$3:$H$24,Options!$B$3:$B$24,Check!O29),SUMIFS('Master P&amp;L'!$H$11:$H$85,'Master P&amp;L'!$B$11:$B$85,Check!O29)))</f>
        <v>1100</v>
      </c>
      <c r="R29" s="217">
        <f t="shared" si="1"/>
        <v>-69</v>
      </c>
      <c r="S29" s="361">
        <f t="shared" si="2"/>
        <v>0.93727272727272726</v>
      </c>
      <c r="V29" s="13"/>
    </row>
    <row r="30" spans="2:22">
      <c r="B30" t="s">
        <v>2227</v>
      </c>
      <c r="C30" s="233">
        <f>IF(B30="","",IF(LEN(B30)&gt;9,SUMIFS(Options!$H$3:$H$24,Options!$B$3:$B$24,Check!B30),SUMIFS('Master P&amp;L'!$H$11:$H$85,'Master P&amp;L'!$B$11:$B$85,Check!B30)))</f>
        <v>2000</v>
      </c>
      <c r="D30" s="233">
        <f>IF(B30="","",SUMIFS(Input_APM!N:N,Input_APM!L:L,Check!B30,Input_APM!M:M,Check!$F$1))</f>
        <v>1874</v>
      </c>
      <c r="E30" s="219">
        <f t="shared" si="5"/>
        <v>0</v>
      </c>
      <c r="F30" s="233">
        <f>IF(B30="","",SUMIFS(Input_APM!N:N,Input_APM!M:M,Check!$F$1,Input_APM!L:L,Check!B30))</f>
        <v>1874</v>
      </c>
      <c r="G30" s="233">
        <f>IF(B30="","",SUMIFS(Input_APM!N:N,Input_APM!M:M,Check!$G$1,Input_APM!L:L,Check!B30))</f>
        <v>0</v>
      </c>
      <c r="H30" s="217">
        <f t="shared" si="0"/>
        <v>1874</v>
      </c>
      <c r="I30" s="217">
        <f>SUMIFS(Input_APM!N:N,Input_APM!L:L,Check!B30)</f>
        <v>1874</v>
      </c>
      <c r="J30" s="219">
        <f t="shared" si="3"/>
        <v>0</v>
      </c>
      <c r="K30" s="22">
        <f>IF(B30="","",SUMIFS('Input_APM (Zenith)'!N:N,'Input_APM (Zenith)'!L:L,Check!B30,'Input_APM (Zenith)'!M:M,Check!$F$1))</f>
        <v>126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2000</v>
      </c>
      <c r="O30" t="s">
        <v>2275</v>
      </c>
      <c r="P30" s="217">
        <f>IF(O30="","",IF(OR(LEFT(O30,4)="Cash",LEFT(O30,4)="Prov"),0,SUMIFS(Input_APM!N:N,Input_APM!L:L,Check!O30)))</f>
        <v>-1031</v>
      </c>
      <c r="Q30" s="22">
        <f>IF(O30="","",IF(LEN(O30)&gt;9,SUMIFS(Options!$H$3:$H$24,Options!$B$3:$B$24,Check!O30),SUMIFS('Master P&amp;L'!$H$11:$H$85,'Master P&amp;L'!$B$11:$B$85,Check!O30)))</f>
        <v>-1100</v>
      </c>
      <c r="R30" s="217">
        <f t="shared" si="1"/>
        <v>69</v>
      </c>
      <c r="S30" s="361">
        <f t="shared" si="2"/>
        <v>0.93727272727272726</v>
      </c>
      <c r="V30" s="13"/>
    </row>
    <row r="31" spans="2:22">
      <c r="B31" t="s">
        <v>2105</v>
      </c>
      <c r="C31" s="233">
        <f>IF(B31="","",IF(LEN(B31)&gt;9,SUMIFS(Options!$H$3:$H$24,Options!$B$3:$B$24,Check!B31),SUMIFS('Master P&amp;L'!$H$11:$H$85,'Master P&amp;L'!$B$11:$B$85,Check!B31)))</f>
        <v>120</v>
      </c>
      <c r="D31" s="233">
        <f>IF(B31="","",SUMIFS(Input_APM!N:N,Input_APM!L:L,Check!B31,Input_APM!M:M,Check!$F$1))</f>
        <v>114</v>
      </c>
      <c r="E31" s="219">
        <f>IF(B31="","",C31-M31)</f>
        <v>0</v>
      </c>
      <c r="F31" s="233">
        <f>IF(B31="","",SUMIFS(Input_APM!N:N,Input_APM!M:M,Check!$F$1,Input_APM!L:L,Check!B31))</f>
        <v>114</v>
      </c>
      <c r="G31" s="233">
        <f>IF(B31="","",SUMIFS(Input_APM!N:N,Input_APM!M:M,Check!$G$1,Input_APM!L:L,Check!B31))</f>
        <v>0</v>
      </c>
      <c r="H31" s="217">
        <f t="shared" si="0"/>
        <v>114</v>
      </c>
      <c r="I31" s="217">
        <f>SUMIFS(Input_APM!N:N,Input_APM!L:L,Check!B31)</f>
        <v>114</v>
      </c>
      <c r="J31" s="219">
        <f t="shared" si="3"/>
        <v>0</v>
      </c>
      <c r="K31" s="22">
        <f>IF(B31="","",SUMIFS('Input_APM (Zenith)'!N:N,'Input_APM (Zenith)'!L:L,Check!B31,'Input_APM (Zenith)'!M:M,Check!$F$1))</f>
        <v>6</v>
      </c>
      <c r="L31" s="22">
        <f>IF(B31="","",SUMIFS('Input_APM (Zenith)'!N:N,'Input_APM (Zenith)'!L:L,Check!B31,'Input_APM (Zenith)'!M:M,Check!$G$1))</f>
        <v>0</v>
      </c>
      <c r="M31" s="240">
        <f t="shared" si="4"/>
        <v>120</v>
      </c>
      <c r="O31" t="s">
        <v>2148</v>
      </c>
      <c r="P31" s="217">
        <f>IF(O31="","",IF(OR(LEFT(O31,4)="Cash",LEFT(O31,4)="Prov"),0,SUMIFS(Input_APM!N:N,Input_APM!L:L,Check!O31)))</f>
        <v>10447</v>
      </c>
      <c r="Q31" s="22">
        <f>IF(O31="","",IF(LEN(O31)&gt;9,SUMIFS(Options!$H$3:$H$24,Options!$B$3:$B$24,Check!O31),SUMIFS('Master P&amp;L'!$H$11:$H$85,'Master P&amp;L'!$B$11:$B$85,Check!O31)))</f>
        <v>10250</v>
      </c>
      <c r="R31" s="217">
        <f t="shared" si="1"/>
        <v>197</v>
      </c>
      <c r="S31" s="361">
        <f t="shared" si="2"/>
        <v>1.019219512195122</v>
      </c>
      <c r="V31" s="13"/>
    </row>
    <row r="32" spans="2:22">
      <c r="B32" t="s">
        <v>2274</v>
      </c>
      <c r="C32" s="233">
        <f>IF(B32="","",IF(LEN(B32)&gt;9,SUMIFS(Options!$H$3:$H$24,Options!$B$3:$B$24,Check!B32),SUMIFS('Master P&amp;L'!$H$11:$H$85,'Master P&amp;L'!$B$11:$B$85,Check!B32)))</f>
        <v>1100</v>
      </c>
      <c r="D32" s="233">
        <f>IF(B32="","",SUMIFS(Input_APM!N:N,Input_APM!L:L,Check!B32,Input_APM!M:M,Check!$F$1))</f>
        <v>1031</v>
      </c>
      <c r="E32" s="219">
        <f t="shared" si="5"/>
        <v>0</v>
      </c>
      <c r="F32" s="233">
        <f>IF(B32="","",SUMIFS(Input_APM!N:N,Input_APM!M:M,Check!$F$1,Input_APM!L:L,Check!B32))</f>
        <v>1031</v>
      </c>
      <c r="G32" s="233">
        <f>IF(B32="","",SUMIFS(Input_APM!N:N,Input_APM!M:M,Check!$G$1,Input_APM!L:L,Check!B32))</f>
        <v>0</v>
      </c>
      <c r="H32" s="217">
        <f t="shared" si="0"/>
        <v>1031</v>
      </c>
      <c r="I32" s="217">
        <f>SUMIFS(Input_APM!N:N,Input_APM!L:L,Check!B32)</f>
        <v>1031</v>
      </c>
      <c r="J32" s="219">
        <f t="shared" si="3"/>
        <v>0</v>
      </c>
      <c r="K32" s="22">
        <f>IF(B32="","",SUMIFS('Input_APM (Zenith)'!N:N,'Input_APM (Zenith)'!L:L,Check!B32,'Input_APM (Zenith)'!M:M,Check!$F$1))</f>
        <v>69</v>
      </c>
      <c r="L32" s="22">
        <f>IF(B32="","",SUMIFS('Input_APM (Zenith)'!N:N,'Input_APM (Zenith)'!L:L,Check!B32,'Input_APM (Zenith)'!M:M,Check!$G$1))</f>
        <v>0</v>
      </c>
      <c r="M32" s="240">
        <f t="shared" si="4"/>
        <v>1100</v>
      </c>
      <c r="O32" t="s">
        <v>1896</v>
      </c>
      <c r="P32" s="217">
        <f>IF(O32="","",IF(OR(LEFT(O32,4)="Cash",LEFT(O32,4)="Prov"),0,SUMIFS(Input_APM!N:N,Input_APM!L:L,Check!O32)))</f>
        <v>276451</v>
      </c>
      <c r="Q32" s="22">
        <f>IF(O32="","",IF(LEN(O32)&gt;9,SUMIFS(Options!$H$3:$H$24,Options!$B$3:$B$24,Check!O32),SUMIFS('Master P&amp;L'!$H$11:$H$85,'Master P&amp;L'!$B$11:$B$85,Check!O32)))</f>
        <v>0</v>
      </c>
      <c r="R32" s="217">
        <f t="shared" si="1"/>
        <v>276451</v>
      </c>
      <c r="S32" s="361" t="str">
        <f t="shared" si="2"/>
        <v>Erro</v>
      </c>
      <c r="V32" s="13"/>
    </row>
    <row r="33" spans="1:22">
      <c r="B33" t="s">
        <v>2275</v>
      </c>
      <c r="C33" s="233">
        <f>IF(B33="","",IF(LEN(B33)&gt;9,SUMIFS(Options!$H$3:$H$24,Options!$B$3:$B$24,Check!B33),SUMIFS('Master P&amp;L'!$H$11:$H$85,'Master P&amp;L'!$B$11:$B$85,Check!B33)))</f>
        <v>-1100</v>
      </c>
      <c r="D33" s="233">
        <f>IF(B33="","",SUMIFS(Input_APM!N:N,Input_APM!L:L,Check!B33,Input_APM!M:M,Check!$F$1))</f>
        <v>-1031</v>
      </c>
      <c r="E33" s="217">
        <f t="shared" si="5"/>
        <v>0</v>
      </c>
      <c r="F33" s="233">
        <f>IF(B33="","",SUMIFS(Input_APM!N:N,Input_APM!M:M,Check!$F$1,Input_APM!L:L,Check!B33))</f>
        <v>-1031</v>
      </c>
      <c r="G33" s="233">
        <f>IF(B33="","",SUMIFS(Input_APM!N:N,Input_APM!M:M,Check!$G$1,Input_APM!L:L,Check!B33))</f>
        <v>0</v>
      </c>
      <c r="H33" s="217">
        <f t="shared" si="0"/>
        <v>-1031</v>
      </c>
      <c r="I33" s="217">
        <f>SUMIFS(Input_APM!N:N,Input_APM!L:L,Check!B33)</f>
        <v>-1031</v>
      </c>
      <c r="J33" s="219">
        <f t="shared" si="3"/>
        <v>0</v>
      </c>
      <c r="K33" s="22">
        <f>IF(B33="","",SUMIFS('Input_APM (Zenith)'!N:N,'Input_APM (Zenith)'!L:L,Check!B33,'Input_APM (Zenith)'!M:M,Check!$F$1))</f>
        <v>-69</v>
      </c>
      <c r="L33" s="22">
        <f>IF(B33="","",SUMIFS('Input_APM (Zenith)'!N:N,'Input_APM (Zenith)'!L:L,Check!B33,'Input_APM (Zenith)'!M:M,Check!$G$1))</f>
        <v>0</v>
      </c>
      <c r="M33" s="240">
        <f t="shared" si="4"/>
        <v>-1100</v>
      </c>
      <c r="O33" t="s">
        <v>1897</v>
      </c>
      <c r="P33" s="217">
        <f>IF(O33="","",IF(OR(LEFT(O33,4)="Cash",LEFT(O33,4)="Prov"),0,SUMIFS(Input_APM!N:N,Input_APM!L:L,Check!O33)))</f>
        <v>-276451</v>
      </c>
      <c r="Q33" s="22">
        <f>IF(O33="","",IF(LEN(O33)&gt;9,SUMIFS(Options!$H$3:$H$24,Options!$B$3:$B$24,Check!O33),SUMIFS('Master P&amp;L'!$H$11:$H$85,'Master P&amp;L'!$B$11:$B$85,Check!O33)))</f>
        <v>0</v>
      </c>
      <c r="R33" s="217">
        <f t="shared" si="1"/>
        <v>-276451</v>
      </c>
      <c r="S33" s="361" t="str">
        <f t="shared" si="2"/>
        <v>Erro</v>
      </c>
      <c r="V33" s="13"/>
    </row>
    <row r="34" spans="1:22">
      <c r="B34" t="s">
        <v>2306</v>
      </c>
      <c r="C34" s="233">
        <f>IF(B34="","",IF(LEN(B34)&gt;9,SUMIFS(Options!$H$3:$H$24,Options!$B$3:$B$24,Check!B34),SUMIFS('Master P&amp;L'!$H$11:$H$85,'Master P&amp;L'!$B$11:$B$85,Check!B34)))</f>
        <v>60</v>
      </c>
      <c r="D34" s="233">
        <f>IF(B34="","",SUMIFS(Input_APM!N:N,Input_APM!L:L,Check!B34,Input_APM!M:M,Check!$F$1))</f>
        <v>56</v>
      </c>
      <c r="E34" s="217">
        <f t="shared" si="5"/>
        <v>0</v>
      </c>
      <c r="F34" s="233">
        <f>IF(B34="","",SUMIFS(Input_APM!N:N,Input_APM!M:M,Check!$F$1,Input_APM!L:L,Check!B34))</f>
        <v>56</v>
      </c>
      <c r="G34" s="233">
        <f>IF(B34="","",SUMIFS(Input_APM!N:N,Input_APM!M:M,Check!$G$1,Input_APM!L:L,Check!B34))</f>
        <v>0</v>
      </c>
      <c r="H34" s="217">
        <f t="shared" si="0"/>
        <v>56</v>
      </c>
      <c r="I34" s="217">
        <f>SUMIFS(Input_APM!N:N,Input_APM!L:L,Check!B34)</f>
        <v>56</v>
      </c>
      <c r="J34" s="219">
        <f t="shared" si="3"/>
        <v>0</v>
      </c>
      <c r="K34" s="22">
        <f>IF(B34="","",SUMIFS('Input_APM (Zenith)'!N:N,'Input_APM (Zenith)'!L:L,Check!B34,'Input_APM (Zenith)'!M:M,Check!$F$1))</f>
        <v>4</v>
      </c>
      <c r="L34" s="22">
        <f>IF(B34="","",SUMIFS('Input_APM (Zenith)'!N:N,'Input_APM (Zenith)'!L:L,Check!B34,'Input_APM (Zenith)'!M:M,Check!$G$1))</f>
        <v>0</v>
      </c>
      <c r="M34" s="240">
        <f t="shared" si="4"/>
        <v>60</v>
      </c>
      <c r="O34" t="s">
        <v>708</v>
      </c>
      <c r="P34" s="217">
        <f>IF(O34="","",IF(OR(LEFT(O34,4)="Cash",LEFT(O34,4)="Prov"),0,SUMIFS(Input_APM!N:N,Input_APM!L:L,Check!O34)))</f>
        <v>0</v>
      </c>
      <c r="Q34" s="22">
        <f>IF(O34="","",IF(LEN(O34)&gt;9,SUMIFS(Options!$H$3:$H$24,Options!$B$3:$B$24,Check!O34),SUMIFS('Master P&amp;L'!$H$11:$H$85,'Master P&amp;L'!$B$11:$B$85,Check!O34)))</f>
        <v>0</v>
      </c>
      <c r="R34" s="217">
        <f t="shared" si="1"/>
        <v>0</v>
      </c>
      <c r="S34" s="361" t="str">
        <f t="shared" si="2"/>
        <v>Ok</v>
      </c>
      <c r="V34" s="13"/>
    </row>
    <row r="35" spans="1:22">
      <c r="B35" t="s">
        <v>2068</v>
      </c>
      <c r="C35" s="233">
        <f>IF(B35="","",IF(LEN(B35)&gt;9,SUMIFS(Options!$H$3:$H$24,Options!$B$3:$B$24,Check!B35),SUMIFS('Master P&amp;L'!$H$11:$H$85,'Master P&amp;L'!$B$11:$B$85,Check!B35)))</f>
        <v>60</v>
      </c>
      <c r="D35" s="233">
        <f>IF(B35="","",SUMIFS(Input_APM!N:N,Input_APM!L:L,Check!B35,Input_APM!M:M,Check!$F$1))</f>
        <v>57</v>
      </c>
      <c r="E35" s="219">
        <f t="shared" si="5"/>
        <v>0</v>
      </c>
      <c r="F35" s="233">
        <f>IF(B35="","",SUMIFS(Input_APM!N:N,Input_APM!M:M,Check!$F$1,Input_APM!L:L,Check!B35))</f>
        <v>57</v>
      </c>
      <c r="G35" s="233">
        <f>IF(B35="","",SUMIFS(Input_APM!N:N,Input_APM!M:M,Check!$G$1,Input_APM!L:L,Check!B35))</f>
        <v>0</v>
      </c>
      <c r="H35" s="217">
        <f t="shared" si="0"/>
        <v>57</v>
      </c>
      <c r="I35" s="217">
        <f>SUMIFS(Input_APM!N:N,Input_APM!L:L,Check!B35)</f>
        <v>57</v>
      </c>
      <c r="J35" s="219">
        <f t="shared" si="3"/>
        <v>0</v>
      </c>
      <c r="K35" s="22">
        <f>IF(B35="","",SUMIFS('Input_APM (Zenith)'!N:N,'Input_APM (Zenith)'!L:L,Check!B35,'Input_APM (Zenith)'!M:M,Check!$F$1))</f>
        <v>3</v>
      </c>
      <c r="L35" s="22">
        <f>IF(B35="","",SUMIFS('Input_APM (Zenith)'!N:N,'Input_APM (Zenith)'!L:L,Check!B35,'Input_APM (Zenith)'!M:M,Check!$G$1))</f>
        <v>0</v>
      </c>
      <c r="M35" s="240">
        <f t="shared" si="4"/>
        <v>60</v>
      </c>
      <c r="O35" t="s">
        <v>2358</v>
      </c>
      <c r="P35" s="217">
        <f>IF(O35="","",IF(OR(LEFT(O35,4)="Cash",LEFT(O35,4)="Prov"),0,SUMIFS(Input_APM!N:N,Input_APM!L:L,Check!O35)))</f>
        <v>144</v>
      </c>
      <c r="Q35" s="22">
        <f>IF(O35="","",IF(LEN(O35)&gt;9,SUMIFS(Options!$H$3:$H$24,Options!$B$3:$B$24,Check!O35),SUMIFS('Master P&amp;L'!$H$11:$H$85,'Master P&amp;L'!$B$11:$B$85,Check!O35)))</f>
        <v>150</v>
      </c>
      <c r="R35" s="217">
        <f t="shared" si="1"/>
        <v>-6</v>
      </c>
      <c r="S35" s="361">
        <f t="shared" si="2"/>
        <v>0.96</v>
      </c>
      <c r="V35" s="13"/>
    </row>
    <row r="36" spans="1:22">
      <c r="B36" t="s">
        <v>2309</v>
      </c>
      <c r="C36" s="233">
        <f>IF(B36="","",IF(LEN(B36)&gt;9,SUMIFS(Options!$H$3:$H$24,Options!$B$3:$B$24,Check!B36),SUMIFS('Master P&amp;L'!$H$11:$H$85,'Master P&amp;L'!$B$11:$B$85,Check!B36)))</f>
        <v>75</v>
      </c>
      <c r="D36" s="233">
        <f>IF(B36="","",SUMIFS(Input_APM!N:N,Input_APM!L:L,Check!B36,Input_APM!M:M,Check!$F$1))</f>
        <v>73</v>
      </c>
      <c r="E36" s="219">
        <f>IF(B36="","",C36-M36)</f>
        <v>0</v>
      </c>
      <c r="F36" s="233">
        <f>IF(B36="","",SUMIFS(Input_APM!N:N,Input_APM!M:M,Check!$F$1,Input_APM!L:L,Check!B36))</f>
        <v>73</v>
      </c>
      <c r="G36" s="233">
        <f>IF(B36="","",SUMIFS(Input_APM!N:N,Input_APM!M:M,Check!$G$1,Input_APM!L:L,Check!B36))</f>
        <v>0</v>
      </c>
      <c r="H36" s="217">
        <f t="shared" si="0"/>
        <v>73</v>
      </c>
      <c r="I36" s="217">
        <f>SUMIFS(Input_APM!N:N,Input_APM!L:L,Check!B36)</f>
        <v>73</v>
      </c>
      <c r="J36" s="219">
        <f t="shared" si="3"/>
        <v>0</v>
      </c>
      <c r="K36" s="22">
        <f>IF(B36="","",SUMIFS('Input_APM (Zenith)'!N:N,'Input_APM (Zenith)'!L:L,Check!B36,'Input_APM (Zenith)'!M:M,Check!$F$1))</f>
        <v>2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75</v>
      </c>
      <c r="O36" t="s">
        <v>2359</v>
      </c>
      <c r="P36" s="217">
        <f>IF(O36="","",IF(OR(LEFT(O36,4)="Cash",LEFT(O36,4)="Prov"),0,SUMIFS(Input_APM!N:N,Input_APM!L:L,Check!O36)))</f>
        <v>-141</v>
      </c>
      <c r="Q36" s="22">
        <f>IF(O36="","",IF(LEN(O36)&gt;9,SUMIFS(Options!$H$3:$H$24,Options!$B$3:$B$24,Check!O36),SUMIFS('Master P&amp;L'!$H$11:$H$85,'Master P&amp;L'!$B$11:$B$85,Check!O36)))</f>
        <v>-150</v>
      </c>
      <c r="R36" s="217">
        <f t="shared" si="1"/>
        <v>9</v>
      </c>
      <c r="S36" s="361">
        <f t="shared" si="2"/>
        <v>0.94</v>
      </c>
      <c r="V36" s="13"/>
    </row>
    <row r="37" spans="1:22">
      <c r="B37" t="s">
        <v>2097</v>
      </c>
      <c r="C37" s="233">
        <f>IF(B37="","",IF(LEN(B37)&gt;9,SUMIFS(Options!$H$3:$H$24,Options!$B$3:$B$24,Check!B37),SUMIFS('Master P&amp;L'!$H$11:$H$85,'Master P&amp;L'!$B$11:$B$85,Check!B37)))</f>
        <v>200</v>
      </c>
      <c r="D37" s="233">
        <f>IF(B37="","",SUMIFS(Input_APM!N:N,Input_APM!L:L,Check!B37,Input_APM!M:M,Check!$F$1))</f>
        <v>186</v>
      </c>
      <c r="E37" s="219">
        <f>IF(B37="","",C37-M37)</f>
        <v>0</v>
      </c>
      <c r="F37" s="233">
        <f>IF(B37="","",SUMIFS(Input_APM!N:N,Input_APM!M:M,Check!$F$1,Input_APM!L:L,Check!B37))</f>
        <v>186</v>
      </c>
      <c r="G37" s="233">
        <f>IF(B37="","",SUMIFS(Input_APM!N:N,Input_APM!M:M,Check!$G$1,Input_APM!L:L,Check!B37))</f>
        <v>0</v>
      </c>
      <c r="H37" s="217">
        <f t="shared" si="0"/>
        <v>186</v>
      </c>
      <c r="I37" s="217">
        <f>SUMIFS(Input_APM!N:N,Input_APM!L:L,Check!B37)</f>
        <v>186</v>
      </c>
      <c r="J37" s="219">
        <f t="shared" si="3"/>
        <v>0</v>
      </c>
      <c r="K37" s="22">
        <f>IF(B37="","",SUMIFS('Input_APM (Zenith)'!N:N,'Input_APM (Zenith)'!L:L,Check!B37,'Input_APM (Zenith)'!M:M,Check!$F$1))</f>
        <v>14</v>
      </c>
      <c r="L37" s="22">
        <f>IF(B37="","",SUMIFS('Input_APM (Zenith)'!N:N,'Input_APM (Zenith)'!L:L,Check!B37,'Input_APM (Zenith)'!M:M,Check!$G$1))</f>
        <v>0</v>
      </c>
      <c r="M37" s="240">
        <f t="shared" si="4"/>
        <v>200</v>
      </c>
      <c r="O37" t="s">
        <v>2357</v>
      </c>
      <c r="P37" s="217">
        <f>IF(O37="","",IF(OR(LEFT(O37,4)="Cash",LEFT(O37,4)="Prov"),0,SUMIFS(Input_APM!N:N,Input_APM!L:L,Check!O37)))</f>
        <v>-141</v>
      </c>
      <c r="Q37" s="22">
        <f>IF(O37="","",IF(LEN(O37)&gt;9,SUMIFS(Options!$H$3:$H$24,Options!$B$3:$B$24,Check!O37),SUMIFS('Master P&amp;L'!$H$11:$H$85,'Master P&amp;L'!$B$11:$B$85,Check!O37)))</f>
        <v>-150</v>
      </c>
      <c r="R37" s="217">
        <f t="shared" si="1"/>
        <v>9</v>
      </c>
      <c r="S37" s="361">
        <f t="shared" si="2"/>
        <v>0.94</v>
      </c>
      <c r="V37" s="13"/>
    </row>
    <row r="38" spans="1:22">
      <c r="B38" t="s">
        <v>2098</v>
      </c>
      <c r="C38" s="233">
        <f>IF(B38="","",IF(LEN(B38)&gt;9,SUMIFS(Options!$H$3:$H$24,Options!$B$3:$B$24,Check!B38),SUMIFS('Master P&amp;L'!$H$11:$H$85,'Master P&amp;L'!$B$11:$B$85,Check!B38)))</f>
        <v>-200</v>
      </c>
      <c r="D38" s="233">
        <f>IF(B38="","",SUMIFS(Input_APM!N:N,Input_APM!L:L,Check!B38,Input_APM!M:M,Check!$F$1))</f>
        <v>-188</v>
      </c>
      <c r="E38" s="217">
        <f t="shared" si="5"/>
        <v>0</v>
      </c>
      <c r="F38" s="233">
        <f>IF(B38="","",SUMIFS(Input_APM!N:N,Input_APM!M:M,Check!$F$1,Input_APM!L:L,Check!B38))</f>
        <v>-188</v>
      </c>
      <c r="G38" s="233">
        <f>IF(B38="","",SUMIFS(Input_APM!N:N,Input_APM!M:M,Check!$G$1,Input_APM!L:L,Check!B38))</f>
        <v>0</v>
      </c>
      <c r="H38" s="217">
        <f t="shared" si="0"/>
        <v>-188</v>
      </c>
      <c r="I38" s="217">
        <f>SUMIFS(Input_APM!N:N,Input_APM!L:L,Check!B38)</f>
        <v>-188</v>
      </c>
      <c r="J38" s="219">
        <f t="shared" si="3"/>
        <v>0</v>
      </c>
      <c r="K38" s="22">
        <f>IF(B38="","",SUMIFS('Input_APM (Zenith)'!N:N,'Input_APM (Zenith)'!L:L,Check!B38,'Input_APM (Zenith)'!M:M,Check!$F$1))</f>
        <v>-12</v>
      </c>
      <c r="L38" s="22">
        <f>IF(B38="","",SUMIFS('Input_APM (Zenith)'!N:N,'Input_APM (Zenith)'!L:L,Check!B38,'Input_APM (Zenith)'!M:M,Check!$G$1))</f>
        <v>0</v>
      </c>
      <c r="M38" s="240">
        <f t="shared" si="4"/>
        <v>-200</v>
      </c>
      <c r="O38" t="s">
        <v>2276</v>
      </c>
      <c r="P38" s="217">
        <f>IF(O38="","",IF(OR(LEFT(O38,4)="Cash",LEFT(O38,4)="Prov"),0,SUMIFS(Input_APM!N:N,Input_APM!L:L,Check!O38)))</f>
        <v>-9374</v>
      </c>
      <c r="Q38" s="22">
        <f>IF(O38="","",IF(LEN(O38)&gt;9,SUMIFS(Options!$H$3:$H$24,Options!$B$3:$B$24,Check!O38),SUMIFS('Master P&amp;L'!$H$11:$H$85,'Master P&amp;L'!$B$11:$B$85,Check!O38)))</f>
        <v>-10000</v>
      </c>
      <c r="R38" s="217">
        <f t="shared" si="1"/>
        <v>626</v>
      </c>
      <c r="S38" s="361">
        <f t="shared" si="2"/>
        <v>0.93740000000000001</v>
      </c>
      <c r="V38" s="13"/>
    </row>
    <row r="39" spans="1:22">
      <c r="B39" t="s">
        <v>2058</v>
      </c>
      <c r="C39" s="233">
        <f>IF(B39="","",IF(LEN(B39)&gt;9,SUMIFS(Options!$H$3:$H$24,Options!$B$3:$B$24,Check!B39),SUMIFS('Master P&amp;L'!$H$11:$H$85,'Master P&amp;L'!$B$11:$B$85,Check!B39)))</f>
        <v>150</v>
      </c>
      <c r="D39" s="233">
        <f>IF(B39="","",SUMIFS(Input_APM!N:N,Input_APM!L:L,Check!B39,Input_APM!M:M,Check!$F$1))</f>
        <v>141</v>
      </c>
      <c r="E39" s="217">
        <f t="shared" si="5"/>
        <v>0</v>
      </c>
      <c r="F39" s="233">
        <f>IF(B39="","",SUMIFS(Input_APM!N:N,Input_APM!M:M,Check!$F$1,Input_APM!L:L,Check!B39))</f>
        <v>141</v>
      </c>
      <c r="G39" s="233">
        <f>IF(B39="","",SUMIFS(Input_APM!N:N,Input_APM!M:M,Check!$G$1,Input_APM!L:L,Check!B39))</f>
        <v>0</v>
      </c>
      <c r="H39" s="217">
        <f t="shared" si="0"/>
        <v>141</v>
      </c>
      <c r="I39" s="217">
        <f>SUMIFS(Input_APM!N:N,Input_APM!L:L,Check!B39)</f>
        <v>141</v>
      </c>
      <c r="J39" s="219">
        <f t="shared" si="3"/>
        <v>0</v>
      </c>
      <c r="K39" s="22">
        <f>IF(B39="","",SUMIFS('Input_APM (Zenith)'!N:N,'Input_APM (Zenith)'!L:L,Check!B39,'Input_APM (Zenith)'!M:M,Check!$F$1))</f>
        <v>9</v>
      </c>
      <c r="L39" s="22">
        <f>IF(B39="","",SUMIFS('Input_APM (Zenith)'!N:N,'Input_APM (Zenith)'!L:L,Check!B39,'Input_APM (Zenith)'!M:M,Check!$G$1))</f>
        <v>0</v>
      </c>
      <c r="M39" s="240">
        <f t="shared" si="4"/>
        <v>150</v>
      </c>
      <c r="O39" t="s">
        <v>2331</v>
      </c>
      <c r="P39" s="217">
        <f>IF(O39="","",IF(OR(LEFT(O39,4)="Cash",LEFT(O39,4)="Prov"),0,SUMIFS(Input_APM!N:N,Input_APM!L:L,Check!O39)))</f>
        <v>10349446</v>
      </c>
      <c r="Q39" s="22">
        <f>IF(O39="","",IF(LEN(O39)&gt;9,SUMIFS(Options!$H$3:$H$24,Options!$B$3:$B$24,Check!O39),SUMIFS('Master P&amp;L'!$H$11:$H$85,'Master P&amp;L'!$B$11:$B$85,Check!O39)))</f>
        <v>0</v>
      </c>
      <c r="R39" s="217">
        <f t="shared" si="1"/>
        <v>10349446</v>
      </c>
      <c r="S39" s="361" t="str">
        <f t="shared" si="2"/>
        <v>Erro</v>
      </c>
      <c r="V39" s="13"/>
    </row>
    <row r="40" spans="1:22">
      <c r="B40" t="s">
        <v>2287</v>
      </c>
      <c r="C40" s="233">
        <f>IF(B40="","",IF(LEN(B40)&gt;9,SUMIFS(Options!$H$3:$H$24,Options!$B$3:$B$24,Check!B40),SUMIFS('Master P&amp;L'!$H$11:$H$85,'Master P&amp;L'!$B$11:$B$85,Check!B40)))</f>
        <v>-150</v>
      </c>
      <c r="D40" s="233">
        <f>IF(B40="","",SUMIFS(Input_APM!N:N,Input_APM!L:L,Check!B40,Input_APM!M:M,Check!$F$1))</f>
        <v>-141</v>
      </c>
      <c r="E40" s="219">
        <f t="shared" si="5"/>
        <v>0</v>
      </c>
      <c r="F40" s="233">
        <f>IF(B40="","",SUMIFS(Input_APM!N:N,Input_APM!M:M,Check!$F$1,Input_APM!L:L,Check!B40))</f>
        <v>-141</v>
      </c>
      <c r="G40" s="233">
        <f>IF(B40="","",SUMIFS(Input_APM!N:N,Input_APM!M:M,Check!$G$1,Input_APM!L:L,Check!B40))</f>
        <v>0</v>
      </c>
      <c r="H40" s="217">
        <f t="shared" si="0"/>
        <v>-141</v>
      </c>
      <c r="I40" s="217">
        <f>SUMIFS(Input_APM!N:N,Input_APM!L:L,Check!B40)</f>
        <v>-141</v>
      </c>
      <c r="J40" s="219">
        <f t="shared" si="3"/>
        <v>0</v>
      </c>
      <c r="K40" s="22">
        <f>IF(B40="","",SUMIFS('Input_APM (Zenith)'!N:N,'Input_APM (Zenith)'!L:L,Check!B40,'Input_APM (Zenith)'!M:M,Check!$F$1))</f>
        <v>-9</v>
      </c>
      <c r="L40" s="22">
        <f>IF(B40="","",SUMIFS('Input_APM (Zenith)'!N:N,'Input_APM (Zenith)'!L:L,Check!B40,'Input_APM (Zenith)'!M:M,Check!$G$1))</f>
        <v>0</v>
      </c>
      <c r="M40" s="240">
        <f t="shared" si="4"/>
        <v>-150</v>
      </c>
      <c r="O40" t="s">
        <v>2063</v>
      </c>
      <c r="P40" s="217">
        <f>IF(O40="","",IF(OR(LEFT(O40,4)="Cash",LEFT(O40,4)="Prov"),0,SUMIFS(Input_APM!N:N,Input_APM!L:L,Check!O40)))</f>
        <v>1780</v>
      </c>
      <c r="Q40" s="22">
        <f>IF(O40="","",IF(LEN(O40)&gt;9,SUMIFS(Options!$H$3:$H$24,Options!$B$3:$B$24,Check!O40),SUMIFS('Master P&amp;L'!$H$11:$H$85,'Master P&amp;L'!$B$11:$B$85,Check!O40)))</f>
        <v>1900</v>
      </c>
      <c r="R40" s="217">
        <f t="shared" si="1"/>
        <v>-120</v>
      </c>
      <c r="S40" s="361">
        <f t="shared" si="2"/>
        <v>0.93684210526315792</v>
      </c>
      <c r="V40" s="13"/>
    </row>
    <row r="41" spans="1:22">
      <c r="B41" t="s">
        <v>2360</v>
      </c>
      <c r="C41" s="233">
        <f>IF(B41="","",IF(LEN(B41)&gt;9,SUMIFS(Options!$H$3:$H$24,Options!$B$3:$B$24,Check!B41),SUMIFS('Master P&amp;L'!$H$11:$H$85,'Master P&amp;L'!$B$11:$B$85,Check!B41)))</f>
        <v>125</v>
      </c>
      <c r="D41" s="233">
        <f>IF(B41="","",SUMIFS(Input_APM!N:N,Input_APM!L:L,Check!B41,Input_APM!M:M,Check!$F$1))</f>
        <v>95</v>
      </c>
      <c r="E41" s="217">
        <f t="shared" si="5"/>
        <v>25</v>
      </c>
      <c r="F41" s="233">
        <f>IF(B41="","",SUMIFS(Input_APM!N:N,Input_APM!M:M,Check!$F$1,Input_APM!L:L,Check!B41))</f>
        <v>95</v>
      </c>
      <c r="G41" s="233">
        <f>IF(B41="","",SUMIFS(Input_APM!N:N,Input_APM!M:M,Check!$G$1,Input_APM!L:L,Check!B41))</f>
        <v>0</v>
      </c>
      <c r="H41" s="217">
        <f t="shared" si="0"/>
        <v>95</v>
      </c>
      <c r="I41" s="217">
        <f>SUMIFS(Input_APM!N:N,Input_APM!L:L,Check!B41)</f>
        <v>95</v>
      </c>
      <c r="J41" s="219">
        <f t="shared" si="3"/>
        <v>0</v>
      </c>
      <c r="K41" s="22">
        <f>IF(B41="","",SUMIFS('Input_APM (Zenith)'!N:N,'Input_APM (Zenith)'!L:L,Check!B41,'Input_APM (Zenith)'!M:M,Check!$F$1))</f>
        <v>5</v>
      </c>
      <c r="L41" s="22">
        <f>IF(B41="","",SUMIFS('Input_APM (Zenith)'!N:N,'Input_APM (Zenith)'!L:L,Check!B41,'Input_APM (Zenith)'!M:M,Check!$G$1))</f>
        <v>0</v>
      </c>
      <c r="M41" s="240">
        <f t="shared" si="4"/>
        <v>100</v>
      </c>
      <c r="O41" t="s">
        <v>2306</v>
      </c>
      <c r="P41" s="217">
        <f>IF(O41="","",IF(OR(LEFT(O41,4)="Cash",LEFT(O41,4)="Prov"),0,SUMIFS(Input_APM!N:N,Input_APM!L:L,Check!O41)))</f>
        <v>56</v>
      </c>
      <c r="Q41" s="22">
        <f>IF(O41="","",IF(LEN(O41)&gt;9,SUMIFS(Options!$H$3:$H$24,Options!$B$3:$B$24,Check!O41),SUMIFS('Master P&amp;L'!$H$11:$H$85,'Master P&amp;L'!$B$11:$B$85,Check!O41)))</f>
        <v>60</v>
      </c>
      <c r="R41" s="217">
        <f t="shared" si="1"/>
        <v>-4</v>
      </c>
      <c r="S41" s="361">
        <f t="shared" si="2"/>
        <v>0.93333333333333335</v>
      </c>
      <c r="V41" s="13"/>
    </row>
    <row r="42" spans="1:22">
      <c r="B42" t="s">
        <v>2311</v>
      </c>
      <c r="C42" s="233">
        <f>IF(B42="","",IF(LEN(B42)&gt;9,SUMIFS(Options!$H$3:$H$24,Options!$B$3:$B$24,Check!B42),SUMIFS('Master P&amp;L'!$H$11:$H$85,'Master P&amp;L'!$B$11:$B$85,Check!B42)))</f>
        <v>25</v>
      </c>
      <c r="D42" s="233">
        <f>IF(B42="","",SUMIFS(Input_APM!N:N,Input_APM!L:L,Check!B42,Input_APM!M:M,Check!$F$1))</f>
        <v>24</v>
      </c>
      <c r="E42" s="219">
        <f t="shared" si="5"/>
        <v>0</v>
      </c>
      <c r="F42" s="233">
        <f>IF(B42="","",SUMIFS(Input_APM!N:N,Input_APM!M:M,Check!$F$1,Input_APM!L:L,Check!B42))</f>
        <v>24</v>
      </c>
      <c r="G42" s="233">
        <f>IF(B42="","",SUMIFS(Input_APM!N:N,Input_APM!M:M,Check!$G$1,Input_APM!L:L,Check!B42))</f>
        <v>0</v>
      </c>
      <c r="H42" s="217">
        <f t="shared" si="0"/>
        <v>24</v>
      </c>
      <c r="I42" s="217">
        <f>SUMIFS(Input_APM!N:N,Input_APM!L:L,Check!B42)</f>
        <v>24</v>
      </c>
      <c r="J42" s="219">
        <f t="shared" si="3"/>
        <v>0</v>
      </c>
      <c r="K42" s="22">
        <f>IF(B42="","",SUMIFS('Input_APM (Zenith)'!N:N,'Input_APM (Zenith)'!L:L,Check!B42,'Input_APM (Zenith)'!M:M,Check!$F$1))</f>
        <v>1</v>
      </c>
      <c r="L42" s="22">
        <f>IF(B42="","",SUMIFS('Input_APM (Zenith)'!N:N,'Input_APM (Zenith)'!L:L,Check!B42,'Input_APM (Zenith)'!M:M,Check!$G$1))</f>
        <v>0</v>
      </c>
      <c r="M42" s="240">
        <f t="shared" si="4"/>
        <v>25</v>
      </c>
      <c r="O42" t="s">
        <v>81</v>
      </c>
      <c r="P42" s="217">
        <f>IF(O42="","",IF(OR(LEFT(O42,4)="Cash",LEFT(O42,4)="Prov"),0,SUMIFS(Input_APM!N:N,Input_APM!L:L,Check!O42)))</f>
        <v>1252</v>
      </c>
      <c r="Q42" s="22">
        <f>IF(O42="","",IF(LEN(O42)&gt;9,SUMIFS(Options!$H$3:$H$24,Options!$B$3:$B$24,Check!O42),SUMIFS('Master P&amp;L'!$H$11:$H$85,'Master P&amp;L'!$B$11:$B$85,Check!O42)))</f>
        <v>763</v>
      </c>
      <c r="R42" s="217">
        <f t="shared" si="1"/>
        <v>489</v>
      </c>
      <c r="S42" s="361">
        <f t="shared" si="2"/>
        <v>1.6408912188728701</v>
      </c>
      <c r="V42" s="13"/>
    </row>
    <row r="43" spans="1:22">
      <c r="A43" t="s">
        <v>1770</v>
      </c>
      <c r="B43" t="s">
        <v>2049</v>
      </c>
      <c r="C43" s="233">
        <f>IF(B43="","",IF(LEN(B43)&gt;9,SUMIFS(Options!$H$3:$H$24,Options!$B$3:$B$24,Check!B43),SUMIFS('Master P&amp;L'!$H$11:$H$85,'Master P&amp;L'!$B$11:$B$85,Check!B43)))</f>
        <v>-50</v>
      </c>
      <c r="D43" s="233">
        <f>IF(B43="","",SUMIFS(Input_APM!N:N,Input_APM!L:L,Check!B43,Input_APM!M:M,Check!$F$1))</f>
        <v>-46</v>
      </c>
      <c r="E43" s="217">
        <f t="shared" si="5"/>
        <v>0</v>
      </c>
      <c r="F43" s="233">
        <f>IF(B43="","",SUMIFS(Input_APM!N:N,Input_APM!M:M,Check!$F$1,Input_APM!L:L,Check!B43))</f>
        <v>-46</v>
      </c>
      <c r="G43" s="233">
        <f>IF(B43="","",SUMIFS(Input_APM!N:N,Input_APM!M:M,Check!$G$1,Input_APM!L:L,Check!B43))</f>
        <v>0</v>
      </c>
      <c r="H43" s="217">
        <f t="shared" si="0"/>
        <v>-46</v>
      </c>
      <c r="I43" s="217">
        <f>SUMIFS(Input_APM!N:N,Input_APM!L:L,Check!B43)</f>
        <v>-46</v>
      </c>
      <c r="J43" s="219">
        <f t="shared" si="3"/>
        <v>0</v>
      </c>
      <c r="K43" s="22">
        <f>IF(B43="","",SUMIFS('Input_APM (Zenith)'!N:N,'Input_APM (Zenith)'!L:L,Check!B43,'Input_APM (Zenith)'!M:M,Check!$F$1))</f>
        <v>-4</v>
      </c>
      <c r="L43" s="22">
        <f>IF(B43="","",SUMIFS('Input_APM (Zenith)'!N:N,'Input_APM (Zenith)'!L:L,Check!B43,'Input_APM (Zenith)'!M:M,Check!$G$1))</f>
        <v>0</v>
      </c>
      <c r="M43" s="217">
        <f t="shared" si="4"/>
        <v>-50</v>
      </c>
      <c r="O43" t="s">
        <v>2068</v>
      </c>
      <c r="P43" s="217">
        <f>IF(O43="","",IF(OR(LEFT(O43,4)="Cash",LEFT(O43,4)="Prov"),0,SUMIFS(Input_APM!N:N,Input_APM!L:L,Check!O43)))</f>
        <v>57</v>
      </c>
      <c r="Q43" s="22">
        <f>IF(O43="","",IF(LEN(O43)&gt;9,SUMIFS(Options!$H$3:$H$24,Options!$B$3:$B$24,Check!O43),SUMIFS('Master P&amp;L'!$H$11:$H$85,'Master P&amp;L'!$B$11:$B$85,Check!O43)))</f>
        <v>60</v>
      </c>
      <c r="R43" s="217">
        <f t="shared" si="1"/>
        <v>-3</v>
      </c>
      <c r="S43" s="361">
        <f t="shared" si="2"/>
        <v>0.95</v>
      </c>
      <c r="V43" s="13"/>
    </row>
    <row r="44" spans="1:22">
      <c r="B44" t="s">
        <v>2302</v>
      </c>
      <c r="C44" s="233">
        <f>IF(B44="","",IF(LEN(B44)&gt;9,SUMIFS(Options!$H$3:$H$24,Options!$B$3:$B$24,Check!B44),SUMIFS('Master P&amp;L'!$H$11:$H$85,'Master P&amp;L'!$B$11:$B$85,Check!B44)))</f>
        <v>0</v>
      </c>
      <c r="D44" s="233">
        <f>IF(B44="","",SUMIFS(Input_APM!N:N,Input_APM!L:L,Check!B44,Input_APM!M:M,Check!$F$1))</f>
        <v>14</v>
      </c>
      <c r="E44" s="217">
        <f>IF(B44="","",C44-M44)</f>
        <v>-15</v>
      </c>
      <c r="F44" s="233">
        <f>IF(B44="","",SUMIFS(Input_APM!N:N,Input_APM!M:M,Check!$F$1,Input_APM!L:L,Check!B44))</f>
        <v>14</v>
      </c>
      <c r="G44" s="233">
        <f>IF(B44="","",SUMIFS(Input_APM!N:N,Input_APM!M:M,Check!$G$1,Input_APM!L:L,Check!B44))</f>
        <v>0</v>
      </c>
      <c r="H44" s="217">
        <f t="shared" si="0"/>
        <v>14</v>
      </c>
      <c r="I44" s="217">
        <f>SUMIFS(Input_APM!N:N,Input_APM!L:L,Check!B44)</f>
        <v>14</v>
      </c>
      <c r="J44" s="219">
        <f t="shared" si="3"/>
        <v>0</v>
      </c>
      <c r="K44" s="22">
        <f>IF(B44="","",SUMIFS('Input_APM (Zenith)'!N:N,'Input_APM (Zenith)'!L:L,Check!B44,'Input_APM (Zenith)'!M:M,Check!$F$1))</f>
        <v>1</v>
      </c>
      <c r="L44" s="22">
        <f>IF(B44="","",SUMIFS('Input_APM (Zenith)'!N:N,'Input_APM (Zenith)'!L:L,Check!B44,'Input_APM (Zenith)'!M:M,Check!$G$1))</f>
        <v>0</v>
      </c>
      <c r="M44" s="217">
        <f t="shared" si="4"/>
        <v>15</v>
      </c>
      <c r="O44" t="s">
        <v>2309</v>
      </c>
      <c r="P44" s="217">
        <f>IF(O44="","",IF(OR(LEFT(O44,4)="Cash",LEFT(O44,4)="Prov"),0,SUMIFS(Input_APM!N:N,Input_APM!L:L,Check!O44)))</f>
        <v>73</v>
      </c>
      <c r="Q44" s="22">
        <f>IF(O44="","",IF(LEN(O44)&gt;9,SUMIFS(Options!$H$3:$H$24,Options!$B$3:$B$24,Check!O44),SUMIFS('Master P&amp;L'!$H$11:$H$85,'Master P&amp;L'!$B$11:$B$85,Check!O44)))</f>
        <v>75</v>
      </c>
      <c r="R44" s="217">
        <f t="shared" si="1"/>
        <v>-2</v>
      </c>
      <c r="S44" s="361">
        <f t="shared" si="2"/>
        <v>0.97333333333333338</v>
      </c>
      <c r="V44" s="13"/>
    </row>
    <row r="45" spans="1:22">
      <c r="B45" t="s">
        <v>2359</v>
      </c>
      <c r="C45" s="233">
        <f>IF(B45="","",IF(LEN(B45)&gt;9,SUMIFS(Options!$H$3:$H$24,Options!$B$3:$B$24,Check!B45),SUMIFS('Master P&amp;L'!$H$11:$H$85,'Master P&amp;L'!$B$11:$B$85,Check!B45)))</f>
        <v>-150</v>
      </c>
      <c r="D45" s="233">
        <f>IF(B45="","",SUMIFS(Input_APM!N:N,Input_APM!L:L,Check!B45,Input_APM!M:M,Check!$F$1))</f>
        <v>-141</v>
      </c>
      <c r="E45" s="217">
        <f t="shared" si="5"/>
        <v>0</v>
      </c>
      <c r="F45" s="233">
        <f>IF(B45="","",SUMIFS(Input_APM!N:N,Input_APM!M:M,Check!$F$1,Input_APM!L:L,Check!B45))</f>
        <v>-141</v>
      </c>
      <c r="G45" s="233">
        <f>IF(B45="","",SUMIFS(Input_APM!N:N,Input_APM!M:M,Check!$G$1,Input_APM!L:L,Check!B45))</f>
        <v>0</v>
      </c>
      <c r="H45" s="217">
        <f t="shared" si="0"/>
        <v>-141</v>
      </c>
      <c r="I45" s="217">
        <f>SUMIFS(Input_APM!N:N,Input_APM!L:L,Check!B45)</f>
        <v>-141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-150</v>
      </c>
      <c r="O45" t="s">
        <v>138</v>
      </c>
      <c r="P45" s="217">
        <f>IF(O45="","",IF(OR(LEFT(O45,4)="Cash",LEFT(O45,4)="Prov"),0,SUMIFS(Input_APM!N:N,Input_APM!L:L,Check!O45)))</f>
        <v>-46</v>
      </c>
      <c r="Q45" s="22">
        <f>IF(O45="","",IF(LEN(O45)&gt;9,SUMIFS(Options!$H$3:$H$24,Options!$B$3:$B$24,Check!O45),SUMIFS('Master P&amp;L'!$H$11:$H$85,'Master P&amp;L'!$B$11:$B$85,Check!O45)))</f>
        <v>-49</v>
      </c>
      <c r="R45" s="217">
        <f t="shared" si="1"/>
        <v>3</v>
      </c>
      <c r="S45" s="361">
        <f t="shared" si="2"/>
        <v>0.93877551020408168</v>
      </c>
      <c r="V45" s="13"/>
    </row>
    <row r="46" spans="1:22">
      <c r="B46" t="s">
        <v>2358</v>
      </c>
      <c r="C46" s="233">
        <f>IF(B46="","",IF(LEN(B46)&gt;9,SUMIFS(Options!$H$3:$H$24,Options!$B$3:$B$24,Check!B46),SUMIFS('Master P&amp;L'!$H$11:$H$85,'Master P&amp;L'!$B$11:$B$85,Check!B46)))</f>
        <v>150</v>
      </c>
      <c r="D46" s="233">
        <f>IF(B46="","",SUMIFS(Input_APM!N:N,Input_APM!L:L,Check!B46,Input_APM!M:M,Check!$F$1))</f>
        <v>144</v>
      </c>
      <c r="E46" s="219">
        <f t="shared" si="5"/>
        <v>0</v>
      </c>
      <c r="F46" s="233">
        <f>IF(B46="","",SUMIFS(Input_APM!N:N,Input_APM!M:M,Check!$F$1,Input_APM!L:L,Check!B46))</f>
        <v>144</v>
      </c>
      <c r="G46" s="233">
        <f>IF(B46="","",SUMIFS(Input_APM!N:N,Input_APM!M:M,Check!$G$1,Input_APM!L:L,Check!B46))</f>
        <v>0</v>
      </c>
      <c r="H46" s="217">
        <f t="shared" si="0"/>
        <v>144</v>
      </c>
      <c r="I46" s="217">
        <f>SUMIFS(Input_APM!N:N,Input_APM!L:L,Check!B46)</f>
        <v>144</v>
      </c>
      <c r="J46" s="219">
        <f t="shared" si="3"/>
        <v>0</v>
      </c>
      <c r="K46" s="22">
        <f>IF(B46="","",SUMIFS('Input_APM (Zenith)'!N:N,'Input_APM (Zenith)'!L:L,Check!B46,'Input_APM (Zenith)'!M:M,Check!$F$1))</f>
        <v>6</v>
      </c>
      <c r="L46" s="22">
        <f>IF(B46="","",SUMIFS('Input_APM (Zenith)'!N:N,'Input_APM (Zenith)'!L:L,Check!B46,'Input_APM (Zenith)'!M:M,Check!$G$1))</f>
        <v>0</v>
      </c>
      <c r="M46" s="217">
        <f t="shared" si="4"/>
        <v>150</v>
      </c>
      <c r="O46" t="s">
        <v>2287</v>
      </c>
      <c r="P46" s="217">
        <f>IF(O46="","",IF(OR(LEFT(O46,4)="Cash",LEFT(O46,4)="Prov"),0,SUMIFS(Input_APM!N:N,Input_APM!L:L,Check!O46)))</f>
        <v>-141</v>
      </c>
      <c r="Q46" s="22">
        <f>IF(O46="","",IF(LEN(O46)&gt;9,SUMIFS(Options!$H$3:$H$24,Options!$B$3:$B$24,Check!O46),SUMIFS('Master P&amp;L'!$H$11:$H$85,'Master P&amp;L'!$B$11:$B$85,Check!O46)))</f>
        <v>-150</v>
      </c>
      <c r="R46" s="217">
        <f t="shared" si="1"/>
        <v>9</v>
      </c>
      <c r="S46" s="361">
        <f t="shared" si="2"/>
        <v>0.94</v>
      </c>
      <c r="V46" s="13"/>
    </row>
    <row r="47" spans="1:22">
      <c r="B47" t="s">
        <v>2357</v>
      </c>
      <c r="C47" s="233">
        <f>IF(B47="","",IF(LEN(B47)&gt;9,SUMIFS(Options!$H$3:$H$24,Options!$B$3:$B$24,Check!B47),SUMIFS('Master P&amp;L'!$H$11:$H$85,'Master P&amp;L'!$B$11:$B$85,Check!B47)))</f>
        <v>-150</v>
      </c>
      <c r="D47" s="233">
        <f>IF(B47="","",SUMIFS(Input_APM!N:N,Input_APM!L:L,Check!B47,Input_APM!M:M,Check!$F$1))</f>
        <v>-141</v>
      </c>
      <c r="E47" s="219">
        <f t="shared" si="5"/>
        <v>0</v>
      </c>
      <c r="F47" s="233">
        <f>IF(B47="","",SUMIFS(Input_APM!N:N,Input_APM!M:M,Check!$F$1,Input_APM!L:L,Check!B47))</f>
        <v>-141</v>
      </c>
      <c r="G47" s="233">
        <f>IF(B47="","",SUMIFS(Input_APM!N:N,Input_APM!M:M,Check!$G$1,Input_APM!L:L,Check!B47))</f>
        <v>0</v>
      </c>
      <c r="H47" s="217">
        <f t="shared" si="0"/>
        <v>-141</v>
      </c>
      <c r="I47" s="217">
        <f>SUMIFS(Input_APM!N:N,Input_APM!L:L,Check!B47)</f>
        <v>-141</v>
      </c>
      <c r="J47" s="219">
        <f t="shared" si="3"/>
        <v>0</v>
      </c>
      <c r="K47" s="22">
        <f>IF(B47="","",SUMIFS('Input_APM (Zenith)'!N:N,'Input_APM (Zenith)'!L:L,Check!B47,'Input_APM (Zenith)'!M:M,Check!$F$1))</f>
        <v>-9</v>
      </c>
      <c r="L47" s="22">
        <f>IF(B47="","",SUMIFS('Input_APM (Zenith)'!N:N,'Input_APM (Zenith)'!L:L,Check!B47,'Input_APM (Zenith)'!M:M,Check!$G$1))</f>
        <v>0</v>
      </c>
      <c r="M47" s="217">
        <f t="shared" si="4"/>
        <v>-150</v>
      </c>
      <c r="O47" t="s">
        <v>2098</v>
      </c>
      <c r="P47" s="217">
        <f>IF(O47="","",IF(OR(LEFT(O47,4)="Cash",LEFT(O47,4)="Prov"),0,SUMIFS(Input_APM!N:N,Input_APM!L:L,Check!O47)))</f>
        <v>-188</v>
      </c>
      <c r="Q47" s="22">
        <f>IF(O47="","",IF(LEN(O47)&gt;9,SUMIFS(Options!$H$3:$H$24,Options!$B$3:$B$24,Check!O47),SUMIFS('Master P&amp;L'!$H$11:$H$85,'Master P&amp;L'!$B$11:$B$85,Check!O47)))</f>
        <v>-200</v>
      </c>
      <c r="R47" s="217">
        <f t="shared" si="1"/>
        <v>12</v>
      </c>
      <c r="S47" s="361">
        <f t="shared" si="2"/>
        <v>0.94</v>
      </c>
    </row>
    <row r="48" spans="1:22">
      <c r="B48" t="s">
        <v>2228</v>
      </c>
      <c r="C48" s="233">
        <f>IF(B48="","",IF(LEN(B48)&gt;9,SUMIFS(Options!$H$3:$H$24,Options!$B$3:$B$24,Check!B48),SUMIFS('Master P&amp;L'!$H$11:$H$85,'Master P&amp;L'!$B$11:$B$85,Check!B48)))</f>
        <v>1550</v>
      </c>
      <c r="D48" s="233">
        <f>IF(B48="","",SUMIFS(Input_APM!N:N,Input_APM!L:L,Check!B48,Input_APM!M:M,Check!$F$1))</f>
        <v>1453</v>
      </c>
      <c r="E48" s="219">
        <f t="shared" si="5"/>
        <v>0</v>
      </c>
      <c r="F48" s="233">
        <f>IF(B48="","",SUMIFS(Input_APM!N:N,Input_APM!M:M,Check!$F$1,Input_APM!L:L,Check!B48))</f>
        <v>1453</v>
      </c>
      <c r="G48" s="233">
        <f>IF(B48="","",SUMIFS(Input_APM!N:N,Input_APM!M:M,Check!$G$1,Input_APM!L:L,Check!B48))</f>
        <v>0</v>
      </c>
      <c r="H48" s="217">
        <f t="shared" si="0"/>
        <v>1453</v>
      </c>
      <c r="I48" s="217">
        <f>SUMIFS(Input_APM!N:N,Input_APM!L:L,Check!B48)</f>
        <v>1453</v>
      </c>
      <c r="J48" s="219">
        <f t="shared" si="3"/>
        <v>0</v>
      </c>
      <c r="K48" s="22">
        <f>IF(B48="","",SUMIFS('Input_APM (Zenith)'!N:N,'Input_APM (Zenith)'!L:L,Check!B48,'Input_APM (Zenith)'!M:M,Check!$F$1))</f>
        <v>97</v>
      </c>
      <c r="L48" s="22">
        <f>IF(B48="","",SUMIFS('Input_APM (Zenith)'!N:N,'Input_APM (Zenith)'!L:L,Check!B48,'Input_APM (Zenith)'!M:M,Check!$G$1))</f>
        <v>0</v>
      </c>
      <c r="M48" s="217">
        <f t="shared" si="4"/>
        <v>1550</v>
      </c>
      <c r="O48" t="s">
        <v>2058</v>
      </c>
      <c r="P48" s="217">
        <f>IF(O48="","",IF(OR(LEFT(O48,4)="Cash",LEFT(O48,4)="Prov"),0,SUMIFS(Input_APM!N:N,Input_APM!L:L,Check!O48)))</f>
        <v>141</v>
      </c>
      <c r="Q48" s="22">
        <f>IF(O48="","",IF(LEN(O48)&gt;9,SUMIFS(Options!$H$3:$H$24,Options!$B$3:$B$24,Check!O48),SUMIFS('Master P&amp;L'!$H$11:$H$85,'Master P&amp;L'!$B$11:$B$85,Check!O48)))</f>
        <v>150</v>
      </c>
      <c r="R48" s="217">
        <f t="shared" si="1"/>
        <v>-9</v>
      </c>
      <c r="S48" s="361">
        <f t="shared" si="2"/>
        <v>0.94</v>
      </c>
    </row>
    <row r="49" spans="1:19">
      <c r="B49" t="s">
        <v>2229</v>
      </c>
      <c r="C49" s="233">
        <f>IF(B49="","",IF(LEN(B49)&gt;9,SUMIFS(Options!$H$3:$H$24,Options!$B$3:$B$24,Check!B49),SUMIFS('Master P&amp;L'!$H$11:$H$85,'Master P&amp;L'!$B$11:$B$85,Check!B49)))</f>
        <v>-1400</v>
      </c>
      <c r="D49" s="233">
        <f>IF(B49="","",SUMIFS(Input_APM!N:N,Input_APM!L:L,Check!B49,Input_APM!M:M,Check!$F$1))</f>
        <v>-1312</v>
      </c>
      <c r="E49" s="219">
        <f t="shared" si="5"/>
        <v>0</v>
      </c>
      <c r="F49" s="233">
        <f>IF(B49="","",SUMIFS(Input_APM!N:N,Input_APM!M:M,Check!$F$1,Input_APM!L:L,Check!B49))</f>
        <v>-1312</v>
      </c>
      <c r="G49" s="233">
        <f>IF(B49="","",SUMIFS(Input_APM!N:N,Input_APM!M:M,Check!$G$1,Input_APM!L:L,Check!B49))</f>
        <v>0</v>
      </c>
      <c r="H49" s="217">
        <f t="shared" si="0"/>
        <v>-1312</v>
      </c>
      <c r="I49" s="217">
        <f>SUMIFS(Input_APM!N:N,Input_APM!L:L,Check!B49)</f>
        <v>-1312</v>
      </c>
      <c r="J49" s="219">
        <f t="shared" si="3"/>
        <v>0</v>
      </c>
      <c r="K49" s="22">
        <f>IF(B49="","",SUMIFS('Input_APM (Zenith)'!N:N,'Input_APM (Zenith)'!L:L,Check!B49,'Input_APM (Zenith)'!M:M,Check!$F$1))</f>
        <v>-88</v>
      </c>
      <c r="L49" s="22">
        <f>IF(B49="","",SUMIFS('Input_APM (Zenith)'!N:N,'Input_APM (Zenith)'!L:L,Check!B49,'Input_APM (Zenith)'!M:M,Check!$G$1))</f>
        <v>0</v>
      </c>
      <c r="M49" s="217">
        <f t="shared" si="4"/>
        <v>-1400</v>
      </c>
      <c r="O49" t="s">
        <v>2097</v>
      </c>
      <c r="P49" s="217">
        <f>IF(O49="","",IF(OR(LEFT(O49,4)="Cash",LEFT(O49,4)="Prov"),0,SUMIFS(Input_APM!N:N,Input_APM!L:L,Check!O49)))</f>
        <v>186</v>
      </c>
      <c r="Q49" s="22">
        <f>IF(O49="","",IF(LEN(O49)&gt;9,SUMIFS(Options!$H$3:$H$24,Options!$B$3:$B$24,Check!O49),SUMIFS('Master P&amp;L'!$H$11:$H$85,'Master P&amp;L'!$B$11:$B$85,Check!O49)))</f>
        <v>200</v>
      </c>
      <c r="R49" s="217">
        <f t="shared" si="1"/>
        <v>-14</v>
      </c>
      <c r="S49" s="361">
        <f t="shared" si="2"/>
        <v>0.93</v>
      </c>
    </row>
    <row r="50" spans="1:19">
      <c r="A50" t="s">
        <v>1770</v>
      </c>
      <c r="B50"/>
      <c r="C50" s="233" t="str">
        <f>IF(B50="","",IF(LEN(B50)&gt;9,SUMIFS(Options!$H$3:$H$24,Options!$B$3:$B$24,Check!B50),SUMIFS('Master P&amp;L'!$H$11:$H$85,'Master P&amp;L'!$B$11:$B$85,Check!B50)))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90</v>
      </c>
      <c r="P50" s="217">
        <f>IF(O50="","",IF(OR(LEFT(O50,4)="Cash",LEFT(O50,4)="Prov"),0,SUMIFS(Input_APM!N:N,Input_APM!L:L,Check!O50)))</f>
        <v>3458</v>
      </c>
      <c r="Q50" s="22">
        <f>IF(O50="","",IF(LEN(O50)&gt;9,SUMIFS(Options!$H$3:$H$24,Options!$B$3:$B$24,Check!O50),SUMIFS('Master P&amp;L'!$H$11:$H$85,'Master P&amp;L'!$B$11:$B$85,Check!O50)))</f>
        <v>2450</v>
      </c>
      <c r="R50" s="217">
        <f t="shared" si="1"/>
        <v>1008</v>
      </c>
      <c r="S50" s="361">
        <f t="shared" si="2"/>
        <v>1.4114285714285715</v>
      </c>
    </row>
    <row r="51" spans="1:19">
      <c r="B51"/>
      <c r="C51" s="233" t="str">
        <f>IF(B51="","",IF(LEN(B51)&gt;9,SUMIFS(Options!$H$3:$H$24,Options!$B$3:$B$24,Check!B51),SUMIFS('Master P&amp;L'!$H$11:$H$85,'Master P&amp;L'!$B$11:$B$85,Check!B51)))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2049</v>
      </c>
      <c r="P51" s="217">
        <f>IF(O51="","",IF(OR(LEFT(O51,4)="Cash",LEFT(O51,4)="Prov"),0,SUMIFS(Input_APM!N:N,Input_APM!L:L,Check!O51)))</f>
        <v>-46</v>
      </c>
      <c r="Q51" s="22">
        <f>IF(O51="","",IF(LEN(O51)&gt;9,SUMIFS(Options!$H$3:$H$24,Options!$B$3:$B$24,Check!O51),SUMIFS('Master P&amp;L'!$H$11:$H$85,'Master P&amp;L'!$B$11:$B$85,Check!O51)))</f>
        <v>-50</v>
      </c>
      <c r="R51" s="217">
        <f t="shared" si="1"/>
        <v>4</v>
      </c>
      <c r="S51" s="361">
        <f t="shared" si="2"/>
        <v>0.92</v>
      </c>
    </row>
    <row r="52" spans="1:19">
      <c r="B52"/>
      <c r="C52" s="233" t="str">
        <f>IF(B52="","",IF(LEN(B52)&gt;9,SUMIFS(Options!$H$3:$H$24,Options!$B$3:$B$24,Check!B52),SUMIFS('Master P&amp;L'!$H$11:$H$85,'Master P&amp;L'!$B$11:$B$85,Check!B52)))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2311</v>
      </c>
      <c r="P52" s="217">
        <f>IF(O52="","",IF(OR(LEFT(O52,4)="Cash",LEFT(O52,4)="Prov"),0,SUMIFS(Input_APM!N:N,Input_APM!L:L,Check!O52)))</f>
        <v>24</v>
      </c>
      <c r="Q52" s="22">
        <f>IF(O52="","",IF(LEN(O52)&gt;9,SUMIFS(Options!$H$3:$H$24,Options!$B$3:$B$24,Check!O52),SUMIFS('Master P&amp;L'!$H$11:$H$85,'Master P&amp;L'!$B$11:$B$85,Check!O52)))</f>
        <v>25</v>
      </c>
      <c r="R52" s="217">
        <f t="shared" si="1"/>
        <v>-1</v>
      </c>
      <c r="S52" s="361">
        <f t="shared" si="2"/>
        <v>0.96</v>
      </c>
    </row>
    <row r="53" spans="1:19">
      <c r="B53"/>
      <c r="C53" s="233" t="str">
        <f>IF(B53="","",IF(LEN(B53)&gt;9,SUMIFS(Options!$H$3:$H$24,Options!$B$3:$B$24,Check!B53),SUMIFS('Master P&amp;L'!$H$11:$H$85,'Master P&amp;L'!$B$11:$B$85,Check!B53)))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2360</v>
      </c>
      <c r="P53" s="217">
        <f>IF(O53="","",IF(OR(LEFT(O53,4)="Cash",LEFT(O53,4)="Prov"),0,SUMIFS(Input_APM!N:N,Input_APM!L:L,Check!O53)))</f>
        <v>95</v>
      </c>
      <c r="Q53" s="22">
        <f>IF(O53="","",IF(LEN(O53)&gt;9,SUMIFS(Options!$H$3:$H$24,Options!$B$3:$B$24,Check!O53),SUMIFS('Master P&amp;L'!$H$11:$H$85,'Master P&amp;L'!$B$11:$B$85,Check!O53)))</f>
        <v>125</v>
      </c>
      <c r="R53" s="217">
        <f t="shared" si="1"/>
        <v>-30</v>
      </c>
      <c r="S53" s="361">
        <f t="shared" si="2"/>
        <v>0.76</v>
      </c>
    </row>
    <row r="54" spans="1:19">
      <c r="B54"/>
      <c r="C54" s="233" t="str">
        <f>IF(B54="","",IF(LEN(B54)&gt;9,SUMIFS(Options!$H$3:$H$24,Options!$B$3:$B$24,Check!B54),SUMIFS('Master P&amp;L'!$H$11:$H$85,'Master P&amp;L'!$B$11:$B$85,Check!B54)))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94</v>
      </c>
      <c r="P54" s="217">
        <f>IF(O54="","",IF(OR(LEFT(O54,4)="Cash",LEFT(O54,4)="Prov"),0,SUMIFS(Input_APM!N:N,Input_APM!L:L,Check!O54)))</f>
        <v>21522</v>
      </c>
      <c r="Q54" s="22">
        <f>IF(O54="","",IF(LEN(O54)&gt;9,SUMIFS(Options!$H$3:$H$24,Options!$B$3:$B$24,Check!O54),SUMIFS('Master P&amp;L'!$H$11:$H$85,'Master P&amp;L'!$B$11:$B$85,Check!O54)))</f>
        <v>23008</v>
      </c>
      <c r="R54" s="217">
        <f t="shared" si="1"/>
        <v>-1486</v>
      </c>
      <c r="S54" s="361">
        <f t="shared" si="2"/>
        <v>0.93541376912378305</v>
      </c>
    </row>
    <row r="55" spans="1:19">
      <c r="B55"/>
      <c r="C55" s="233" t="str">
        <f>IF(B55="","",IF(LEN(B55)&gt;9,SUMIFS(Options!$H$3:$H$24,Options!$B$3:$B$24,Check!B55),SUMIFS('Master P&amp;L'!$H$11:$H$85,'Master P&amp;L'!$B$11:$B$85,Check!B55)))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2313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IF(O55="","",IF(LEN(O55)&gt;9,SUMIFS(Options!$H$3:$H$24,Options!$B$3:$B$24,Check!O55),SUMIFS('Master P&amp;L'!$H$11:$H$85,'Master P&amp;L'!$B$11:$B$85,Check!O55)))</f>
        <v>0</v>
      </c>
      <c r="R55" s="217">
        <f t="shared" si="1"/>
        <v>0</v>
      </c>
      <c r="S55" s="361" t="str">
        <f t="shared" si="2"/>
        <v>Ok</v>
      </c>
    </row>
    <row r="56" spans="1:19">
      <c r="B56"/>
      <c r="C56" s="233" t="str">
        <f>IF(B56="","",IF(LEN(B56)&gt;9,SUMIFS(Options!$H$3:$H$24,Options!$B$3:$B$24,Check!B56),SUMIFS('Master P&amp;L'!$H$11:$H$85,'Master P&amp;L'!$B$11:$B$85,Check!B56)))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336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IF(O56="","",IF(LEN(O56)&gt;9,SUMIFS(Options!$H$3:$H$24,Options!$B$3:$B$24,Check!O56),SUMIFS('Master P&amp;L'!$H$11:$H$85,'Master P&amp;L'!$B$11:$B$85,Check!O56)))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IF(B57="","",IF(LEN(B57)&gt;9,SUMIFS(Options!$H$3:$H$24,Options!$B$3:$B$24,Check!B57),SUMIFS('Master P&amp;L'!$H$11:$H$85,'Master P&amp;L'!$B$11:$B$85,Check!B57)))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306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IF(O57="","",IF(LEN(O57)&gt;9,SUMIFS(Options!$H$3:$H$24,Options!$B$3:$B$24,Check!O57),SUMIFS('Master P&amp;L'!$H$11:$H$85,'Master P&amp;L'!$B$11:$B$85,Check!O57)))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IF(B58="","",IF(LEN(B58)&gt;9,SUMIFS(Options!$H$3:$H$24,Options!$B$3:$B$24,Check!B58),SUMIFS('Master P&amp;L'!$H$11:$H$85,'Master P&amp;L'!$B$11:$B$85,Check!B58)))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2355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IF(O58="","",IF(LEN(O58)&gt;9,SUMIFS(Options!$H$3:$H$24,Options!$B$3:$B$24,Check!O58),SUMIFS('Master P&amp;L'!$H$11:$H$85,'Master P&amp;L'!$B$11:$B$85,Check!O58)))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IF(B59="","",IF(LEN(B59)&gt;9,SUMIFS(Options!$H$3:$H$24,Options!$B$3:$B$24,Check!B59),SUMIFS('Master P&amp;L'!$H$11:$H$85,'Master P&amp;L'!$B$11:$B$85,Check!B59)))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1666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IF(O59="","",IF(LEN(O59)&gt;9,SUMIFS(Options!$H$3:$H$24,Options!$B$3:$B$24,Check!O59),SUMIFS('Master P&amp;L'!$H$11:$H$85,'Master P&amp;L'!$B$11:$B$85,Check!O59)))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IF(B60="","",IF(LEN(B60)&gt;9,SUMIFS(Options!$H$3:$H$24,Options!$B$3:$B$24,Check!B60),SUMIFS('Master P&amp;L'!$H$11:$H$85,'Master P&amp;L'!$B$11:$B$85,Check!B60)))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337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IF(O60="","",IF(LEN(O60)&gt;9,SUMIFS(Options!$H$3:$H$24,Options!$B$3:$B$24,Check!O60),SUMIFS('Master P&amp;L'!$H$11:$H$85,'Master P&amp;L'!$B$11:$B$85,Check!O60)))</f>
        <v>0</v>
      </c>
      <c r="R60" s="217">
        <f t="shared" si="1"/>
        <v>0</v>
      </c>
      <c r="S60" s="361" t="str">
        <f t="shared" si="2"/>
        <v>Ok</v>
      </c>
    </row>
    <row r="61" spans="1:19">
      <c r="B61"/>
      <c r="C61" s="233" t="str">
        <f>IF(B61="","",IF(LEN(B61)&gt;9,SUMIFS(Options!$H$3:$H$24,Options!$B$3:$B$24,Check!B61),SUMIFS('Master P&amp;L'!$H$11:$H$85,'Master P&amp;L'!$B$11:$B$85,Check!B61)))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307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IF(O61="","",IF(LEN(O61)&gt;9,SUMIFS(Options!$H$3:$H$24,Options!$B$3:$B$24,Check!O61),SUMIFS('Master P&amp;L'!$H$11:$H$85,'Master P&amp;L'!$B$11:$B$85,Check!O61)))</f>
        <v>0</v>
      </c>
      <c r="R61" s="217">
        <f t="shared" si="1"/>
        <v>0</v>
      </c>
      <c r="S61" s="361" t="str">
        <f t="shared" si="2"/>
        <v>Ok</v>
      </c>
    </row>
    <row r="62" spans="1:19">
      <c r="B62"/>
      <c r="C62" s="233" t="str">
        <f>IF(B62="","",IF(LEN(B62)&gt;9,SUMIFS(Options!$H$3:$H$24,Options!$B$3:$B$24,Check!B62),SUMIFS('Master P&amp;L'!$H$11:$H$85,'Master P&amp;L'!$B$11:$B$85,Check!B62)))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2321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IF(O62="","",IF(LEN(O62)&gt;9,SUMIFS(Options!$H$3:$H$24,Options!$B$3:$B$24,Check!O62),SUMIFS('Master P&amp;L'!$H$11:$H$85,'Master P&amp;L'!$B$11:$B$85,Check!O62)))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IF(B63="","",IF(LEN(B63)&gt;9,SUMIFS(Options!$H$3:$H$24,Options!$B$3:$B$24,Check!B63),SUMIFS('Master P&amp;L'!$H$11:$H$85,'Master P&amp;L'!$B$11:$B$85,Check!B63)))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2131</v>
      </c>
      <c r="P63" s="217">
        <f>IF(O63="","",IF(OR(LEFT(O63,4)="Cash",LEFT(O63,4)="Prov"),0,SUMIFS(Input_APM!N:N,Input_APM!L:L,Check!O63)))</f>
        <v>25080</v>
      </c>
      <c r="Q63" s="22">
        <f>IF(O63="","",IF(LEN(O63)&gt;9,SUMIFS(Options!$H$3:$H$24,Options!$B$3:$B$24,Check!O63),SUMIFS('Master P&amp;L'!$H$11:$H$85,'Master P&amp;L'!$B$11:$B$85,Check!O63)))</f>
        <v>31600</v>
      </c>
      <c r="R63" s="217">
        <f t="shared" si="1"/>
        <v>-6520</v>
      </c>
      <c r="S63" s="361">
        <f t="shared" si="2"/>
        <v>0.79367088607594938</v>
      </c>
    </row>
    <row r="64" spans="1:19">
      <c r="B64"/>
      <c r="C64" s="233" t="str">
        <f>IF(B64="","",IF(LEN(B64)&gt;9,SUMIFS(Options!$H$3:$H$24,Options!$B$3:$B$24,Check!B64),SUMIFS('Master P&amp;L'!$H$11:$H$85,'Master P&amp;L'!$B$11:$B$85,Check!B64)))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3</v>
      </c>
      <c r="P64" s="217">
        <f>IF(O64="","",IF(OR(LEFT(O64,4)="Cash",LEFT(O64,4)="Prov"),0,SUMIFS(Input_APM!N:N,Input_APM!L:L,Check!O64)))</f>
        <v>-12201</v>
      </c>
      <c r="Q64" s="22">
        <f>IF(O64="","",IF(LEN(O64)&gt;9,SUMIFS(Options!$H$3:$H$24,Options!$B$3:$B$24,Check!O64),SUMIFS('Master P&amp;L'!$H$11:$H$85,'Master P&amp;L'!$B$11:$B$85,Check!O64)))</f>
        <v>-13000</v>
      </c>
      <c r="R64" s="217">
        <f t="shared" si="1"/>
        <v>799</v>
      </c>
      <c r="S64" s="361">
        <f t="shared" si="2"/>
        <v>0.93853846153846154</v>
      </c>
    </row>
    <row r="65" spans="2:19">
      <c r="B65"/>
      <c r="C65" s="233" t="str">
        <f>IF(B65="","",IF(LEN(B65)&gt;9,SUMIFS(Options!$H$3:$H$24,Options!$B$3:$B$24,Check!B65),SUMIFS('Master P&amp;L'!$H$11:$H$85,'Master P&amp;L'!$B$11:$B$85,Check!B65)))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2302</v>
      </c>
      <c r="P65" s="217">
        <f>IF(O65="","",IF(OR(LEFT(O65,4)="Cash",LEFT(O65,4)="Prov"),0,SUMIFS(Input_APM!N:N,Input_APM!L:L,Check!O65)))</f>
        <v>14</v>
      </c>
      <c r="Q65" s="22">
        <f>IF(O65="","",IF(LEN(O65)&gt;9,SUMIFS(Options!$H$3:$H$24,Options!$B$3:$B$24,Check!O65),SUMIFS('Master P&amp;L'!$H$11:$H$85,'Master P&amp;L'!$B$11:$B$85,Check!O65)))</f>
        <v>0</v>
      </c>
      <c r="R65" s="217">
        <f t="shared" si="1"/>
        <v>14</v>
      </c>
      <c r="S65" s="361" t="str">
        <f t="shared" si="2"/>
        <v>Erro</v>
      </c>
    </row>
    <row r="66" spans="2:19">
      <c r="B66"/>
      <c r="C66" s="233" t="str">
        <f>IF(B66="","",IF(LEN(B66)&gt;9,SUMIFS(Options!$H$3:$H$24,Options!$B$3:$B$24,Check!B66),SUMIFS('Master P&amp;L'!$H$11:$H$85,'Master P&amp;L'!$B$11:$B$85,Check!B66)))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2127</v>
      </c>
      <c r="P66" s="217">
        <f>IF(O66="","",IF(OR(LEFT(O66,4)="Cash",LEFT(O66,4)="Prov"),0,SUMIFS(Input_APM!N:N,Input_APM!L:L,Check!O66)))</f>
        <v>0</v>
      </c>
      <c r="Q66" s="22">
        <f>IF(O66="","",IF(LEN(O66)&gt;9,SUMIFS(Options!$H$3:$H$24,Options!$B$3:$B$24,Check!O66),SUMIFS('Master P&amp;L'!$H$11:$H$85,'Master P&amp;L'!$B$11:$B$85,Check!O66)))</f>
        <v>0</v>
      </c>
      <c r="R66" s="217">
        <f t="shared" si="1"/>
        <v>0</v>
      </c>
      <c r="S66" s="361" t="str">
        <f t="shared" si="2"/>
        <v>Ok</v>
      </c>
    </row>
    <row r="67" spans="2:19">
      <c r="B67"/>
      <c r="C67" s="233" t="str">
        <f>IF(B67="","",IF(LEN(B67)&gt;9,SUMIFS(Options!$H$3:$H$24,Options!$B$3:$B$24,Check!B67),SUMIFS('Master P&amp;L'!$H$11:$H$85,'Master P&amp;L'!$B$11:$B$85,Check!B67)))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2314</v>
      </c>
      <c r="P67" s="217">
        <f>IF(O67="","",IF(OR(LEFT(O67,4)="Cash",LEFT(O67,4)="Prov"),0,SUMIFS(Input_APM!N:N,Input_APM!L:L,Check!O67)))</f>
        <v>843</v>
      </c>
      <c r="Q67" s="22">
        <f>IF(O67="","",IF(LEN(O67)&gt;9,SUMIFS(Options!$H$3:$H$24,Options!$B$3:$B$24,Check!O67),SUMIFS('Master P&amp;L'!$H$11:$H$85,'Master P&amp;L'!$B$11:$B$85,Check!O67)))</f>
        <v>0</v>
      </c>
      <c r="R67" s="217">
        <f t="shared" si="1"/>
        <v>843</v>
      </c>
      <c r="S67" s="361" t="str">
        <f t="shared" si="2"/>
        <v>Erro</v>
      </c>
    </row>
    <row r="68" spans="2:19">
      <c r="B68"/>
      <c r="C68" s="233" t="str">
        <f>IF(B68="","",IF(LEN(B68)&gt;9,SUMIFS(Options!$H$3:$H$24,Options!$B$3:$B$24,Check!B68),SUMIFS('Master P&amp;L'!$H$11:$H$85,'Master P&amp;L'!$B$11:$B$85,Check!B68)))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1761</v>
      </c>
      <c r="P68" s="217">
        <f>IF(O68="","",IF(OR(LEFT(O68,4)="Cash",LEFT(O68,4)="Prov"),0,SUMIFS(Input_APM!N:N,Input_APM!L:L,Check!O68)))</f>
        <v>1400</v>
      </c>
      <c r="Q68" s="22">
        <f>IF(O68="","",IF(LEN(O68)&gt;9,SUMIFS(Options!$H$3:$H$24,Options!$B$3:$B$24,Check!O68),SUMIFS('Master P&amp;L'!$H$11:$H$85,'Master P&amp;L'!$B$11:$B$85,Check!O68)))</f>
        <v>0</v>
      </c>
      <c r="R68" s="217">
        <f t="shared" si="1"/>
        <v>1400</v>
      </c>
      <c r="S68" s="361" t="str">
        <f t="shared" si="2"/>
        <v>Erro</v>
      </c>
    </row>
    <row r="69" spans="2:19">
      <c r="B69"/>
      <c r="C69" s="233" t="str">
        <f>IF(B69="","",IF(LEN(B69)&gt;9,SUMIFS(Options!$H$3:$H$24,Options!$B$3:$B$24,Check!B69),SUMIFS('Master P&amp;L'!$H$11:$H$85,'Master P&amp;L'!$B$11:$B$85,Check!B69)))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2356</v>
      </c>
      <c r="P69" s="217">
        <f>IF(O69="","",IF(OR(LEFT(O69,4)="Cash",LEFT(O69,4)="Prov"),0,SUMIFS(Input_APM!N:N,Input_APM!L:L,Check!O69)))</f>
        <v>844</v>
      </c>
      <c r="Q69" s="22">
        <f>IF(O69="","",IF(LEN(O69)&gt;9,SUMIFS(Options!$H$3:$H$24,Options!$B$3:$B$24,Check!O69),SUMIFS('Master P&amp;L'!$H$11:$H$85,'Master P&amp;L'!$B$11:$B$85,Check!O69)))</f>
        <v>0</v>
      </c>
      <c r="R69" s="217">
        <f t="shared" si="1"/>
        <v>844</v>
      </c>
      <c r="S69" s="361" t="str">
        <f t="shared" si="2"/>
        <v>Erro</v>
      </c>
    </row>
    <row r="70" spans="2:19">
      <c r="B70"/>
      <c r="C70" s="233" t="str">
        <f>IF(B70="","",IF(LEN(B70)&gt;9,SUMIFS(Options!$H$3:$H$24,Options!$B$3:$B$24,Check!B70),SUMIFS('Master P&amp;L'!$H$11:$H$85,'Master P&amp;L'!$B$11:$B$85,Check!B70)))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96</v>
      </c>
      <c r="P70" s="217">
        <f>IF(O70="","",IF(OR(LEFT(O70,4)="Cash",LEFT(O70,4)="Prov"),0,SUMIFS(Input_APM!N:N,Input_APM!L:L,Check!O70)))</f>
        <v>3806</v>
      </c>
      <c r="Q70" s="22">
        <f>IF(O70="","",IF(LEN(O70)&gt;9,SUMIFS(Options!$H$3:$H$24,Options!$B$3:$B$24,Check!O70),SUMIFS('Master P&amp;L'!$H$11:$H$85,'Master P&amp;L'!$B$11:$B$85,Check!O70)))</f>
        <v>4100</v>
      </c>
      <c r="R70" s="217">
        <f t="shared" ref="R70:R99" si="10">IF(O70="","",P70-Q70)</f>
        <v>-294</v>
      </c>
      <c r="S70" s="361">
        <f t="shared" ref="S70:S133" si="11">IF(O70="","",IF((P70+Q70)=0,"Ok",IF(OR(P70=0,Q70=0),"Erro",P70/Q70)))</f>
        <v>0.92829268292682932</v>
      </c>
    </row>
    <row r="71" spans="2:19">
      <c r="B71"/>
      <c r="C71" s="233" t="str">
        <f>IF(B71="","",IF(LEN(B71)&gt;9,SUMIFS(Options!$H$3:$H$24,Options!$B$3:$B$24,Check!B71),SUMIFS('Master P&amp;L'!$H$11:$H$85,'Master P&amp;L'!$B$11:$B$85,Check!B71)))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2228</v>
      </c>
      <c r="P71" s="217">
        <f>IF(O71="","",IF(OR(LEFT(O71,4)="Cash",LEFT(O71,4)="Prov"),0,SUMIFS(Input_APM!N:N,Input_APM!L:L,Check!O71)))</f>
        <v>1453</v>
      </c>
      <c r="Q71" s="22">
        <f>IF(O71="","",IF(LEN(O71)&gt;9,SUMIFS(Options!$H$3:$H$24,Options!$B$3:$B$24,Check!O71),SUMIFS('Master P&amp;L'!$H$11:$H$85,'Master P&amp;L'!$B$11:$B$85,Check!O71)))</f>
        <v>1550</v>
      </c>
      <c r="R71" s="217">
        <f t="shared" si="10"/>
        <v>-97</v>
      </c>
      <c r="S71" s="361">
        <f t="shared" si="11"/>
        <v>0.93741935483870964</v>
      </c>
    </row>
    <row r="72" spans="2:19">
      <c r="B72"/>
      <c r="C72" s="233" t="str">
        <f>IF(B72="","",IF(LEN(B72)&gt;9,SUMIFS(Options!$H$3:$H$24,Options!$B$3:$B$24,Check!B72),SUMIFS('Master P&amp;L'!$H$11:$H$85,'Master P&amp;L'!$B$11:$B$85,Check!B72)))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2229</v>
      </c>
      <c r="P72" s="217">
        <f>IF(O72="","",IF(OR(LEFT(O72,4)="Cash",LEFT(O72,4)="Prov"),0,SUMIFS(Input_APM!N:N,Input_APM!L:L,Check!O72)))</f>
        <v>-1312</v>
      </c>
      <c r="Q72" s="22">
        <f>IF(O72="","",IF(LEN(O72)&gt;9,SUMIFS(Options!$H$3:$H$24,Options!$B$3:$B$24,Check!O72),SUMIFS('Master P&amp;L'!$H$11:$H$85,'Master P&amp;L'!$B$11:$B$85,Check!O72)))</f>
        <v>-1400</v>
      </c>
      <c r="R72" s="217">
        <f t="shared" si="10"/>
        <v>88</v>
      </c>
      <c r="S72" s="361">
        <f t="shared" si="11"/>
        <v>0.93714285714285717</v>
      </c>
    </row>
    <row r="73" spans="2:19">
      <c r="B73"/>
      <c r="C73" s="233" t="str">
        <f>IF(B73="","",IF(LEN(B73)&gt;9,SUMIFS(Options!$H$3:$H$24,Options!$B$3:$B$24,Check!B73),SUMIFS('Master P&amp;L'!$H$11:$H$85,'Master P&amp;L'!$B$11:$B$85,Check!B73)))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88</v>
      </c>
      <c r="P73" s="217">
        <f>IF(O73="","",IF(OR(LEFT(O73,4)="Cash",LEFT(O73,4)="Prov"),0,SUMIFS(Input_APM!N:N,Input_APM!L:L,Check!O73)))</f>
        <v>42865</v>
      </c>
      <c r="Q73" s="22">
        <f>IF(O73="","",IF(LEN(O73)&gt;9,SUMIFS(Options!$H$3:$H$24,Options!$B$3:$B$24,Check!O73),SUMIFS('Master P&amp;L'!$H$11:$H$85,'Master P&amp;L'!$B$11:$B$85,Check!O73)))</f>
        <v>45750</v>
      </c>
      <c r="R73" s="217">
        <f t="shared" si="10"/>
        <v>-2885</v>
      </c>
      <c r="S73" s="361">
        <f t="shared" si="11"/>
        <v>0.93693989071038253</v>
      </c>
    </row>
    <row r="74" spans="2:19">
      <c r="B74"/>
      <c r="C74" s="233" t="str">
        <f>IF(B74="","",IF(LEN(B74)&gt;9,SUMIFS(Options!$H$3:$H$24,Options!$B$3:$B$24,Check!B74),SUMIFS('Master P&amp;L'!$H$11:$H$85,'Master P&amp;L'!$B$11:$B$85,Check!B74)))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4</v>
      </c>
      <c r="P74" s="217">
        <f>IF(O74="","",IF(OR(LEFT(O74,4)="Cash",LEFT(O74,4)="Prov"),0,SUMIFS(Input_APM!N:N,Input_APM!L:L,Check!O74)))</f>
        <v>-25765</v>
      </c>
      <c r="Q74" s="22">
        <f>IF(O74="","",IF(LEN(O74)&gt;9,SUMIFS(Options!$H$3:$H$24,Options!$B$3:$B$24,Check!O74),SUMIFS('Master P&amp;L'!$H$11:$H$85,'Master P&amp;L'!$B$11:$B$85,Check!O74)))</f>
        <v>-27500</v>
      </c>
      <c r="R74" s="217">
        <f t="shared" si="10"/>
        <v>1735</v>
      </c>
      <c r="S74" s="361">
        <f t="shared" si="11"/>
        <v>0.93690909090909091</v>
      </c>
    </row>
    <row r="75" spans="2:19">
      <c r="B75"/>
      <c r="C75" s="233" t="str">
        <f>IF(B75="","",IF(LEN(B75)&gt;9,SUMIFS(Options!$H$3:$H$24,Options!$B$3:$B$24,Check!B75),SUMIFS('Master P&amp;L'!$H$11:$H$85,'Master P&amp;L'!$B$11:$B$85,Check!B75)))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 t="s">
        <v>311</v>
      </c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IF(O75="","",IF(LEN(O75)&gt;9,SUMIFS(Options!$H$3:$H$24,Options!$B$3:$B$24,Check!O75),SUMIFS('Master P&amp;L'!$H$11:$H$85,'Master P&amp;L'!$B$11:$B$85,Check!O75)))</f>
        <v/>
      </c>
      <c r="R75" s="217" t="str">
        <f t="shared" si="10"/>
        <v/>
      </c>
      <c r="S75" s="361" t="str">
        <f t="shared" si="11"/>
        <v/>
      </c>
    </row>
    <row r="76" spans="2:19">
      <c r="B76"/>
      <c r="C76" s="233" t="str">
        <f>IF(B76="","",IF(LEN(B76)&gt;9,SUMIFS(Options!$H$3:$H$24,Options!$B$3:$B$24,Check!B76),SUMIFS('Master P&amp;L'!$H$11:$H$85,'Master P&amp;L'!$B$11:$B$85,Check!B76)))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IF(O76="","",IF(LEN(O76)&gt;9,SUMIFS(Options!$H$3:$H$24,Options!$B$3:$B$24,Check!O76),SUMIFS('Master P&amp;L'!$H$11:$H$85,'Master P&amp;L'!$B$11:$B$85,Check!O76)))</f>
        <v/>
      </c>
      <c r="R76" s="217" t="str">
        <f t="shared" si="10"/>
        <v/>
      </c>
      <c r="S76" s="361" t="str">
        <f t="shared" si="11"/>
        <v/>
      </c>
    </row>
    <row r="77" spans="2:19">
      <c r="B77"/>
      <c r="C77" s="233" t="str">
        <f>IF(B77="","",IF(LEN(B77)&gt;9,SUMIFS(Options!$H$3:$H$24,Options!$B$3:$B$24,Check!B77),SUMIFS('Master P&amp;L'!$H$11:$H$85,'Master P&amp;L'!$B$11:$B$85,Check!B77)))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IF(O77="","",IF(LEN(O77)&gt;9,SUMIFS(Options!$H$3:$H$24,Options!$B$3:$B$24,Check!O77),SUMIFS('Master P&amp;L'!$H$11:$H$85,'Master P&amp;L'!$B$11:$B$85,Check!O77)))</f>
        <v/>
      </c>
      <c r="R77" s="217" t="str">
        <f t="shared" si="10"/>
        <v/>
      </c>
      <c r="S77" s="361" t="str">
        <f t="shared" si="11"/>
        <v/>
      </c>
    </row>
    <row r="78" spans="2:19">
      <c r="B78"/>
      <c r="C78" s="233" t="str">
        <f>IF(B78="","",IF(LEN(B78)&gt;9,SUMIFS(Options!$H$3:$H$24,Options!$B$3:$B$24,Check!B78),SUMIFS('Master P&amp;L'!$H$11:$H$85,'Master P&amp;L'!$B$11:$B$85,Check!B78)))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IF(O78="","",IF(LEN(O78)&gt;9,SUMIFS(Options!$H$3:$H$24,Options!$B$3:$B$24,Check!O78),SUMIFS('Master P&amp;L'!$H$11:$H$85,'Master P&amp;L'!$B$11:$B$85,Check!O78)))</f>
        <v/>
      </c>
      <c r="R78" s="217" t="str">
        <f t="shared" si="10"/>
        <v/>
      </c>
      <c r="S78" s="361" t="str">
        <f t="shared" si="11"/>
        <v/>
      </c>
    </row>
    <row r="79" spans="2:19">
      <c r="B79"/>
      <c r="C79" s="233" t="str">
        <f>IF(B79="","",IF(LEN(B79)&gt;9,SUMIFS(Options!$H$3:$H$24,Options!$B$3:$B$24,Check!B79),SUMIFS('Master P&amp;L'!$H$11:$H$85,'Master P&amp;L'!$B$11:$B$85,Check!B79)))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IF(O79="","",IF(LEN(O79)&gt;9,SUMIFS(Options!$H$3:$H$24,Options!$B$3:$B$24,Check!O79),SUMIFS('Master P&amp;L'!$H$11:$H$85,'Master P&amp;L'!$B$11:$B$85,Check!O79)))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IF(B80="","",IF(LEN(B80)&gt;9,SUMIFS(Options!$H$3:$H$24,Options!$B$3:$B$24,Check!B80),SUMIFS('Master P&amp;L'!$H$11:$H$85,'Master P&amp;L'!$B$11:$B$85,Check!B80)))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IF(O80="","",IF(LEN(O80)&gt;9,SUMIFS(Options!$H$3:$H$24,Options!$B$3:$B$24,Check!O80),SUMIFS('Master P&amp;L'!$H$11:$H$85,'Master P&amp;L'!$B$11:$B$85,Check!O80)))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IF(B81="","",IF(LEN(B81)&gt;9,SUMIFS(Options!$H$3:$H$24,Options!$B$3:$B$24,Check!B81),SUMIFS('Master P&amp;L'!$H$11:$H$85,'Master P&amp;L'!$B$11:$B$85,Check!B81)))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IF(O81="","",IF(LEN(O81)&gt;9,SUMIFS(Options!$H$3:$H$24,Options!$B$3:$B$24,Check!O81),SUMIFS('Master P&amp;L'!$H$11:$H$85,'Master P&amp;L'!$B$11:$B$85,Check!O81)))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IF(B82="","",IF(LEN(B82)&gt;9,SUMIFS(Options!$H$3:$H$24,Options!$B$3:$B$24,Check!B82),SUMIFS('Master P&amp;L'!$H$11:$H$85,'Master P&amp;L'!$B$11:$B$85,Check!B82)))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IF(O82="","",IF(LEN(O82)&gt;9,SUMIFS(Options!$H$3:$H$24,Options!$B$3:$B$24,Check!O82),SUMIFS('Master P&amp;L'!$H$11:$H$85,'Master P&amp;L'!$B$11:$B$85,Check!O82)))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IF(B83="","",IF(LEN(B83)&gt;9,SUMIFS(Options!$H$3:$H$24,Options!$B$3:$B$24,Check!B83),SUMIFS('Master P&amp;L'!$H$11:$H$85,'Master P&amp;L'!$B$11:$B$85,Check!B83)))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IF(O83="","",IF(LEN(O83)&gt;9,SUMIFS(Options!$H$3:$H$24,Options!$B$3:$B$24,Check!O83),SUMIFS('Master P&amp;L'!$H$11:$H$85,'Master P&amp;L'!$B$11:$B$85,Check!O83)))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IF(B84="","",IF(LEN(B84)&gt;9,SUMIFS(Options!$H$3:$H$24,Options!$B$3:$B$24,Check!B84),SUMIFS('Master P&amp;L'!$H$11:$H$85,'Master P&amp;L'!$B$11:$B$85,Check!B84)))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IF(O84="","",IF(LEN(O84)&gt;9,SUMIFS(Options!$H$3:$H$24,Options!$B$3:$B$24,Check!O84),SUMIFS('Master P&amp;L'!$H$11:$H$85,'Master P&amp;L'!$B$11:$B$85,Check!O84)))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IF(B85="","",IF(LEN(B85)&gt;9,SUMIFS(Options!$H$3:$H$24,Options!$B$3:$B$24,Check!B85),SUMIFS('Master P&amp;L'!$H$11:$H$85,'Master P&amp;L'!$B$11:$B$85,Check!B85)))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IF(O85="","",IF(LEN(O85)&gt;9,SUMIFS(Options!$H$3:$H$24,Options!$B$3:$B$24,Check!O85),SUMIFS('Master P&amp;L'!$H$11:$H$85,'Master P&amp;L'!$B$11:$B$85,Check!O85)))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IF(B86="","",IF(LEN(B86)&gt;9,SUMIFS(Options!$H$3:$H$24,Options!$B$3:$B$24,Check!B86),SUMIFS('Master P&amp;L'!$H$11:$H$85,'Master P&amp;L'!$B$11:$B$85,Check!B86)))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IF(O86="","",IF(LEN(O86)&gt;9,SUMIFS(Options!$H$3:$H$24,Options!$B$3:$B$24,Check!O86),SUMIFS('Master P&amp;L'!$H$11:$H$85,'Master P&amp;L'!$B$11:$B$85,Check!O86)))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IF(B87="","",IF(LEN(B87)&gt;9,SUMIFS(Options!$H$3:$H$24,Options!$B$3:$B$24,Check!B87),SUMIFS('Master P&amp;L'!$H$11:$H$85,'Master P&amp;L'!$B$11:$B$85,Check!B87)))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IF(O87="","",IF(LEN(O87)&gt;9,SUMIFS(Options!$H$3:$H$24,Options!$B$3:$B$24,Check!O87),SUMIFS('Master P&amp;L'!$H$11:$H$85,'Master P&amp;L'!$B$11:$B$85,Check!O87)))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IF(B88="","",IF(LEN(B88)&gt;9,SUMIFS(Options!$H$3:$H$24,Options!$B$3:$B$24,Check!B88),SUMIFS('Master P&amp;L'!$H$11:$H$85,'Master P&amp;L'!$B$11:$B$85,Check!B88)))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IF(O88="","",IF(LEN(O88)&gt;9,SUMIFS(Options!$H$3:$H$24,Options!$B$3:$B$24,Check!O88),SUMIFS('Master P&amp;L'!$H$11:$H$85,'Master P&amp;L'!$B$11:$B$85,Check!O88)))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IF(B89="","",IF(LEN(B89)&gt;9,SUMIFS(Options!$H$3:$H$24,Options!$B$3:$B$24,Check!B89),SUMIFS('Master P&amp;L'!$H$11:$H$85,'Master P&amp;L'!$B$11:$B$85,Check!B89)))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IF(O89="","",IF(LEN(O89)&gt;9,SUMIFS(Options!$H$3:$H$24,Options!$B$3:$B$24,Check!O89),SUMIFS('Master P&amp;L'!$H$11:$H$85,'Master P&amp;L'!$B$11:$B$85,Check!O89)))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IF(B90="","",IF(LEN(B90)&gt;9,SUMIFS(Options!$H$3:$H$24,Options!$B$3:$B$24,Check!B90),SUMIFS('Master P&amp;L'!$H$11:$H$85,'Master P&amp;L'!$B$11:$B$85,Check!B90)))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IF(O90="","",IF(LEN(O90)&gt;9,SUMIFS(Options!$H$3:$H$24,Options!$B$3:$B$24,Check!O90),SUMIFS('Master P&amp;L'!$H$11:$H$85,'Master P&amp;L'!$B$11:$B$85,Check!O90)))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IF(B91="","",IF(LEN(B91)&gt;9,SUMIFS(Options!$H$3:$H$24,Options!$B$3:$B$24,Check!B91),SUMIFS('Master P&amp;L'!$H$11:$H$85,'Master P&amp;L'!$B$11:$B$85,Check!B91)))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IF(O91="","",IF(LEN(O91)&gt;9,SUMIFS(Options!$H$3:$H$24,Options!$B$3:$B$24,Check!O91),SUMIFS('Master P&amp;L'!$H$11:$H$85,'Master P&amp;L'!$B$11:$B$85,Check!O91)))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IF(B92="","",IF(LEN(B92)&gt;9,SUMIFS(Options!$H$3:$H$24,Options!$B$3:$B$24,Check!B92),SUMIFS('Master P&amp;L'!$H$11:$H$85,'Master P&amp;L'!$B$11:$B$85,Check!B92)))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IF(O92="","",IF(LEN(O92)&gt;9,SUMIFS(Options!$H$3:$H$24,Options!$B$3:$B$24,Check!O92),SUMIFS('Master P&amp;L'!$H$11:$H$85,'Master P&amp;L'!$B$11:$B$85,Check!O92)))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IF(B93="","",IF(LEN(B93)&gt;9,SUMIFS(Options!$H$3:$H$24,Options!$B$3:$B$24,Check!B93),SUMIFS('Master P&amp;L'!$H$11:$H$85,'Master P&amp;L'!$B$11:$B$85,Check!B93)))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IF(O93="","",IF(LEN(O93)&gt;9,SUMIFS(Options!$H$3:$H$24,Options!$B$3:$B$24,Check!O93),SUMIFS('Master P&amp;L'!$H$11:$H$85,'Master P&amp;L'!$B$11:$B$85,Check!O93)))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IF(B94="","",IF(LEN(B94)&gt;9,SUMIFS(Options!$H$3:$H$24,Options!$B$3:$B$24,Check!B94),SUMIFS('Master P&amp;L'!$H$11:$H$85,'Master P&amp;L'!$B$11:$B$85,Check!B94)))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IF(O94="","",IF(LEN(O94)&gt;9,SUMIFS(Options!$H$3:$H$24,Options!$B$3:$B$24,Check!O94),SUMIFS('Master P&amp;L'!$H$11:$H$85,'Master P&amp;L'!$B$11:$B$85,Check!O94)))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IF(B95="","",IF(LEN(B95)&gt;9,SUMIFS(Options!$H$3:$H$24,Options!$B$3:$B$24,Check!B95),SUMIFS('Master P&amp;L'!$H$11:$H$85,'Master P&amp;L'!$B$11:$B$85,Check!B95)))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IF(O95="","",IF(LEN(O95)&gt;9,SUMIFS(Options!$H$3:$H$24,Options!$B$3:$B$24,Check!O95),SUMIFS('Master P&amp;L'!$H$11:$H$85,'Master P&amp;L'!$B$11:$B$85,Check!O95)))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IF(B96="","",IF(LEN(B96)&gt;9,SUMIFS(Options!$H$3:$H$24,Options!$B$3:$B$24,Check!B96),SUMIFS('Master P&amp;L'!$H$11:$H$85,'Master P&amp;L'!$B$11:$B$85,Check!B96)))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IF(O96="","",IF(LEN(O96)&gt;9,SUMIFS(Options!$H$3:$H$24,Options!$B$3:$B$24,Check!O96),SUMIFS('Master P&amp;L'!$H$11:$H$85,'Master P&amp;L'!$B$11:$B$85,Check!O96)))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IF(B97="","",IF(LEN(B97)&gt;9,SUMIFS(Options!$H$3:$H$24,Options!$B$3:$B$24,Check!B97),SUMIFS('Master P&amp;L'!$H$11:$H$85,'Master P&amp;L'!$B$11:$B$85,Check!B97)))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IF(O97="","",IF(LEN(O97)&gt;9,SUMIFS(Options!$H$3:$H$24,Options!$B$3:$B$24,Check!O97),SUMIFS('Master P&amp;L'!$H$11:$H$85,'Master P&amp;L'!$B$11:$B$85,Check!O97)))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IF(B98="","",IF(LEN(B98)&gt;9,SUMIFS(Options!$H$3:$H$24,Options!$B$3:$B$24,Check!B98),SUMIFS('Master P&amp;L'!$H$11:$H$85,'Master P&amp;L'!$B$11:$B$85,Check!B98)))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IF(O98="","",IF(LEN(O98)&gt;9,SUMIFS(Options!$H$3:$H$24,Options!$B$3:$B$24,Check!O98),SUMIFS('Master P&amp;L'!$H$11:$H$85,'Master P&amp;L'!$B$11:$B$85,Check!O98)))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IF(B99="","",IF(LEN(B99)&gt;9,SUMIFS(Options!$H$3:$H$24,Options!$B$3:$B$24,Check!B99),SUMIFS('Master P&amp;L'!$H$11:$H$85,'Master P&amp;L'!$B$11:$B$85,Check!B99)))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IF(O99="","",IF(LEN(O99)&gt;9,SUMIFS(Options!$H$3:$H$24,Options!$B$3:$B$24,Check!O99),SUMIFS('Master P&amp;L'!$H$11:$H$85,'Master P&amp;L'!$B$11:$B$85,Check!O99)))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IF(B100="","",IF(LEN(B100)&gt;9,SUMIFS(Options!$H$3:$H$24,Options!$B$3:$B$24,Check!B100),SUMIFS('Master P&amp;L'!$H$11:$H$85,'Master P&amp;L'!$B$11:$B$85,Check!B100)))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IF(O100="","",IF(LEN(O100)&gt;9,SUMIFS(Options!$H$3:$H$24,Options!$B$3:$B$24,Check!O100),SUMIFS('Master P&amp;L'!$H$11:$H$85,'Master P&amp;L'!$B$11:$B$85,Check!O100)))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IF(B101="","",IF(LEN(B101)&gt;9,SUMIFS(Options!$H$3:$H$24,Options!$B$3:$B$24,Check!B101),SUMIFS('Master P&amp;L'!$H$11:$H$85,'Master P&amp;L'!$B$11:$B$85,Check!B101)))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IF(O101="","",IF(LEN(O101)&gt;9,SUMIFS(Options!$H$3:$H$24,Options!$B$3:$B$24,Check!O101),SUMIFS('Master P&amp;L'!$H$11:$H$85,'Master P&amp;L'!$B$11:$B$85,Check!O101)))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IF(B102="","",IF(LEN(B102)&gt;9,SUMIFS(Options!$H$3:$H$24,Options!$B$3:$B$24,Check!B102),SUMIFS('Master P&amp;L'!$H$11:$H$85,'Master P&amp;L'!$B$11:$B$85,Check!B102)))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IF(O102="","",IF(LEN(O102)&gt;9,SUMIFS(Options!$H$3:$H$24,Options!$B$3:$B$24,Check!O102),SUMIFS('Master P&amp;L'!$H$11:$H$85,'Master P&amp;L'!$B$11:$B$85,Check!O102)))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IF(B103="","",IF(LEN(B103)&gt;9,SUMIFS(Options!$H$3:$H$24,Options!$B$3:$B$24,Check!B103),SUMIFS('Master P&amp;L'!$H$11:$H$85,'Master P&amp;L'!$B$11:$B$85,Check!B103)))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IF(O103="","",IF(LEN(O103)&gt;9,SUMIFS(Options!$H$3:$H$24,Options!$B$3:$B$24,Check!O103),SUMIFS('Master P&amp;L'!$H$11:$H$85,'Master P&amp;L'!$B$11:$B$85,Check!O103)))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IF(B104="","",IF(LEN(B104)&gt;9,SUMIFS(Options!$H$3:$H$24,Options!$B$3:$B$24,Check!B104),SUMIFS('Master P&amp;L'!$H$11:$H$85,'Master P&amp;L'!$B$11:$B$85,Check!B104)))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IF(O104="","",IF(LEN(O104)&gt;9,SUMIFS(Options!$H$3:$H$24,Options!$B$3:$B$24,Check!O104),SUMIFS('Master P&amp;L'!$H$11:$H$85,'Master P&amp;L'!$B$11:$B$85,Check!O104)))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IF(B105="","",IF(LEN(B105)&gt;9,SUMIFS(Options!$H$3:$H$24,Options!$B$3:$B$24,Check!B105),SUMIFS('Master P&amp;L'!$H$11:$H$85,'Master P&amp;L'!$B$11:$B$85,Check!B105)))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IF(O105="","",IF(LEN(O105)&gt;9,SUMIFS(Options!$H$3:$H$24,Options!$B$3:$B$24,Check!O105),SUMIFS('Master P&amp;L'!$H$11:$H$85,'Master P&amp;L'!$B$11:$B$85,Check!O105)))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IF(B106="","",IF(LEN(B106)&gt;9,SUMIFS(Options!$H$3:$H$24,Options!$B$3:$B$24,Check!B106),SUMIFS('Master P&amp;L'!$H$11:$H$85,'Master P&amp;L'!$B$11:$B$85,Check!B106)))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IF(O106="","",IF(LEN(O106)&gt;9,SUMIFS(Options!$H$3:$H$24,Options!$B$3:$B$24,Check!O106),SUMIFS('Master P&amp;L'!$H$11:$H$85,'Master P&amp;L'!$B$11:$B$85,Check!O106)))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IF(B107="","",IF(LEN(B107)&gt;9,SUMIFS(Options!$H$3:$H$24,Options!$B$3:$B$24,Check!B107),SUMIFS('Master P&amp;L'!$H$11:$H$85,'Master P&amp;L'!$B$11:$B$85,Check!B107)))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IF(O107="","",IF(LEN(O107)&gt;9,SUMIFS(Options!$H$3:$H$24,Options!$B$3:$B$24,Check!O107),SUMIFS('Master P&amp;L'!$H$11:$H$85,'Master P&amp;L'!$B$11:$B$85,Check!O107)))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IF(B108="","",IF(LEN(B108)&gt;9,SUMIFS(Options!$H$3:$H$24,Options!$B$3:$B$24,Check!B108),SUMIFS('Master P&amp;L'!$H$11:$H$85,'Master P&amp;L'!$B$11:$B$85,Check!B108)))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IF(O108="","",IF(LEN(O108)&gt;9,SUMIFS(Options!$H$3:$H$24,Options!$B$3:$B$24,Check!O108),SUMIFS('Master P&amp;L'!$H$11:$H$85,'Master P&amp;L'!$B$11:$B$85,Check!O108)))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IF(B109="","",IF(LEN(B109)&gt;9,SUMIFS(Options!$H$3:$H$24,Options!$B$3:$B$24,Check!B109),SUMIFS('Master P&amp;L'!$H$11:$H$85,'Master P&amp;L'!$B$11:$B$85,Check!B109)))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IF(O109="","",IF(LEN(O109)&gt;9,SUMIFS(Options!$H$3:$H$24,Options!$B$3:$B$24,Check!O109),SUMIFS('Master P&amp;L'!$H$11:$H$85,'Master P&amp;L'!$B$11:$B$85,Check!O109)))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IF(B110="","",IF(LEN(B110)&gt;9,SUMIFS(Options!$H$3:$H$24,Options!$B$3:$B$24,Check!B110),SUMIFS('Master P&amp;L'!$H$11:$H$85,'Master P&amp;L'!$B$11:$B$85,Check!B110)))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IF(O110="","",IF(LEN(O110)&gt;9,SUMIFS(Options!$H$3:$H$24,Options!$B$3:$B$24,Check!O110),SUMIFS('Master P&amp;L'!$H$11:$H$85,'Master P&amp;L'!$B$11:$B$85,Check!O110)))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IF(B111="","",IF(LEN(B111)&gt;9,SUMIFS(Options!$H$3:$H$24,Options!$B$3:$B$24,Check!B111),SUMIFS('Master P&amp;L'!$H$11:$H$85,'Master P&amp;L'!$B$11:$B$85,Check!B111)))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IF(O111="","",IF(LEN(O111)&gt;9,SUMIFS(Options!$H$3:$H$24,Options!$B$3:$B$24,Check!O111),SUMIFS('Master P&amp;L'!$H$11:$H$85,'Master P&amp;L'!$B$11:$B$85,Check!O111)))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IF(B112="","",IF(LEN(B112)&gt;9,SUMIFS(Options!$H$3:$H$24,Options!$B$3:$B$24,Check!B112),SUMIFS('Master P&amp;L'!$H$11:$H$85,'Master P&amp;L'!$B$11:$B$85,Check!B112)))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IF(O112="","",IF(LEN(O112)&gt;9,SUMIFS(Options!$H$3:$H$24,Options!$B$3:$B$24,Check!O112),SUMIFS('Master P&amp;L'!$H$11:$H$85,'Master P&amp;L'!$B$11:$B$85,Check!O112)))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IF(B113="","",IF(LEN(B113)&gt;9,SUMIFS(Options!$H$3:$H$24,Options!$B$3:$B$24,Check!B113),SUMIFS('Master P&amp;L'!$H$11:$H$85,'Master P&amp;L'!$B$11:$B$85,Check!B113)))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IF(O113="","",IF(LEN(O113)&gt;9,SUMIFS(Options!$H$3:$H$24,Options!$B$3:$B$24,Check!O113),SUMIFS('Master P&amp;L'!$H$11:$H$85,'Master P&amp;L'!$B$11:$B$85,Check!O113)))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IF(B114="","",IF(LEN(B114)&gt;9,SUMIFS(Options!$H$3:$H$24,Options!$B$3:$B$24,Check!B114),SUMIFS('Master P&amp;L'!$H$11:$H$85,'Master P&amp;L'!$B$11:$B$85,Check!B114)))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IF(O114="","",IF(LEN(O114)&gt;9,SUMIFS(Options!$H$3:$H$24,Options!$B$3:$B$24,Check!O114),SUMIFS('Master P&amp;L'!$H$11:$H$85,'Master P&amp;L'!$B$11:$B$85,Check!O114)))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IF(B115="","",IF(LEN(B115)&gt;9,SUMIFS(Options!$H$3:$H$24,Options!$B$3:$B$24,Check!B115),SUMIFS('Master P&amp;L'!$H$11:$H$85,'Master P&amp;L'!$B$11:$B$85,Check!B115)))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IF(O115="","",IF(LEN(O115)&gt;9,SUMIFS(Options!$H$3:$H$24,Options!$B$3:$B$24,Check!O115),SUMIFS('Master P&amp;L'!$H$11:$H$85,'Master P&amp;L'!$B$11:$B$85,Check!O115)))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IF(B116="","",IF(LEN(B116)&gt;9,SUMIFS(Options!$H$3:$H$24,Options!$B$3:$B$24,Check!B116),SUMIFS('Master P&amp;L'!$H$11:$H$85,'Master P&amp;L'!$B$11:$B$85,Check!B116)))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IF(O116="","",IF(LEN(O116)&gt;9,SUMIFS(Options!$H$3:$H$24,Options!$B$3:$B$24,Check!O116),SUMIFS('Master P&amp;L'!$H$11:$H$85,'Master P&amp;L'!$B$11:$B$85,Check!O116)))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IF(B117="","",IF(LEN(B117)&gt;9,SUMIFS(Options!$H$3:$H$24,Options!$B$3:$B$24,Check!B117),SUMIFS('Master P&amp;L'!$H$11:$H$85,'Master P&amp;L'!$B$11:$B$85,Check!B117)))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IF(O117="","",IF(LEN(O117)&gt;9,SUMIFS(Options!$H$3:$H$24,Options!$B$3:$B$24,Check!O117),SUMIFS('Master P&amp;L'!$H$11:$H$85,'Master P&amp;L'!$B$11:$B$85,Check!O117)))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IF(B118="","",IF(LEN(B118)&gt;9,SUMIFS(Options!$H$3:$H$24,Options!$B$3:$B$24,Check!B118),SUMIFS('Master P&amp;L'!$H$11:$H$85,'Master P&amp;L'!$B$11:$B$85,Check!B118)))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IF(O118="","",IF(LEN(O118)&gt;9,SUMIFS(Options!$H$3:$H$24,Options!$B$3:$B$24,Check!O118),SUMIFS('Master P&amp;L'!$H$11:$H$85,'Master P&amp;L'!$B$11:$B$85,Check!O118)))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IF(B119="","",IF(LEN(B119)&gt;9,SUMIFS(Options!$H$3:$H$24,Options!$B$3:$B$24,Check!B119),SUMIFS('Master P&amp;L'!$H$11:$H$85,'Master P&amp;L'!$B$11:$B$85,Check!B119)))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IF(O119="","",IF(LEN(O119)&gt;9,SUMIFS(Options!$H$3:$H$24,Options!$B$3:$B$24,Check!O119),SUMIFS('Master P&amp;L'!$H$11:$H$85,'Master P&amp;L'!$B$11:$B$85,Check!O119)))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IF(B120="","",IF(LEN(B120)&gt;9,SUMIFS(Options!$H$3:$H$24,Options!$B$3:$B$24,Check!B120),SUMIFS('Master P&amp;L'!$H$11:$H$85,'Master P&amp;L'!$B$11:$B$85,Check!B120)))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IF(O120="","",IF(LEN(O120)&gt;9,SUMIFS(Options!$H$3:$H$24,Options!$B$3:$B$24,Check!O120),SUMIFS('Master P&amp;L'!$H$11:$H$85,'Master P&amp;L'!$B$11:$B$85,Check!O120)))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IF(B121="","",IF(LEN(B121)&gt;9,SUMIFS(Options!$H$3:$H$24,Options!$B$3:$B$24,Check!B121),SUMIFS('Master P&amp;L'!$H$11:$H$85,'Master P&amp;L'!$B$11:$B$85,Check!B121)))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IF(O121="","",IF(LEN(O121)&gt;9,SUMIFS(Options!$H$3:$H$24,Options!$B$3:$B$24,Check!O121),SUMIFS('Master P&amp;L'!$H$11:$H$85,'Master P&amp;L'!$B$11:$B$85,Check!O121)))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IF(B122="","",IF(LEN(B122)&gt;9,SUMIFS(Options!$H$3:$H$24,Options!$B$3:$B$24,Check!B122),SUMIFS('Master P&amp;L'!$H$11:$H$85,'Master P&amp;L'!$B$11:$B$85,Check!B122)))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IF(O122="","",IF(LEN(O122)&gt;9,SUMIFS(Options!$H$3:$H$24,Options!$B$3:$B$24,Check!O122),SUMIFS('Master P&amp;L'!$H$11:$H$85,'Master P&amp;L'!$B$11:$B$85,Check!O122)))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IF(B123="","",IF(LEN(B123)&gt;9,SUMIFS(Options!$H$3:$H$24,Options!$B$3:$B$24,Check!B123),SUMIFS('Master P&amp;L'!$H$11:$H$85,'Master P&amp;L'!$B$11:$B$85,Check!B123)))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IF(O123="","",IF(LEN(O123)&gt;9,SUMIFS(Options!$H$3:$H$24,Options!$B$3:$B$24,Check!O123),SUMIFS('Master P&amp;L'!$H$11:$H$85,'Master P&amp;L'!$B$11:$B$85,Check!O123)))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IF(B124="","",IF(LEN(B124)&gt;9,SUMIFS(Options!$H$3:$H$24,Options!$B$3:$B$24,Check!B124),SUMIFS('Master P&amp;L'!$H$11:$H$85,'Master P&amp;L'!$B$11:$B$85,Check!B124)))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IF(O124="","",IF(LEN(O124)&gt;9,SUMIFS(Options!$H$3:$H$24,Options!$B$3:$B$24,Check!O124),SUMIFS('Master P&amp;L'!$H$11:$H$85,'Master P&amp;L'!$B$11:$B$85,Check!O124)))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IF(B125="","",IF(LEN(B125)&gt;9,SUMIFS(Options!$H$3:$H$24,Options!$B$3:$B$24,Check!B125),SUMIFS('Master P&amp;L'!$H$11:$H$85,'Master P&amp;L'!$B$11:$B$85,Check!B125)))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IF(O125="","",IF(LEN(O125)&gt;9,SUMIFS(Options!$H$3:$H$24,Options!$B$3:$B$24,Check!O125),SUMIFS('Master P&amp;L'!$H$11:$H$85,'Master P&amp;L'!$B$11:$B$85,Check!O125)))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IF(B126="","",IF(LEN(B126)&gt;9,SUMIFS(Options!$H$3:$H$24,Options!$B$3:$B$24,Check!B126),SUMIFS('Master P&amp;L'!$H$11:$H$85,'Master P&amp;L'!$B$11:$B$85,Check!B126)))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IF(O126="","",IF(LEN(O126)&gt;9,SUMIFS(Options!$H$3:$H$24,Options!$B$3:$B$24,Check!O126),SUMIFS('Master P&amp;L'!$H$11:$H$85,'Master P&amp;L'!$B$11:$B$85,Check!O126)))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IF(B127="","",IF(LEN(B127)&gt;9,SUMIFS(Options!$H$3:$H$24,Options!$B$3:$B$24,Check!B127),SUMIFS('Master P&amp;L'!$H$11:$H$85,'Master P&amp;L'!$B$11:$B$85,Check!B127)))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IF(O127="","",IF(LEN(O127)&gt;9,SUMIFS(Options!$H$3:$H$24,Options!$B$3:$B$24,Check!O127),SUMIFS('Master P&amp;L'!$H$11:$H$85,'Master P&amp;L'!$B$11:$B$85,Check!O127)))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IF(B128="","",IF(LEN(B128)&gt;9,SUMIFS(Options!$H$3:$H$24,Options!$B$3:$B$24,Check!B128),SUMIFS('Master P&amp;L'!$H$11:$H$85,'Master P&amp;L'!$B$11:$B$85,Check!B128)))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IF(O128="","",IF(LEN(O128)&gt;9,SUMIFS(Options!$H$3:$H$24,Options!$B$3:$B$24,Check!O128),SUMIFS('Master P&amp;L'!$H$11:$H$85,'Master P&amp;L'!$B$11:$B$85,Check!O128)))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IF(B129="","",IF(LEN(B129)&gt;9,SUMIFS(Options!$H$3:$H$24,Options!$B$3:$B$24,Check!B129),SUMIFS('Master P&amp;L'!$H$11:$H$85,'Master P&amp;L'!$B$11:$B$85,Check!B129)))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IF(O129="","",IF(LEN(O129)&gt;9,SUMIFS(Options!$H$3:$H$24,Options!$B$3:$B$24,Check!O129),SUMIFS('Master P&amp;L'!$H$11:$H$85,'Master P&amp;L'!$B$11:$B$85,Check!O129)))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IF(B130="","",IF(LEN(B130)&gt;9,SUMIFS(Options!$H$3:$H$24,Options!$B$3:$B$24,Check!B130),SUMIFS('Master P&amp;L'!$H$11:$H$85,'Master P&amp;L'!$B$11:$B$85,Check!B130)))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IF(O130="","",IF(LEN(O130)&gt;9,SUMIFS(Options!$H$3:$H$24,Options!$B$3:$B$24,Check!O130),SUMIFS('Master P&amp;L'!$H$11:$H$85,'Master P&amp;L'!$B$11:$B$85,Check!O130)))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IF(B131="","",IF(LEN(B131)&gt;9,SUMIFS(Options!$H$3:$H$24,Options!$B$3:$B$24,Check!B131),SUMIFS('Master P&amp;L'!$H$11:$H$85,'Master P&amp;L'!$B$11:$B$85,Check!B131)))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IF(O131="","",IF(LEN(O131)&gt;9,SUMIFS(Options!$H$3:$H$24,Options!$B$3:$B$24,Check!O131),SUMIFS('Master P&amp;L'!$H$11:$H$85,'Master P&amp;L'!$B$11:$B$85,Check!O131)))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IF(B132="","",IF(LEN(B132)&gt;9,SUMIFS(Options!$H$3:$H$24,Options!$B$3:$B$24,Check!B132),SUMIFS('Master P&amp;L'!$H$11:$H$85,'Master P&amp;L'!$B$11:$B$85,Check!B132)))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IF(O132="","",IF(LEN(O132)&gt;9,SUMIFS(Options!$H$3:$H$24,Options!$B$3:$B$24,Check!O132),SUMIFS('Master P&amp;L'!$H$11:$H$85,'Master P&amp;L'!$B$11:$B$85,Check!O132)))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IF(B133="","",IF(LEN(B133)&gt;9,SUMIFS(Options!$H$3:$H$24,Options!$B$3:$B$24,Check!B133),SUMIFS('Master P&amp;L'!$H$11:$H$85,'Master P&amp;L'!$B$11:$B$85,Check!B133)))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IF(O133="","",IF(LEN(O133)&gt;9,SUMIFS(Options!$H$3:$H$24,Options!$B$3:$B$24,Check!O133),SUMIFS('Master P&amp;L'!$H$11:$H$85,'Master P&amp;L'!$B$11:$B$85,Check!O133)))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IF(B134="","",IF(LEN(B134)&gt;9,SUMIFS(Options!$H$3:$H$24,Options!$B$3:$B$24,Check!B134),SUMIFS('Master P&amp;L'!$H$11:$H$85,'Master P&amp;L'!$B$11:$B$85,Check!B134)))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IF(O134="","",IF(LEN(O134)&gt;9,SUMIFS(Options!$H$3:$H$24,Options!$B$3:$B$24,Check!O134),SUMIFS('Master P&amp;L'!$H$11:$H$85,'Master P&amp;L'!$B$11:$B$85,Check!O134)))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IF(B135="","",IF(LEN(B135)&gt;9,SUMIFS(Options!$H$3:$H$24,Options!$B$3:$B$24,Check!B135),SUMIFS('Master P&amp;L'!$H$11:$H$85,'Master P&amp;L'!$B$11:$B$85,Check!B135)))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IF(O135="","",IF(LEN(O135)&gt;9,SUMIFS(Options!$H$3:$H$24,Options!$B$3:$B$24,Check!O135),SUMIFS('Master P&amp;L'!$H$11:$H$85,'Master P&amp;L'!$B$11:$B$85,Check!O135)))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IF(B136="","",IF(LEN(B136)&gt;9,SUMIFS(Options!$H$3:$H$24,Options!$B$3:$B$24,Check!B136),SUMIFS('Master P&amp;L'!$H$11:$H$85,'Master P&amp;L'!$B$11:$B$85,Check!B136)))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IF(O136="","",IF(LEN(O136)&gt;9,SUMIFS(Options!$H$3:$H$24,Options!$B$3:$B$24,Check!O136),SUMIFS('Master P&amp;L'!$H$11:$H$85,'Master P&amp;L'!$B$11:$B$85,Check!O136)))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IF(B137="","",IF(LEN(B137)&gt;9,SUMIFS(Options!$H$3:$H$24,Options!$B$3:$B$24,Check!B137),SUMIFS('Master P&amp;L'!$H$11:$H$85,'Master P&amp;L'!$B$11:$B$85,Check!B137)))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IF(O137="","",IF(LEN(O137)&gt;9,SUMIFS(Options!$H$3:$H$24,Options!$B$3:$B$24,Check!O137),SUMIFS('Master P&amp;L'!$H$11:$H$85,'Master P&amp;L'!$B$11:$B$85,Check!O137)))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IF(B138="","",IF(LEN(B138)&gt;9,SUMIFS(Options!$H$3:$H$24,Options!$B$3:$B$24,Check!B138),SUMIFS('Master P&amp;L'!$H$11:$H$85,'Master P&amp;L'!$B$11:$B$85,Check!B138)))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IF(O138="","",IF(LEN(O138)&gt;9,SUMIFS(Options!$H$3:$H$24,Options!$B$3:$B$24,Check!O138),SUMIFS('Master P&amp;L'!$H$11:$H$85,'Master P&amp;L'!$B$11:$B$85,Check!O138)))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IF(B139="","",IF(LEN(B139)&gt;9,SUMIFS(Options!$H$3:$H$24,Options!$B$3:$B$24,Check!B139),SUMIFS('Master P&amp;L'!$H$11:$H$85,'Master P&amp;L'!$B$11:$B$85,Check!B139)))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IF(O139="","",IF(LEN(O139)&gt;9,SUMIFS(Options!$H$3:$H$24,Options!$B$3:$B$24,Check!O139),SUMIFS('Master P&amp;L'!$H$11:$H$85,'Master P&amp;L'!$B$11:$B$85,Check!O139)))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IF(B140="","",IF(LEN(B140)&gt;9,SUMIFS(Options!$H$3:$H$24,Options!$B$3:$B$24,Check!B140),SUMIFS('Master P&amp;L'!$H$11:$H$85,'Master P&amp;L'!$B$11:$B$85,Check!B140)))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IF(O140="","",IF(LEN(O140)&gt;9,SUMIFS(Options!$H$3:$H$24,Options!$B$3:$B$24,Check!O140),SUMIFS('Master P&amp;L'!$H$11:$H$85,'Master P&amp;L'!$B$11:$B$85,Check!O140)))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IF(B141="","",IF(LEN(B141)&gt;9,SUMIFS(Options!$H$3:$H$24,Options!$B$3:$B$24,Check!B141),SUMIFS('Master P&amp;L'!$H$11:$H$85,'Master P&amp;L'!$B$11:$B$85,Check!B141)))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IF(O141="","",IF(LEN(O141)&gt;9,SUMIFS(Options!$H$3:$H$24,Options!$B$3:$B$24,Check!O141),SUMIFS('Master P&amp;L'!$H$11:$H$85,'Master P&amp;L'!$B$11:$B$85,Check!O141)))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IF(B142="","",IF(LEN(B142)&gt;9,SUMIFS(Options!$H$3:$H$24,Options!$B$3:$B$24,Check!B142),SUMIFS('Master P&amp;L'!$H$11:$H$85,'Master P&amp;L'!$B$11:$B$85,Check!B142)))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IF(O142="","",IF(LEN(O142)&gt;9,SUMIFS(Options!$H$3:$H$24,Options!$B$3:$B$24,Check!O142),SUMIFS('Master P&amp;L'!$H$11:$H$85,'Master P&amp;L'!$B$11:$B$85,Check!O142)))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IF(B143="","",IF(LEN(B143)&gt;9,SUMIFS(Options!$H$3:$H$24,Options!$B$3:$B$24,Check!B143),SUMIFS('Master P&amp;L'!$H$11:$H$85,'Master P&amp;L'!$B$11:$B$85,Check!B143)))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IF(O143="","",IF(LEN(O143)&gt;9,SUMIFS(Options!$H$3:$H$24,Options!$B$3:$B$24,Check!O143),SUMIFS('Master P&amp;L'!$H$11:$H$85,'Master P&amp;L'!$B$11:$B$85,Check!O143)))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IF(B144="","",IF(LEN(B144)&gt;9,SUMIFS(Options!$H$3:$H$24,Options!$B$3:$B$24,Check!B144),SUMIFS('Master P&amp;L'!$H$11:$H$85,'Master P&amp;L'!$B$11:$B$85,Check!B144)))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IF(O144="","",IF(LEN(O144)&gt;9,SUMIFS(Options!$H$3:$H$24,Options!$B$3:$B$24,Check!O144),SUMIFS('Master P&amp;L'!$H$11:$H$85,'Master P&amp;L'!$B$11:$B$85,Check!O144)))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IF(B145="","",IF(LEN(B145)&gt;9,SUMIFS(Options!$H$3:$H$24,Options!$B$3:$B$24,Check!B145),SUMIFS('Master P&amp;L'!$H$11:$H$85,'Master P&amp;L'!$B$11:$B$85,Check!B145)))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IF(O145="","",IF(LEN(O145)&gt;9,SUMIFS(Options!$H$3:$H$24,Options!$B$3:$B$24,Check!O145),SUMIFS('Master P&amp;L'!$H$11:$H$85,'Master P&amp;L'!$B$11:$B$85,Check!O145)))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IF(B146="","",IF(LEN(B146)&gt;9,SUMIFS(Options!$H$3:$H$24,Options!$B$3:$B$24,Check!B146),SUMIFS('Master P&amp;L'!$H$11:$H$85,'Master P&amp;L'!$B$11:$B$85,Check!B146)))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IF(O146="","",IF(LEN(O146)&gt;9,SUMIFS(Options!$H$3:$H$24,Options!$B$3:$B$24,Check!O146),SUMIFS('Master P&amp;L'!$H$11:$H$85,'Master P&amp;L'!$B$11:$B$85,Check!O146)))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IF(B147="","",IF(LEN(B147)&gt;9,SUMIFS(Options!$H$3:$H$24,Options!$B$3:$B$24,Check!B147),SUMIFS('Master P&amp;L'!$H$11:$H$85,'Master P&amp;L'!$B$11:$B$85,Check!B147)))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IF(O147="","",IF(LEN(O147)&gt;9,SUMIFS(Options!$H$3:$H$24,Options!$B$3:$B$24,Check!O147),SUMIFS('Master P&amp;L'!$H$11:$H$85,'Master P&amp;L'!$B$11:$B$85,Check!O147)))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IF(B148="","",IF(LEN(B148)&gt;9,SUMIFS(Options!$H$3:$H$24,Options!$B$3:$B$24,Check!B148),SUMIFS('Master P&amp;L'!$H$11:$H$85,'Master P&amp;L'!$B$11:$B$85,Check!B148)))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IF(O148="","",IF(LEN(O148)&gt;9,SUMIFS(Options!$H$3:$H$24,Options!$B$3:$B$24,Check!O148),SUMIFS('Master P&amp;L'!$H$11:$H$85,'Master P&amp;L'!$B$11:$B$85,Check!O148)))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IF(B149="","",IF(LEN(B149)&gt;9,SUMIFS(Options!$H$3:$H$24,Options!$B$3:$B$24,Check!B149),SUMIFS('Master P&amp;L'!$H$11:$H$85,'Master P&amp;L'!$B$11:$B$85,Check!B149)))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IF(O149="","",IF(LEN(O149)&gt;9,SUMIFS(Options!$H$3:$H$24,Options!$B$3:$B$24,Check!O149),SUMIFS('Master P&amp;L'!$H$11:$H$85,'Master P&amp;L'!$B$11:$B$85,Check!O149)))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IF(B150="","",IF(LEN(B150)&gt;9,SUMIFS(Options!$H$3:$H$24,Options!$B$3:$B$24,Check!B150),SUMIFS('Master P&amp;L'!$H$11:$H$85,'Master P&amp;L'!$B$11:$B$85,Check!B150)))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IF(O150="","",IF(LEN(O150)&gt;9,SUMIFS(Options!$H$3:$H$24,Options!$B$3:$B$24,Check!O150),SUMIFS('Master P&amp;L'!$H$11:$H$85,'Master P&amp;L'!$B$11:$B$85,Check!O150)))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IF(B151="","",IF(LEN(B151)&gt;9,SUMIFS(Options!$H$3:$H$24,Options!$B$3:$B$24,Check!B151),SUMIFS('Master P&amp;L'!$H$11:$H$85,'Master P&amp;L'!$B$11:$B$85,Check!B151)))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IF(O151="","",IF(LEN(O151)&gt;9,SUMIFS(Options!$H$3:$H$24,Options!$B$3:$B$24,Check!O151),SUMIFS('Master P&amp;L'!$H$11:$H$85,'Master P&amp;L'!$B$11:$B$85,Check!O151)))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IF(B152="","",IF(LEN(B152)&gt;9,SUMIFS(Options!$H$3:$H$24,Options!$B$3:$B$24,Check!B152),SUMIFS('Master P&amp;L'!$H$11:$H$85,'Master P&amp;L'!$B$11:$B$85,Check!B152)))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IF(O152="","",IF(LEN(O152)&gt;9,SUMIFS(Options!$H$3:$H$24,Options!$B$3:$B$24,Check!O152),SUMIFS('Master P&amp;L'!$H$11:$H$85,'Master P&amp;L'!$B$11:$B$85,Check!O152)))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IF(B153="","",IF(LEN(B153)&gt;9,SUMIFS(Options!$H$3:$H$24,Options!$B$3:$B$24,Check!B153),SUMIFS('Master P&amp;L'!$H$11:$H$85,'Master P&amp;L'!$B$11:$B$85,Check!B153)))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IF(O153="","",IF(LEN(O153)&gt;9,SUMIFS(Options!$H$3:$H$24,Options!$B$3:$B$24,Check!O153),SUMIFS('Master P&amp;L'!$H$11:$H$85,'Master P&amp;L'!$B$11:$B$85,Check!O153)))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IF(B154="","",IF(LEN(B154)&gt;9,SUMIFS(Options!$H$3:$H$24,Options!$B$3:$B$24,Check!B154),SUMIFS('Master P&amp;L'!$H$11:$H$85,'Master P&amp;L'!$B$11:$B$85,Check!B154)))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IF(O154="","",IF(LEN(O154)&gt;9,SUMIFS(Options!$H$3:$H$24,Options!$B$3:$B$24,Check!O154),SUMIFS('Master P&amp;L'!$H$11:$H$85,'Master P&amp;L'!$B$11:$B$85,Check!O154)))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IF(B155="","",IF(LEN(B155)&gt;9,SUMIFS(Options!$H$3:$H$24,Options!$B$3:$B$24,Check!B155),SUMIFS('Master P&amp;L'!$H$11:$H$85,'Master P&amp;L'!$B$11:$B$85,Check!B155)))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IF(O155="","",IF(LEN(O155)&gt;9,SUMIFS(Options!$H$3:$H$24,Options!$B$3:$B$24,Check!O155),SUMIFS('Master P&amp;L'!$H$11:$H$85,'Master P&amp;L'!$B$11:$B$85,Check!O155)))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IF(B156="","",IF(LEN(B156)&gt;9,SUMIFS(Options!$H$3:$H$24,Options!$B$3:$B$24,Check!B156),SUMIFS('Master P&amp;L'!$H$11:$H$85,'Master P&amp;L'!$B$11:$B$85,Check!B156)))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IF(O156="","",IF(LEN(O156)&gt;9,SUMIFS(Options!$H$3:$H$24,Options!$B$3:$B$24,Check!O156),SUMIFS('Master P&amp;L'!$H$11:$H$85,'Master P&amp;L'!$B$11:$B$85,Check!O156)))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IF(B157="","",IF(LEN(B157)&gt;9,SUMIFS(Options!$H$3:$H$24,Options!$B$3:$B$24,Check!B157),SUMIFS('Master P&amp;L'!$H$11:$H$85,'Master P&amp;L'!$B$11:$B$85,Check!B157)))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IF(O157="","",IF(LEN(O157)&gt;9,SUMIFS(Options!$H$3:$H$24,Options!$B$3:$B$24,Check!O157),SUMIFS('Master P&amp;L'!$H$11:$H$85,'Master P&amp;L'!$B$11:$B$85,Check!O157)))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IF(B158="","",IF(LEN(B158)&gt;9,SUMIFS(Options!$H$3:$H$24,Options!$B$3:$B$24,Check!B158),SUMIFS('Master P&amp;L'!$H$11:$H$85,'Master P&amp;L'!$B$11:$B$85,Check!B158)))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IF(O158="","",IF(LEN(O158)&gt;9,SUMIFS(Options!$H$3:$H$24,Options!$B$3:$B$24,Check!O158),SUMIFS('Master P&amp;L'!$H$11:$H$85,'Master P&amp;L'!$B$11:$B$85,Check!O158)))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IF(B159="","",IF(LEN(B159)&gt;9,SUMIFS(Options!$H$3:$H$24,Options!$B$3:$B$24,Check!B159),SUMIFS('Master P&amp;L'!$H$11:$H$85,'Master P&amp;L'!$B$11:$B$85,Check!B159)))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IF(O159="","",IF(LEN(O159)&gt;9,SUMIFS(Options!$H$3:$H$24,Options!$B$3:$B$24,Check!O159),SUMIFS('Master P&amp;L'!$H$11:$H$85,'Master P&amp;L'!$B$11:$B$85,Check!O159)))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IF(B160="","",IF(LEN(B160)&gt;9,SUMIFS(Options!$H$3:$H$24,Options!$B$3:$B$24,Check!B160),SUMIFS('Master P&amp;L'!$H$11:$H$85,'Master P&amp;L'!$B$11:$B$85,Check!B160)))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IF(O160="","",IF(LEN(O160)&gt;9,SUMIFS(Options!$H$3:$H$24,Options!$B$3:$B$24,Check!O160),SUMIFS('Master P&amp;L'!$H$11:$H$85,'Master P&amp;L'!$B$11:$B$85,Check!O160)))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IF(B161="","",IF(LEN(B161)&gt;9,SUMIFS(Options!$H$3:$H$24,Options!$B$3:$B$24,Check!B161),SUMIFS('Master P&amp;L'!$H$11:$H$85,'Master P&amp;L'!$B$11:$B$85,Check!B161)))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IF(O161="","",IF(LEN(O161)&gt;9,SUMIFS(Options!$H$3:$H$24,Options!$B$3:$B$24,Check!O161),SUMIFS('Master P&amp;L'!$H$11:$H$85,'Master P&amp;L'!$B$11:$B$85,Check!O161)))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IF(B162="","",IF(LEN(B162)&gt;9,SUMIFS(Options!$H$3:$H$24,Options!$B$3:$B$24,Check!B162),SUMIFS('Master P&amp;L'!$H$11:$H$85,'Master P&amp;L'!$B$11:$B$85,Check!B162)))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IF(O162="","",IF(LEN(O162)&gt;9,SUMIFS(Options!$H$3:$H$24,Options!$B$3:$B$24,Check!O162),SUMIFS('Master P&amp;L'!$H$11:$H$85,'Master P&amp;L'!$B$11:$B$85,Check!O162)))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IF(B163="","",IF(LEN(B163)&gt;9,SUMIFS(Options!$H$3:$H$24,Options!$B$3:$B$24,Check!B163),SUMIFS('Master P&amp;L'!$H$11:$H$85,'Master P&amp;L'!$B$11:$B$85,Check!B163)))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IF(O163="","",IF(LEN(O163)&gt;9,SUMIFS(Options!$H$3:$H$24,Options!$B$3:$B$24,Check!O163),SUMIFS('Master P&amp;L'!$H$11:$H$85,'Master P&amp;L'!$B$11:$B$85,Check!O163)))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IF(B164="","",IF(LEN(B164)&gt;9,SUMIFS(Options!$H$3:$H$24,Options!$B$3:$B$24,Check!B164),SUMIFS('Master P&amp;L'!$H$11:$H$85,'Master P&amp;L'!$B$11:$B$85,Check!B164)))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IF(O164="","",IF(LEN(O164)&gt;9,SUMIFS(Options!$H$3:$H$24,Options!$B$3:$B$24,Check!O164),SUMIFS('Master P&amp;L'!$H$11:$H$85,'Master P&amp;L'!$B$11:$B$85,Check!O164)))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IF(B165="","",IF(LEN(B165)&gt;9,SUMIFS(Options!$H$3:$H$24,Options!$B$3:$B$24,Check!B165),SUMIFS('Master P&amp;L'!$H$11:$H$85,'Master P&amp;L'!$B$11:$B$85,Check!B165)))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IF(O165="","",IF(LEN(O165)&gt;9,SUMIFS(Options!$H$3:$H$24,Options!$B$3:$B$24,Check!O165),SUMIFS('Master P&amp;L'!$H$11:$H$85,'Master P&amp;L'!$B$11:$B$85,Check!O165)))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IF(B166="","",IF(LEN(B166)&gt;9,SUMIFS(Options!$H$3:$H$24,Options!$B$3:$B$24,Check!B166),SUMIFS('Master P&amp;L'!$H$11:$H$85,'Master P&amp;L'!$B$11:$B$85,Check!B166)))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IF(O166="","",IF(LEN(O166)&gt;9,SUMIFS(Options!$H$3:$H$24,Options!$B$3:$B$24,Check!O166),SUMIFS('Master P&amp;L'!$H$11:$H$85,'Master P&amp;L'!$B$11:$B$85,Check!O166)))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IF(B167="","",IF(LEN(B167)&gt;9,SUMIFS(Options!$H$3:$H$24,Options!$B$3:$B$24,Check!B167),SUMIFS('Master P&amp;L'!$H$11:$H$85,'Master P&amp;L'!$B$11:$B$85,Check!B167)))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IF(O167="","",IF(LEN(O167)&gt;9,SUMIFS(Options!$H$3:$H$24,Options!$B$3:$B$24,Check!O167),SUMIFS('Master P&amp;L'!$H$11:$H$85,'Master P&amp;L'!$B$11:$B$85,Check!O167)))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IF(B168="","",IF(LEN(B168)&gt;9,SUMIFS(Options!$H$3:$H$24,Options!$B$3:$B$24,Check!B168),SUMIFS('Master P&amp;L'!$H$11:$H$85,'Master P&amp;L'!$B$11:$B$85,Check!B168)))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IF(O168="","",IF(LEN(O168)&gt;9,SUMIFS(Options!$H$3:$H$24,Options!$B$3:$B$24,Check!O168),SUMIFS('Master P&amp;L'!$H$11:$H$85,'Master P&amp;L'!$B$11:$B$85,Check!O168)))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IF(B169="","",IF(LEN(B169)&gt;9,SUMIFS(Options!$H$3:$H$24,Options!$B$3:$B$24,Check!B169),SUMIFS('Master P&amp;L'!$H$11:$H$85,'Master P&amp;L'!$B$11:$B$85,Check!B169)))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IF(O169="","",IF(LEN(O169)&gt;9,SUMIFS(Options!$H$3:$H$24,Options!$B$3:$B$24,Check!O169),SUMIFS('Master P&amp;L'!$H$11:$H$85,'Master P&amp;L'!$B$11:$B$85,Check!O169)))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IF(B170="","",IF(LEN(B170)&gt;9,SUMIFS(Options!$H$3:$H$24,Options!$B$3:$B$24,Check!B170),SUMIFS('Master P&amp;L'!$H$11:$H$85,'Master P&amp;L'!$B$11:$B$85,Check!B170)))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IF(O170="","",IF(LEN(O170)&gt;9,SUMIFS(Options!$H$3:$H$24,Options!$B$3:$B$24,Check!O170),SUMIFS('Master P&amp;L'!$H$11:$H$85,'Master P&amp;L'!$B$11:$B$85,Check!O170)))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IF(B171="","",IF(LEN(B171)&gt;9,SUMIFS(Options!$H$3:$H$24,Options!$B$3:$B$24,Check!B171),SUMIFS('Master P&amp;L'!$H$11:$H$85,'Master P&amp;L'!$B$11:$B$85,Check!B171)))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IF(O171="","",IF(LEN(O171)&gt;9,SUMIFS(Options!$H$3:$H$24,Options!$B$3:$B$24,Check!O171),SUMIFS('Master P&amp;L'!$H$11:$H$85,'Master P&amp;L'!$B$11:$B$85,Check!O171)))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IF(B172="","",IF(LEN(B172)&gt;9,SUMIFS(Options!$H$3:$H$24,Options!$B$3:$B$24,Check!B172),SUMIFS('Master P&amp;L'!$H$11:$H$85,'Master P&amp;L'!$B$11:$B$85,Check!B172)))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IF(O172="","",IF(LEN(O172)&gt;9,SUMIFS(Options!$H$3:$H$24,Options!$B$3:$B$24,Check!O172),SUMIFS('Master P&amp;L'!$H$11:$H$85,'Master P&amp;L'!$B$11:$B$85,Check!O172)))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IF(B173="","",IF(LEN(B173)&gt;9,SUMIFS(Options!$H$3:$H$24,Options!$B$3:$B$24,Check!B173),SUMIFS('Master P&amp;L'!$H$11:$H$85,'Master P&amp;L'!$B$11:$B$85,Check!B173)))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IF(O173="","",IF(LEN(O173)&gt;9,SUMIFS(Options!$H$3:$H$24,Options!$B$3:$B$24,Check!O173),SUMIFS('Master P&amp;L'!$H$11:$H$85,'Master P&amp;L'!$B$11:$B$85,Check!O173)))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IF(B174="","",IF(LEN(B174)&gt;9,SUMIFS(Options!$H$3:$H$24,Options!$B$3:$B$24,Check!B174),SUMIFS('Master P&amp;L'!$H$11:$H$85,'Master P&amp;L'!$B$11:$B$85,Check!B174)))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IF(O174="","",IF(LEN(O174)&gt;9,SUMIFS(Options!$H$3:$H$24,Options!$B$3:$B$24,Check!O174),SUMIFS('Master P&amp;L'!$H$11:$H$85,'Master P&amp;L'!$B$11:$B$85,Check!O174)))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IF(B175="","",IF(LEN(B175)&gt;9,SUMIFS(Options!$H$3:$H$24,Options!$B$3:$B$24,Check!B175),SUMIFS('Master P&amp;L'!$H$11:$H$85,'Master P&amp;L'!$B$11:$B$85,Check!B175)))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IF(O175="","",IF(LEN(O175)&gt;9,SUMIFS(Options!$H$3:$H$24,Options!$B$3:$B$24,Check!O175),SUMIFS('Master P&amp;L'!$H$11:$H$85,'Master P&amp;L'!$B$11:$B$85,Check!O175)))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IF(B176="","",IF(LEN(B176)&gt;9,SUMIFS(Options!$H$3:$H$24,Options!$B$3:$B$24,Check!B176),SUMIFS('Master P&amp;L'!$H$11:$H$85,'Master P&amp;L'!$B$11:$B$85,Check!B176)))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IF(O176="","",IF(LEN(O176)&gt;9,SUMIFS(Options!$H$3:$H$24,Options!$B$3:$B$24,Check!O176),SUMIFS('Master P&amp;L'!$H$11:$H$85,'Master P&amp;L'!$B$11:$B$85,Check!O176)))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IF(B177="","",IF(LEN(B177)&gt;9,SUMIFS(Options!$H$3:$H$24,Options!$B$3:$B$24,Check!B177),SUMIFS('Master P&amp;L'!$H$11:$H$85,'Master P&amp;L'!$B$11:$B$85,Check!B177)))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IF(O177="","",IF(LEN(O177)&gt;9,SUMIFS(Options!$H$3:$H$24,Options!$B$3:$B$24,Check!O177),SUMIFS('Master P&amp;L'!$H$11:$H$85,'Master P&amp;L'!$B$11:$B$85,Check!O177)))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IF(B178="","",IF(LEN(B178)&gt;9,SUMIFS(Options!$H$3:$H$24,Options!$B$3:$B$24,Check!B178),SUMIFS('Master P&amp;L'!$H$11:$H$85,'Master P&amp;L'!$B$11:$B$85,Check!B178)))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IF(O178="","",IF(LEN(O178)&gt;9,SUMIFS(Options!$H$3:$H$24,Options!$B$3:$B$24,Check!O178),SUMIFS('Master P&amp;L'!$H$11:$H$85,'Master P&amp;L'!$B$11:$B$85,Check!O178)))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IF(B179="","",IF(LEN(B179)&gt;9,SUMIFS(Options!$H$3:$H$24,Options!$B$3:$B$24,Check!B179),SUMIFS('Master P&amp;L'!$H$11:$H$85,'Master P&amp;L'!$B$11:$B$85,Check!B179)))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IF(O179="","",IF(LEN(O179)&gt;9,SUMIFS(Options!$H$3:$H$24,Options!$B$3:$B$24,Check!O179),SUMIFS('Master P&amp;L'!$H$11:$H$85,'Master P&amp;L'!$B$11:$B$85,Check!O179)))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IF(B180="","",IF(LEN(B180)&gt;9,SUMIFS(Options!$H$3:$H$24,Options!$B$3:$B$24,Check!B180),SUMIFS('Master P&amp;L'!$H$11:$H$85,'Master P&amp;L'!$B$11:$B$85,Check!B180)))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IF(O180="","",IF(LEN(O180)&gt;9,SUMIFS(Options!$H$3:$H$24,Options!$B$3:$B$24,Check!O180),SUMIFS('Master P&amp;L'!$H$11:$H$85,'Master P&amp;L'!$B$11:$B$85,Check!O180)))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IF(B181="","",IF(LEN(B181)&gt;9,SUMIFS(Options!$H$3:$H$24,Options!$B$3:$B$24,Check!B181),SUMIFS('Master P&amp;L'!$H$11:$H$85,'Master P&amp;L'!$B$11:$B$85,Check!B181)))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IF(O181="","",IF(LEN(O181)&gt;9,SUMIFS(Options!$H$3:$H$24,Options!$B$3:$B$24,Check!O181),SUMIFS('Master P&amp;L'!$H$11:$H$85,'Master P&amp;L'!$B$11:$B$85,Check!O181)))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IF(B182="","",IF(LEN(B182)&gt;9,SUMIFS(Options!$H$3:$H$24,Options!$B$3:$B$24,Check!B182),SUMIFS('Master P&amp;L'!$H$11:$H$85,'Master P&amp;L'!$B$11:$B$85,Check!B182)))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IF(O182="","",IF(LEN(O182)&gt;9,SUMIFS(Options!$H$3:$H$24,Options!$B$3:$B$24,Check!O182),SUMIFS('Master P&amp;L'!$H$11:$H$85,'Master P&amp;L'!$B$11:$B$85,Check!O182)))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IF(B183="","",IF(LEN(B183)&gt;9,SUMIFS(Options!$H$3:$H$24,Options!$B$3:$B$24,Check!B183),SUMIFS('Master P&amp;L'!$H$11:$H$85,'Master P&amp;L'!$B$11:$B$85,Check!B183)))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IF(O183="","",IF(LEN(O183)&gt;9,SUMIFS(Options!$H$3:$H$24,Options!$B$3:$B$24,Check!O183),SUMIFS('Master P&amp;L'!$H$11:$H$85,'Master P&amp;L'!$B$11:$B$85,Check!O183)))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IF(B184="","",IF(LEN(B184)&gt;9,SUMIFS(Options!$H$3:$H$24,Options!$B$3:$B$24,Check!B184),SUMIFS('Master P&amp;L'!$H$11:$H$85,'Master P&amp;L'!$B$11:$B$85,Check!B184)))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IF(O184="","",IF(LEN(O184)&gt;9,SUMIFS(Options!$H$3:$H$24,Options!$B$3:$B$24,Check!O184),SUMIFS('Master P&amp;L'!$H$11:$H$85,'Master P&amp;L'!$B$11:$B$85,Check!O184)))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IF(B185="","",IF(LEN(B185)&gt;9,SUMIFS(Options!$H$3:$H$24,Options!$B$3:$B$24,Check!B185),SUMIFS('Master P&amp;L'!$H$11:$H$85,'Master P&amp;L'!$B$11:$B$85,Check!B185)))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IF(O185="","",IF(LEN(O185)&gt;9,SUMIFS(Options!$H$3:$H$24,Options!$B$3:$B$24,Check!O185),SUMIFS('Master P&amp;L'!$H$11:$H$85,'Master P&amp;L'!$B$11:$B$85,Check!O185)))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IF(B186="","",IF(LEN(B186)&gt;9,SUMIFS(Options!$H$3:$H$24,Options!$B$3:$B$24,Check!B186),SUMIFS('Master P&amp;L'!$H$11:$H$85,'Master P&amp;L'!$B$11:$B$85,Check!B186)))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IF(O186="","",IF(LEN(O186)&gt;9,SUMIFS(Options!$H$3:$H$24,Options!$B$3:$B$24,Check!O186),SUMIFS('Master P&amp;L'!$H$11:$H$85,'Master P&amp;L'!$B$11:$B$85,Check!O186)))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IF(B187="","",IF(LEN(B187)&gt;9,SUMIFS(Options!$H$3:$H$24,Options!$B$3:$B$24,Check!B187),SUMIFS('Master P&amp;L'!$H$11:$H$85,'Master P&amp;L'!$B$11:$B$85,Check!B187)))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IF(O187="","",IF(LEN(O187)&gt;9,SUMIFS(Options!$H$3:$H$24,Options!$B$3:$B$24,Check!O187),SUMIFS('Master P&amp;L'!$H$11:$H$85,'Master P&amp;L'!$B$11:$B$85,Check!O187)))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IF(B188="","",IF(LEN(B188)&gt;9,SUMIFS(Options!$H$3:$H$24,Options!$B$3:$B$24,Check!B188),SUMIFS('Master P&amp;L'!$H$11:$H$85,'Master P&amp;L'!$B$11:$B$85,Check!B188)))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IF(O188="","",IF(LEN(O188)&gt;9,SUMIFS(Options!$H$3:$H$24,Options!$B$3:$B$24,Check!O188),SUMIFS('Master P&amp;L'!$H$11:$H$85,'Master P&amp;L'!$B$11:$B$85,Check!O188)))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IF(B189="","",IF(LEN(B189)&gt;9,SUMIFS(Options!$H$3:$H$24,Options!$B$3:$B$24,Check!B189),SUMIFS('Master P&amp;L'!$H$11:$H$85,'Master P&amp;L'!$B$11:$B$85,Check!B189)))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IF(O189="","",IF(LEN(O189)&gt;9,SUMIFS(Options!$H$3:$H$24,Options!$B$3:$B$24,Check!O189),SUMIFS('Master P&amp;L'!$H$11:$H$85,'Master P&amp;L'!$B$11:$B$85,Check!O189)))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IF(B190="","",IF(LEN(B190)&gt;9,SUMIFS(Options!$H$3:$H$24,Options!$B$3:$B$24,Check!B190),SUMIFS('Master P&amp;L'!$H$11:$H$85,'Master P&amp;L'!$B$11:$B$85,Check!B190)))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IF(O190="","",IF(LEN(O190)&gt;9,SUMIFS(Options!$H$3:$H$24,Options!$B$3:$B$24,Check!O190),SUMIFS('Master P&amp;L'!$H$11:$H$85,'Master P&amp;L'!$B$11:$B$85,Check!O190)))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IF(B191="","",IF(LEN(B191)&gt;9,SUMIFS(Options!$H$3:$H$24,Options!$B$3:$B$24,Check!B191),SUMIFS('Master P&amp;L'!$H$11:$H$85,'Master P&amp;L'!$B$11:$B$85,Check!B191)))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IF(O191="","",IF(LEN(O191)&gt;9,SUMIFS(Options!$H$3:$H$24,Options!$B$3:$B$24,Check!O191),SUMIFS('Master P&amp;L'!$H$11:$H$85,'Master P&amp;L'!$B$11:$B$85,Check!O191)))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IF(O192="","",IF(LEN(O192)&gt;9,SUMIFS(Options!$H$3:$H$24,Options!$B$3:$B$24,Check!O192),SUMIFS('Master P&amp;L'!$H$11:$H$85,'Master P&amp;L'!$B$11:$B$85,Check!O192)))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IF(O193="","",IF(LEN(O193)&gt;9,SUMIFS(Options!$H$3:$H$24,Options!$B$3:$B$24,Check!O193),SUMIFS('Master P&amp;L'!$H$11:$H$85,'Master P&amp;L'!$B$11:$B$85,Check!O193)))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IF(O194="","",IF(LEN(O194)&gt;9,SUMIFS(Options!$H$3:$H$24,Options!$B$3:$B$24,Check!O194),SUMIFS('Master P&amp;L'!$H$11:$H$85,'Master P&amp;L'!$B$11:$B$85,Check!O194)))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IF(O195="","",IF(LEN(O195)&gt;9,SUMIFS(Options!$H$3:$H$24,Options!$B$3:$B$24,Check!O195),SUMIFS('Master P&amp;L'!$H$11:$H$85,'Master P&amp;L'!$B$11:$B$85,Check!O195)))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IF(O196="","",IF(LEN(O196)&gt;9,SUMIFS(Options!$H$3:$H$24,Options!$B$3:$B$24,Check!O196),SUMIFS('Master P&amp;L'!$H$11:$H$85,'Master P&amp;L'!$B$11:$B$85,Check!O196)))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IF(O197="","",IF(LEN(O197)&gt;9,SUMIFS(Options!$H$3:$H$24,Options!$B$3:$B$24,Check!O197),SUMIFS('Master P&amp;L'!$H$11:$H$85,'Master P&amp;L'!$B$11:$B$85,Check!O197)))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IF(O198="","",IF(LEN(O198)&gt;9,SUMIFS(Options!$H$3:$H$24,Options!$B$3:$B$24,Check!O198),SUMIFS('Master P&amp;L'!$H$11:$H$85,'Master P&amp;L'!$B$11:$B$85,Check!O198)))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IF(O199="","",IF(LEN(O199)&gt;9,SUMIFS(Options!$H$3:$H$24,Options!$B$3:$B$24,Check!O199),SUMIFS('Master P&amp;L'!$H$11:$H$85,'Master P&amp;L'!$B$11:$B$85,Check!O199)))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IF(O200="","",IF(LEN(O200)&gt;9,SUMIFS(Options!$H$3:$H$24,Options!$B$3:$B$24,Check!O200),SUMIFS('Master P&amp;L'!$H$11:$H$85,'Master P&amp;L'!$B$11:$B$85,Check!O200)))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IF(O201="","",IF(LEN(O201)&gt;9,SUMIFS(Options!$H$3:$H$24,Options!$B$3:$B$24,Check!O201),SUMIFS('Master P&amp;L'!$H$11:$H$85,'Master P&amp;L'!$B$11:$B$85,Check!O201)))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IF(O202="","",IF(LEN(O202)&gt;9,SUMIFS(Options!$H$3:$H$24,Options!$B$3:$B$24,Check!O202),SUMIFS('Master P&amp;L'!$H$11:$H$85,'Master P&amp;L'!$B$11:$B$85,Check!O202)))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IF(O203="","",IF(LEN(O203)&gt;9,SUMIFS(Options!$H$3:$H$24,Options!$B$3:$B$24,Check!O203),SUMIFS('Master P&amp;L'!$H$11:$H$85,'Master P&amp;L'!$B$11:$B$85,Check!O203)))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IF(O204="","",IF(LEN(O204)&gt;9,SUMIFS(Options!$H$3:$H$24,Options!$B$3:$B$24,Check!O204),SUMIFS('Master P&amp;L'!$H$11:$H$85,'Master P&amp;L'!$B$11:$B$85,Check!O204)))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IF(O205="","",IF(LEN(O205)&gt;9,SUMIFS(Options!$H$3:$H$24,Options!$B$3:$B$24,Check!O205),SUMIFS('Master P&amp;L'!$H$11:$H$85,'Master P&amp;L'!$B$11:$B$85,Check!O205)))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IF(O206="","",IF(LEN(O206)&gt;9,SUMIFS(Options!$H$3:$H$24,Options!$B$3:$B$24,Check!O206),SUMIFS('Master P&amp;L'!$H$11:$H$85,'Master P&amp;L'!$B$11:$B$85,Check!O206)))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8" priority="4">
      <formula>J5&lt;&gt;0</formula>
    </cfRule>
  </conditionalFormatting>
  <conditionalFormatting sqref="E5:E191">
    <cfRule type="expression" dxfId="47" priority="3">
      <formula>E5&lt;&gt;0</formula>
    </cfRule>
  </conditionalFormatting>
  <conditionalFormatting sqref="S5:S206">
    <cfRule type="cellIs" dxfId="46" priority="2" operator="lessThan">
      <formula>0.9</formula>
    </cfRule>
  </conditionalFormatting>
  <conditionalFormatting sqref="S5:S198">
    <cfRule type="expression" dxfId="45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6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3.7109375" style="213" bestFit="1" customWidth="1" outlineLevel="1"/>
    <col min="7" max="7" width="24.42578125" style="213" bestFit="1" customWidth="1" outlineLevel="1"/>
    <col min="8" max="8" width="12.28515625" style="213" bestFit="1" customWidth="1" outlineLevel="1"/>
    <col min="9" max="9" width="11.42578125" style="213" bestFit="1" customWidth="1" outlineLevel="1"/>
    <col min="10" max="10" width="9.140625" style="213"/>
    <col min="11" max="11" width="28.5703125" style="213" bestFit="1" customWidth="1"/>
    <col min="12" max="12" width="42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2283</v>
      </c>
      <c r="F2" s="213" t="s">
        <v>2273</v>
      </c>
      <c r="G2" s="213" t="s">
        <v>282</v>
      </c>
      <c r="H2" s="213">
        <v>-28</v>
      </c>
      <c r="I2" s="213">
        <v>0</v>
      </c>
      <c r="K2" s="214" t="str">
        <f>IF(E2="","",E2)</f>
        <v>NASDAQ-100 E-mini Options - CME</v>
      </c>
      <c r="L2" s="214" t="str">
        <f>IF(E2="","",IF(COUNTIFS(Table2[[#All],[De (Lote)]],Input_APM!F2)&gt;0,INDEX(Table2[[#All],[Para (Ticker Daniel)]],MATCH(Input_APM!F2,Table2[[#All],[De (Lote)]],0)),Input_APM!F2))</f>
        <v>1OG6P 25000</v>
      </c>
      <c r="M2" s="214" t="str">
        <f>IF(E2="","",G2)</f>
        <v>EQTY.IntlUS.off</v>
      </c>
      <c r="N2" s="215">
        <f>IF(E2="","",H2)</f>
        <v>-28</v>
      </c>
      <c r="O2" s="215">
        <f>IF(E2="","",I2)</f>
        <v>0</v>
      </c>
    </row>
    <row r="3" spans="5:15">
      <c r="E3" s="213" t="s">
        <v>319</v>
      </c>
      <c r="F3" s="213" t="s">
        <v>2250</v>
      </c>
      <c r="G3" s="213" t="s">
        <v>282</v>
      </c>
      <c r="H3" s="213">
        <v>-23</v>
      </c>
      <c r="I3" s="213">
        <v>-23</v>
      </c>
      <c r="K3" s="214" t="str">
        <f t="shared" ref="K3:K66" si="0">IF(E3="","",E3)</f>
        <v>US Equity Options</v>
      </c>
      <c r="L3" s="214" t="str">
        <f>IF(E3="","",IF(COUNTIFS(Table2[[#All],[De (Lote)]],Input_APM!F3)&gt;0,INDEX(Table2[[#All],[Para (Ticker Daniel)]],MATCH(Input_APM!F3,Table2[[#All],[De (Lote)]],0)),Input_APM!F3))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-23</v>
      </c>
      <c r="O3" s="215">
        <f t="shared" ref="O3:O66" si="3">IF(E3="","",I3)</f>
        <v>-23</v>
      </c>
    </row>
    <row r="4" spans="5:15">
      <c r="E4" s="213" t="s">
        <v>319</v>
      </c>
      <c r="F4" s="213" t="s">
        <v>2251</v>
      </c>
      <c r="G4" s="213" t="s">
        <v>282</v>
      </c>
      <c r="H4" s="213">
        <v>117</v>
      </c>
      <c r="I4" s="213">
        <v>117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AMAT US 01/23/26 P290</v>
      </c>
      <c r="M4" s="214" t="str">
        <f t="shared" si="1"/>
        <v>EQTY.IntlUS.off</v>
      </c>
      <c r="N4" s="215">
        <f t="shared" si="2"/>
        <v>117</v>
      </c>
      <c r="O4" s="215">
        <f t="shared" si="3"/>
        <v>117</v>
      </c>
    </row>
    <row r="5" spans="5:15">
      <c r="E5" s="213" t="s">
        <v>317</v>
      </c>
      <c r="F5" s="213" t="s">
        <v>448</v>
      </c>
      <c r="G5" s="213" t="s">
        <v>282</v>
      </c>
      <c r="H5" s="213">
        <v>4223</v>
      </c>
      <c r="I5" s="213">
        <v>0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AMD</v>
      </c>
      <c r="M5" s="214" t="str">
        <f t="shared" si="1"/>
        <v>EQTY.IntlUS.off</v>
      </c>
      <c r="N5" s="215">
        <f t="shared" si="2"/>
        <v>4223</v>
      </c>
      <c r="O5" s="215">
        <f t="shared" si="3"/>
        <v>0</v>
      </c>
    </row>
    <row r="6" spans="5:15">
      <c r="E6" s="213" t="s">
        <v>317</v>
      </c>
      <c r="F6" s="213" t="s">
        <v>399</v>
      </c>
      <c r="G6" s="213" t="s">
        <v>282</v>
      </c>
      <c r="H6" s="213">
        <v>20751</v>
      </c>
      <c r="I6" s="213">
        <v>10709</v>
      </c>
      <c r="K6" s="214" t="str">
        <f t="shared" si="0"/>
        <v>US Equity</v>
      </c>
      <c r="L6" s="214" t="str">
        <f>IF(E6="","",IF(COUNTIFS(Table2[[#All],[De (Lote)]],Input_APM!F6)&gt;0,INDEX(Table2[[#All],[Para (Ticker Daniel)]],MATCH(Input_APM!F6,Table2[[#All],[De (Lote)]],0)),Input_APM!F6))</f>
        <v>AMZN</v>
      </c>
      <c r="M6" s="214" t="str">
        <f t="shared" si="1"/>
        <v>EQTY.IntlUS.off</v>
      </c>
      <c r="N6" s="215">
        <f t="shared" si="2"/>
        <v>20751</v>
      </c>
      <c r="O6" s="215">
        <f t="shared" si="3"/>
        <v>10709</v>
      </c>
    </row>
    <row r="7" spans="5:15">
      <c r="E7" s="213" t="s">
        <v>319</v>
      </c>
      <c r="F7" s="213" t="s">
        <v>2308</v>
      </c>
      <c r="G7" s="213" t="s">
        <v>282</v>
      </c>
      <c r="H7" s="213">
        <v>46</v>
      </c>
      <c r="I7" s="213">
        <v>46</v>
      </c>
      <c r="K7" s="214" t="str">
        <f t="shared" si="0"/>
        <v>US Equity Options</v>
      </c>
      <c r="L7" s="214" t="str">
        <f>IF(E7="","",IF(COUNTIFS(Table2[[#All],[De (Lote)]],Input_APM!F7)&gt;0,INDEX(Table2[[#All],[Para (Ticker Daniel)]],MATCH(Input_APM!F7,Table2[[#All],[De (Lote)]],0)),Input_APM!F7))</f>
        <v>AMZN US 07/17/26 C245</v>
      </c>
      <c r="M7" s="214" t="str">
        <f t="shared" si="1"/>
        <v>EQTY.IntlUS.off</v>
      </c>
      <c r="N7" s="215">
        <f t="shared" si="2"/>
        <v>46</v>
      </c>
      <c r="O7" s="215">
        <f t="shared" si="3"/>
        <v>46</v>
      </c>
    </row>
    <row r="8" spans="5:15">
      <c r="E8" s="213" t="s">
        <v>324</v>
      </c>
      <c r="F8" s="213" t="s">
        <v>2227</v>
      </c>
      <c r="G8" s="213" t="s">
        <v>282</v>
      </c>
      <c r="H8" s="213">
        <v>1874</v>
      </c>
      <c r="I8" s="213">
        <v>1874</v>
      </c>
      <c r="K8" s="214" t="str">
        <f t="shared" si="0"/>
        <v>ETF Options</v>
      </c>
      <c r="L8" s="214" t="str">
        <f>IF(E8="","",IF(COUNTIFS(Table2[[#All],[De (Lote)]],Input_APM!F8)&gt;0,INDEX(Table2[[#All],[Para (Ticker Daniel)]],MATCH(Input_APM!F8,Table2[[#All],[De (Lote)]],0)),Input_APM!F8))</f>
        <v>ASHR US 02/20/26 C35</v>
      </c>
      <c r="M8" s="214" t="str">
        <f t="shared" si="1"/>
        <v>EQTY.IntlUS.off</v>
      </c>
      <c r="N8" s="215">
        <f t="shared" si="2"/>
        <v>1874</v>
      </c>
      <c r="O8" s="215">
        <f t="shared" si="3"/>
        <v>1874</v>
      </c>
    </row>
    <row r="9" spans="5:15">
      <c r="E9" s="213" t="s">
        <v>317</v>
      </c>
      <c r="F9" s="213" t="s">
        <v>137</v>
      </c>
      <c r="G9" s="213" t="s">
        <v>282</v>
      </c>
      <c r="H9" s="213">
        <v>1930</v>
      </c>
      <c r="I9" s="213">
        <v>3370</v>
      </c>
      <c r="K9" s="214" t="str">
        <f t="shared" si="0"/>
        <v>US Equity</v>
      </c>
      <c r="L9" s="214" t="str">
        <f>IF(E9="","",IF(COUNTIFS(Table2[[#All],[De (Lote)]],Input_APM!F9)&gt;0,INDEX(Table2[[#All],[Para (Ticker Daniel)]],MATCH(Input_APM!F9,Table2[[#All],[De (Lote)]],0)),Input_APM!F9))</f>
        <v>AVGO</v>
      </c>
      <c r="M9" s="214" t="str">
        <f t="shared" si="1"/>
        <v>EQTY.IntlUS.off</v>
      </c>
      <c r="N9" s="215">
        <f t="shared" si="2"/>
        <v>1930</v>
      </c>
      <c r="O9" s="215">
        <f t="shared" si="3"/>
        <v>3370</v>
      </c>
    </row>
    <row r="10" spans="5:15">
      <c r="E10" s="213" t="s">
        <v>319</v>
      </c>
      <c r="F10" s="213" t="s">
        <v>2105</v>
      </c>
      <c r="G10" s="213" t="s">
        <v>282</v>
      </c>
      <c r="H10" s="213">
        <v>114</v>
      </c>
      <c r="I10" s="213">
        <v>114</v>
      </c>
      <c r="K10" s="214" t="str">
        <f t="shared" si="0"/>
        <v>US Equity Options</v>
      </c>
      <c r="L10" s="214" t="str">
        <f>IF(E10="","",IF(COUNTIFS(Table2[[#All],[De (Lote)]],Input_APM!F10)&gt;0,INDEX(Table2[[#All],[Para (Ticker Daniel)]],MATCH(Input_APM!F10,Table2[[#All],[De (Lote)]],0)),Input_APM!F10))</f>
        <v>AVGO US 06/18/26 C350</v>
      </c>
      <c r="M10" s="214" t="str">
        <f t="shared" si="1"/>
        <v>EQTY.IntlUS.off</v>
      </c>
      <c r="N10" s="215">
        <f t="shared" si="2"/>
        <v>114</v>
      </c>
      <c r="O10" s="215">
        <f t="shared" si="3"/>
        <v>114</v>
      </c>
    </row>
    <row r="11" spans="5:15">
      <c r="E11" s="213" t="s">
        <v>39</v>
      </c>
      <c r="F11" s="213" t="s">
        <v>461</v>
      </c>
      <c r="G11" s="213" t="s">
        <v>282</v>
      </c>
      <c r="H11" s="213">
        <v>3163</v>
      </c>
      <c r="I11" s="213">
        <v>3163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BABA</v>
      </c>
      <c r="M11" s="214" t="str">
        <f t="shared" si="1"/>
        <v>EQTY.IntlUS.off</v>
      </c>
      <c r="N11" s="215">
        <f t="shared" si="2"/>
        <v>3163</v>
      </c>
      <c r="O11" s="215">
        <f t="shared" si="3"/>
        <v>3163</v>
      </c>
    </row>
    <row r="12" spans="5:15">
      <c r="E12" s="213" t="s">
        <v>39</v>
      </c>
      <c r="F12" s="213" t="s">
        <v>2141</v>
      </c>
      <c r="G12" s="213" t="s">
        <v>282</v>
      </c>
      <c r="H12" s="213">
        <v>3285</v>
      </c>
      <c r="I12" s="213">
        <v>3285</v>
      </c>
      <c r="K12" s="214" t="str">
        <f t="shared" si="0"/>
        <v>ADR</v>
      </c>
      <c r="L12" s="214" t="str">
        <f>IF(E12="","",IF(COUNTIFS(Table2[[#All],[De (Lote)]],Input_APM!F12)&gt;0,INDEX(Table2[[#All],[Para (Ticker Daniel)]],MATCH(Input_APM!F12,Table2[[#All],[De (Lote)]],0)),Input_APM!F12))</f>
        <v>BIDU</v>
      </c>
      <c r="M12" s="214" t="str">
        <f t="shared" si="1"/>
        <v>EQTY.IntlUS.off</v>
      </c>
      <c r="N12" s="215">
        <f t="shared" si="2"/>
        <v>3285</v>
      </c>
      <c r="O12" s="215">
        <f t="shared" si="3"/>
        <v>3285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-0.28999999999999998</v>
      </c>
      <c r="I13" s="213">
        <v>-0.28999999999999998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CAD</v>
      </c>
      <c r="M13" s="214" t="str">
        <f t="shared" si="1"/>
        <v>EQTY.IntlUS.off</v>
      </c>
      <c r="N13" s="215">
        <f t="shared" si="2"/>
        <v>-0.28999999999999998</v>
      </c>
      <c r="O13" s="215">
        <f t="shared" si="3"/>
        <v>-0.28999999999999998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0.39</v>
      </c>
      <c r="I14" s="213">
        <v>0.39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EQTY.InternacionalUS2.off</v>
      </c>
      <c r="N14" s="215">
        <f t="shared" si="2"/>
        <v>0.39</v>
      </c>
      <c r="O14" s="215">
        <f t="shared" si="3"/>
        <v>0.39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-34454.449999999997</v>
      </c>
      <c r="I15" s="213">
        <v>-34454.449999999997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CHF</v>
      </c>
      <c r="M15" s="214" t="str">
        <f t="shared" si="1"/>
        <v>EQTY.IntlUS.off</v>
      </c>
      <c r="N15" s="215">
        <f t="shared" si="2"/>
        <v>-34454.449999999997</v>
      </c>
      <c r="O15" s="215">
        <f t="shared" si="3"/>
        <v>-34454.449999999997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-0.36</v>
      </c>
      <c r="I16" s="213">
        <v>-0.36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CNH</v>
      </c>
      <c r="M16" s="214" t="str">
        <f t="shared" si="1"/>
        <v>EQTY.IntlUS.off</v>
      </c>
      <c r="N16" s="215">
        <f t="shared" si="2"/>
        <v>-0.36</v>
      </c>
      <c r="O16" s="215">
        <f t="shared" si="3"/>
        <v>-0.36</v>
      </c>
    </row>
    <row r="17" spans="5:15">
      <c r="E17" s="213" t="s">
        <v>321</v>
      </c>
      <c r="F17" s="213" t="s">
        <v>2126</v>
      </c>
      <c r="G17" s="213" t="s">
        <v>283</v>
      </c>
      <c r="H17" s="213">
        <v>-0.19</v>
      </c>
      <c r="I17" s="213">
        <v>-0.19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EQTY.InternacionalUS2.off</v>
      </c>
      <c r="N17" s="215">
        <f t="shared" si="2"/>
        <v>-0.19</v>
      </c>
      <c r="O17" s="215">
        <f t="shared" si="3"/>
        <v>-0.19</v>
      </c>
    </row>
    <row r="18" spans="5:15">
      <c r="E18" s="213" t="s">
        <v>321</v>
      </c>
      <c r="F18" s="213" t="s">
        <v>2126</v>
      </c>
      <c r="G18" s="213" t="s">
        <v>282</v>
      </c>
      <c r="H18" s="213">
        <v>-143145.81</v>
      </c>
      <c r="I18" s="213">
        <v>-143145.81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CNY</v>
      </c>
      <c r="M18" s="214" t="str">
        <f t="shared" si="1"/>
        <v>EQTY.IntlUS.off</v>
      </c>
      <c r="N18" s="215">
        <f t="shared" si="2"/>
        <v>-143145.81</v>
      </c>
      <c r="O18" s="215">
        <f t="shared" si="3"/>
        <v>-143145.81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-0.15</v>
      </c>
      <c r="I19" s="213">
        <v>-0.15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EQTY.InternacionalUS2.off</v>
      </c>
      <c r="N19" s="215">
        <f t="shared" si="2"/>
        <v>-0.15</v>
      </c>
      <c r="O19" s="215">
        <f t="shared" si="3"/>
        <v>-0.15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40729.67</v>
      </c>
      <c r="I20" s="213">
        <v>40729.67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EUR</v>
      </c>
      <c r="M20" s="214" t="str">
        <f t="shared" si="1"/>
        <v>EQTY.IntlUS.off</v>
      </c>
      <c r="N20" s="215">
        <f t="shared" si="2"/>
        <v>40729.67</v>
      </c>
      <c r="O20" s="215">
        <f t="shared" si="3"/>
        <v>40729.67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-0.47</v>
      </c>
      <c r="I21" s="213">
        <v>-0.47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GBP</v>
      </c>
      <c r="M21" s="214" t="str">
        <f t="shared" si="1"/>
        <v>EQTY.IntlUS.off</v>
      </c>
      <c r="N21" s="215">
        <f t="shared" si="2"/>
        <v>-0.47</v>
      </c>
      <c r="O21" s="215">
        <f t="shared" si="3"/>
        <v>-0.47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0.2</v>
      </c>
      <c r="I22" s="213">
        <v>0.2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EQTY.InternacionalUS2.off</v>
      </c>
      <c r="N22" s="215">
        <f t="shared" si="2"/>
        <v>0.2</v>
      </c>
      <c r="O22" s="215">
        <f t="shared" si="3"/>
        <v>0.2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-341409.97</v>
      </c>
      <c r="I23" s="213">
        <v>-341409.97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HKD</v>
      </c>
      <c r="M23" s="214" t="str">
        <f t="shared" si="1"/>
        <v>EQTY.IntlUS.off</v>
      </c>
      <c r="N23" s="215">
        <f t="shared" si="2"/>
        <v>-341409.97</v>
      </c>
      <c r="O23" s="215">
        <f t="shared" si="3"/>
        <v>-341409.97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1.000005E-2</v>
      </c>
      <c r="I24" s="213">
        <v>1.000005E-2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KRW</v>
      </c>
      <c r="M24" s="214" t="str">
        <f t="shared" si="1"/>
        <v>EQTY.IntlUS.off</v>
      </c>
      <c r="N24" s="215">
        <f t="shared" si="2"/>
        <v>1.000005E-2</v>
      </c>
      <c r="O24" s="215">
        <f t="shared" si="3"/>
        <v>1.000005E-2</v>
      </c>
    </row>
    <row r="25" spans="5:15">
      <c r="E25" s="213" t="s">
        <v>321</v>
      </c>
      <c r="F25" s="213" t="s">
        <v>302</v>
      </c>
      <c r="G25" s="213" t="s">
        <v>282</v>
      </c>
      <c r="H25" s="213">
        <v>4289228.4743531505</v>
      </c>
      <c r="I25" s="213">
        <v>4.3531500000000001E-3</v>
      </c>
      <c r="K25" s="214" t="str">
        <f t="shared" si="0"/>
        <v>Cash</v>
      </c>
      <c r="L25" s="214" t="str">
        <f>IF(E25="","",IF(COUNTIFS(Table2[[#All],[De (Lote)]],Input_APM!F25)&gt;0,INDEX(Table2[[#All],[Para (Ticker Daniel)]],MATCH(Input_APM!F25,Table2[[#All],[De (Lote)]],0)),Input_APM!F25))</f>
        <v>Cash USD</v>
      </c>
      <c r="M25" s="214" t="str">
        <f t="shared" si="1"/>
        <v>EQTY.IntlUS.off</v>
      </c>
      <c r="N25" s="215">
        <f t="shared" si="2"/>
        <v>4289228.4743531505</v>
      </c>
      <c r="O25" s="215">
        <f t="shared" si="3"/>
        <v>4.3531500000000001E-3</v>
      </c>
    </row>
    <row r="26" spans="5:15">
      <c r="E26" s="213" t="s">
        <v>477</v>
      </c>
      <c r="F26" s="213" t="s">
        <v>1906</v>
      </c>
      <c r="G26" s="213" t="s">
        <v>282</v>
      </c>
      <c r="H26" s="213">
        <v>4625000</v>
      </c>
      <c r="I26" s="213">
        <v>4625000</v>
      </c>
      <c r="K26" s="214" t="str">
        <f t="shared" si="0"/>
        <v>CDS</v>
      </c>
      <c r="L26" s="214" t="str">
        <f>IF(E26="","",IF(COUNTIFS(Table2[[#All],[De (Lote)]],Input_APM!F26)&gt;0,INDEX(Table2[[#All],[Para (Ticker Daniel)]],MATCH(Input_APM!F26,Table2[[#All],[De (Lote)]],0)),Input_APM!F26))</f>
        <v>CHINAGOV 12/20/30</v>
      </c>
      <c r="M26" s="214" t="str">
        <f t="shared" si="1"/>
        <v>EQTY.IntlUS.off</v>
      </c>
      <c r="N26" s="215">
        <f t="shared" si="2"/>
        <v>4625000</v>
      </c>
      <c r="O26" s="215">
        <f t="shared" si="3"/>
        <v>4625000</v>
      </c>
    </row>
    <row r="27" spans="5:15">
      <c r="E27" s="213" t="s">
        <v>320</v>
      </c>
      <c r="F27" s="213" t="s">
        <v>484</v>
      </c>
      <c r="G27" s="213" t="s">
        <v>282</v>
      </c>
      <c r="H27" s="213">
        <v>0</v>
      </c>
      <c r="I27" s="213">
        <v>0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>COPX</v>
      </c>
      <c r="M27" s="214" t="str">
        <f t="shared" si="1"/>
        <v>EQTY.IntlUS.off</v>
      </c>
      <c r="N27" s="215">
        <f t="shared" si="2"/>
        <v>0</v>
      </c>
      <c r="O27" s="215">
        <f t="shared" si="3"/>
        <v>0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39308</v>
      </c>
      <c r="I28" s="213">
        <v>39308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>EWY</v>
      </c>
      <c r="M28" s="214" t="str">
        <f t="shared" si="1"/>
        <v>EQTY.IntlUS.off</v>
      </c>
      <c r="N28" s="215">
        <f t="shared" si="2"/>
        <v>39308</v>
      </c>
      <c r="O28" s="215">
        <f t="shared" si="3"/>
        <v>39308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13842</v>
      </c>
      <c r="I29" s="213">
        <v>13842</v>
      </c>
      <c r="K29" s="214" t="str">
        <f t="shared" si="0"/>
        <v>ETF</v>
      </c>
      <c r="L29" s="214" t="str">
        <f>IF(E29="","",IF(COUNTIFS(Table2[[#All],[De (Lote)]],Input_APM!F29)&gt;0,INDEX(Table2[[#All],[Para (Ticker Daniel)]],MATCH(Input_APM!F29,Table2[[#All],[De (Lote)]],0)),Input_APM!F29))</f>
        <v xml:space="preserve">GDX </v>
      </c>
      <c r="M29" s="214" t="str">
        <f t="shared" si="1"/>
        <v>EQTY.IntlUS.off</v>
      </c>
      <c r="N29" s="215">
        <f t="shared" si="2"/>
        <v>13842</v>
      </c>
      <c r="O29" s="215">
        <f t="shared" si="3"/>
        <v>13842</v>
      </c>
    </row>
    <row r="30" spans="5:15">
      <c r="E30" s="213" t="s">
        <v>324</v>
      </c>
      <c r="F30" s="213" t="s">
        <v>2274</v>
      </c>
      <c r="G30" s="213" t="s">
        <v>282</v>
      </c>
      <c r="H30" s="213">
        <v>1031</v>
      </c>
      <c r="I30" s="213">
        <v>1031</v>
      </c>
      <c r="K30" s="214" t="str">
        <f t="shared" si="0"/>
        <v>ETF Options</v>
      </c>
      <c r="L30" s="214" t="str">
        <f>IF(E30="","",IF(COUNTIFS(Table2[[#All],[De (Lote)]],Input_APM!F30)&gt;0,INDEX(Table2[[#All],[Para (Ticker Daniel)]],MATCH(Input_APM!F30,Table2[[#All],[De (Lote)]],0)),Input_APM!F30))</f>
        <v>GDX US 09/18/26 C105</v>
      </c>
      <c r="M30" s="214" t="str">
        <f t="shared" si="1"/>
        <v>EQTY.IntlUS.off</v>
      </c>
      <c r="N30" s="215">
        <f t="shared" si="2"/>
        <v>1031</v>
      </c>
      <c r="O30" s="215">
        <f t="shared" si="3"/>
        <v>1031</v>
      </c>
    </row>
    <row r="31" spans="5:15">
      <c r="E31" s="213" t="s">
        <v>324</v>
      </c>
      <c r="F31" s="213" t="s">
        <v>2275</v>
      </c>
      <c r="G31" s="213" t="s">
        <v>282</v>
      </c>
      <c r="H31" s="213">
        <v>-1031</v>
      </c>
      <c r="I31" s="213">
        <v>-1031</v>
      </c>
      <c r="K31" s="214" t="str">
        <f t="shared" si="0"/>
        <v>ETF Options</v>
      </c>
      <c r="L31" s="214" t="str">
        <f>IF(E31="","",IF(COUNTIFS(Table2[[#All],[De (Lote)]],Input_APM!F31)&gt;0,INDEX(Table2[[#All],[Para (Ticker Daniel)]],MATCH(Input_APM!F31,Table2[[#All],[De (Lote)]],0)),Input_APM!F31))</f>
        <v>GDX US 09/18/26 C115</v>
      </c>
      <c r="M31" s="214" t="str">
        <f t="shared" si="1"/>
        <v>EQTY.IntlUS.off</v>
      </c>
      <c r="N31" s="215">
        <f t="shared" si="2"/>
        <v>-1031</v>
      </c>
      <c r="O31" s="215">
        <f t="shared" si="3"/>
        <v>-1031</v>
      </c>
    </row>
    <row r="32" spans="5:15">
      <c r="E32" s="213" t="s">
        <v>317</v>
      </c>
      <c r="F32" s="213" t="s">
        <v>2148</v>
      </c>
      <c r="G32" s="213" t="s">
        <v>282</v>
      </c>
      <c r="H32" s="213">
        <v>10447</v>
      </c>
      <c r="I32" s="213">
        <v>13873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GOOG</v>
      </c>
      <c r="M32" s="214" t="str">
        <f t="shared" si="1"/>
        <v>EQTY.IntlUS.off</v>
      </c>
      <c r="N32" s="215">
        <f t="shared" si="2"/>
        <v>10447</v>
      </c>
      <c r="O32" s="215">
        <f t="shared" si="3"/>
        <v>13873</v>
      </c>
    </row>
    <row r="33" spans="5:15">
      <c r="E33" s="213" t="s">
        <v>325</v>
      </c>
      <c r="F33" s="213" t="s">
        <v>1896</v>
      </c>
      <c r="G33" s="213" t="s">
        <v>282</v>
      </c>
      <c r="H33" s="213">
        <v>276451</v>
      </c>
      <c r="I33" s="213">
        <v>276451</v>
      </c>
      <c r="K33" s="214" t="str">
        <f t="shared" si="0"/>
        <v>Basket Index Options</v>
      </c>
      <c r="L33" s="214" t="str">
        <f>IF(E33="","",IF(COUNTIFS(Table2[[#All],[De (Lote)]],Input_APM!F33)&gt;0,INDEX(Table2[[#All],[Para (Ticker Daniel)]],MATCH(Input_APM!F33,Table2[[#All],[De (Lote)]],0)),Input_APM!F33))</f>
        <v>GSC1000P 03/20/26 C104</v>
      </c>
      <c r="M33" s="214" t="str">
        <f t="shared" si="1"/>
        <v>EQTY.IntlUS.off</v>
      </c>
      <c r="N33" s="215">
        <f t="shared" si="2"/>
        <v>276451</v>
      </c>
      <c r="O33" s="215">
        <f t="shared" si="3"/>
        <v>276451</v>
      </c>
    </row>
    <row r="34" spans="5:15">
      <c r="E34" s="213" t="s">
        <v>325</v>
      </c>
      <c r="F34" s="213" t="s">
        <v>1897</v>
      </c>
      <c r="G34" s="213" t="s">
        <v>282</v>
      </c>
      <c r="H34" s="213">
        <v>-276451</v>
      </c>
      <c r="I34" s="213">
        <v>-276451</v>
      </c>
      <c r="K34" s="214" t="str">
        <f t="shared" si="0"/>
        <v>Basket Index Options</v>
      </c>
      <c r="L34" s="214" t="str">
        <f>IF(E34="","",IF(COUNTIFS(Table2[[#All],[De (Lote)]],Input_APM!F34)&gt;0,INDEX(Table2[[#All],[Para (Ticker Daniel)]],MATCH(Input_APM!F34,Table2[[#All],[De (Lote)]],0)),Input_APM!F34))</f>
        <v>GSC1000P 03/20/26 C119</v>
      </c>
      <c r="M34" s="214" t="str">
        <f t="shared" si="1"/>
        <v>EQTY.IntlUS.off</v>
      </c>
      <c r="N34" s="215">
        <f t="shared" si="2"/>
        <v>-276451</v>
      </c>
      <c r="O34" s="215">
        <f t="shared" si="3"/>
        <v>-276451</v>
      </c>
    </row>
    <row r="35" spans="5:15">
      <c r="E35" s="213" t="s">
        <v>317</v>
      </c>
      <c r="F35" s="213" t="s">
        <v>708</v>
      </c>
      <c r="G35" s="213" t="s">
        <v>282</v>
      </c>
      <c r="H35" s="213">
        <v>0</v>
      </c>
      <c r="I35" s="213">
        <v>6565</v>
      </c>
      <c r="K35" s="214" t="str">
        <f t="shared" si="0"/>
        <v>US Equity</v>
      </c>
      <c r="L35" s="214" t="str">
        <f>IF(E35="","",IF(COUNTIFS(Table2[[#All],[De (Lote)]],Input_APM!F35)&gt;0,INDEX(Table2[[#All],[Para (Ticker Daniel)]],MATCH(Input_APM!F35,Table2[[#All],[De (Lote)]],0)),Input_APM!F35))</f>
        <v>INTC</v>
      </c>
      <c r="M35" s="214" t="str">
        <f t="shared" si="1"/>
        <v>EQTY.IntlUS.off</v>
      </c>
      <c r="N35" s="215">
        <f t="shared" si="2"/>
        <v>0</v>
      </c>
      <c r="O35" s="215">
        <f t="shared" si="3"/>
        <v>6565</v>
      </c>
    </row>
    <row r="36" spans="5:15">
      <c r="E36" s="213" t="s">
        <v>319</v>
      </c>
      <c r="F36" s="213" t="s">
        <v>2358</v>
      </c>
      <c r="G36" s="213" t="s">
        <v>282</v>
      </c>
      <c r="H36" s="213">
        <v>144</v>
      </c>
      <c r="I36" s="213">
        <v>0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INTC US 07/17/26 C50</v>
      </c>
      <c r="M36" s="214" t="str">
        <f t="shared" si="1"/>
        <v>EQTY.IntlUS.off</v>
      </c>
      <c r="N36" s="215">
        <f t="shared" si="2"/>
        <v>144</v>
      </c>
      <c r="O36" s="215">
        <f t="shared" si="3"/>
        <v>0</v>
      </c>
    </row>
    <row r="37" spans="5:15">
      <c r="E37" s="213" t="s">
        <v>319</v>
      </c>
      <c r="F37" s="213" t="s">
        <v>2359</v>
      </c>
      <c r="G37" s="213" t="s">
        <v>282</v>
      </c>
      <c r="H37" s="213">
        <v>-141</v>
      </c>
      <c r="I37" s="213">
        <v>0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INTC US 07/17/26 C60</v>
      </c>
      <c r="M37" s="214" t="str">
        <f t="shared" si="1"/>
        <v>EQTY.IntlUS.off</v>
      </c>
      <c r="N37" s="215">
        <f t="shared" si="2"/>
        <v>-141</v>
      </c>
      <c r="O37" s="215">
        <f t="shared" si="3"/>
        <v>0</v>
      </c>
    </row>
    <row r="38" spans="5:15">
      <c r="E38" s="213" t="s">
        <v>319</v>
      </c>
      <c r="F38" s="213" t="s">
        <v>2357</v>
      </c>
      <c r="G38" s="213" t="s">
        <v>282</v>
      </c>
      <c r="H38" s="213">
        <v>-141</v>
      </c>
      <c r="I38" s="213">
        <v>0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INTC US 07/17/26 P40</v>
      </c>
      <c r="M38" s="214" t="str">
        <f t="shared" si="1"/>
        <v>EQTY.IntlUS.off</v>
      </c>
      <c r="N38" s="215">
        <f t="shared" si="2"/>
        <v>-141</v>
      </c>
      <c r="O38" s="215">
        <f t="shared" si="3"/>
        <v>0</v>
      </c>
    </row>
    <row r="39" spans="5:15">
      <c r="E39" s="213" t="s">
        <v>317</v>
      </c>
      <c r="F39" s="213" t="s">
        <v>2276</v>
      </c>
      <c r="G39" s="213" t="s">
        <v>282</v>
      </c>
      <c r="H39" s="213">
        <v>-9374</v>
      </c>
      <c r="I39" s="213">
        <v>-9374</v>
      </c>
      <c r="K39" s="214" t="str">
        <f t="shared" si="0"/>
        <v>US Equity</v>
      </c>
      <c r="L39" s="214" t="str">
        <f>IF(E39="","",IF(COUNTIFS(Table2[[#All],[De (Lote)]],Input_APM!F39)&gt;0,INDEX(Table2[[#All],[Para (Ticker Daniel)]],MATCH(Input_APM!F39,Table2[[#All],[De (Lote)]],0)),Input_APM!F39))</f>
        <v>KHC</v>
      </c>
      <c r="M39" s="214" t="str">
        <f t="shared" si="1"/>
        <v>EQTY.IntlUS.off</v>
      </c>
      <c r="N39" s="215">
        <f t="shared" si="2"/>
        <v>-9374</v>
      </c>
      <c r="O39" s="215">
        <f t="shared" si="3"/>
        <v>-9374</v>
      </c>
    </row>
    <row r="40" spans="5:15">
      <c r="E40" s="213" t="s">
        <v>2354</v>
      </c>
      <c r="F40" s="213" t="s">
        <v>2331</v>
      </c>
      <c r="G40" s="213" t="s">
        <v>282</v>
      </c>
      <c r="H40" s="213">
        <v>10349446</v>
      </c>
      <c r="I40" s="213">
        <v>10349446</v>
      </c>
      <c r="K40" s="214" t="str">
        <f t="shared" si="0"/>
        <v>KOSPI 200 Index Options - KRX</v>
      </c>
      <c r="L40" s="214" t="str">
        <f>IF(E40="","",IF(COUNTIFS(Table2[[#All],[De (Lote)]],Input_APM!F40)&gt;0,INDEX(Table2[[#All],[Para (Ticker Daniel)]],MATCH(Input_APM!F40,Table2[[#All],[De (Lote)]],0)),Input_APM!F40))</f>
        <v>KOSPI2 12/10/26 C1000</v>
      </c>
      <c r="M40" s="214" t="str">
        <f t="shared" si="1"/>
        <v>EQTY.IntlUS.off</v>
      </c>
      <c r="N40" s="215">
        <f t="shared" si="2"/>
        <v>10349446</v>
      </c>
      <c r="O40" s="215">
        <f t="shared" si="3"/>
        <v>10349446</v>
      </c>
    </row>
    <row r="41" spans="5:15">
      <c r="E41" s="213" t="s">
        <v>317</v>
      </c>
      <c r="F41" s="213" t="s">
        <v>2063</v>
      </c>
      <c r="G41" s="213" t="s">
        <v>282</v>
      </c>
      <c r="H41" s="213">
        <v>1780</v>
      </c>
      <c r="I41" s="213">
        <v>1123</v>
      </c>
      <c r="K41" s="214" t="str">
        <f t="shared" si="0"/>
        <v>US Equity</v>
      </c>
      <c r="L41" s="214" t="str">
        <f>IF(E41="","",IF(COUNTIFS(Table2[[#All],[De (Lote)]],Input_APM!F41)&gt;0,INDEX(Table2[[#All],[Para (Ticker Daniel)]],MATCH(Input_APM!F41,Table2[[#All],[De (Lote)]],0)),Input_APM!F41))</f>
        <v>LITE</v>
      </c>
      <c r="M41" s="214" t="str">
        <f t="shared" si="1"/>
        <v>EQTY.IntlUS.off</v>
      </c>
      <c r="N41" s="215">
        <f t="shared" si="2"/>
        <v>1780</v>
      </c>
      <c r="O41" s="215">
        <f t="shared" si="3"/>
        <v>1123</v>
      </c>
    </row>
    <row r="42" spans="5:15">
      <c r="E42" s="213" t="s">
        <v>319</v>
      </c>
      <c r="F42" s="213" t="s">
        <v>2306</v>
      </c>
      <c r="G42" s="213" t="s">
        <v>282</v>
      </c>
      <c r="H42" s="213">
        <v>56</v>
      </c>
      <c r="I42" s="213">
        <v>56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LITE US 03/20/26 C420</v>
      </c>
      <c r="M42" s="214" t="str">
        <f t="shared" si="1"/>
        <v>EQTY.IntlUS.off</v>
      </c>
      <c r="N42" s="215">
        <f t="shared" si="2"/>
        <v>56</v>
      </c>
      <c r="O42" s="215">
        <f t="shared" si="3"/>
        <v>56</v>
      </c>
    </row>
    <row r="43" spans="5:15">
      <c r="E43" s="213" t="s">
        <v>317</v>
      </c>
      <c r="F43" s="213" t="s">
        <v>326</v>
      </c>
      <c r="G43" s="213" t="s">
        <v>282</v>
      </c>
      <c r="H43" s="213">
        <v>1252</v>
      </c>
      <c r="I43" s="213">
        <v>1252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META</v>
      </c>
      <c r="M43" s="214" t="str">
        <f t="shared" si="1"/>
        <v>EQTY.IntlUS.off</v>
      </c>
      <c r="N43" s="215">
        <f t="shared" si="2"/>
        <v>1252</v>
      </c>
      <c r="O43" s="215">
        <f t="shared" si="3"/>
        <v>1252</v>
      </c>
    </row>
    <row r="44" spans="5:15">
      <c r="E44" s="213" t="s">
        <v>319</v>
      </c>
      <c r="F44" s="213" t="s">
        <v>2068</v>
      </c>
      <c r="G44" s="213" t="s">
        <v>282</v>
      </c>
      <c r="H44" s="213">
        <v>57</v>
      </c>
      <c r="I44" s="213">
        <v>57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META US 04/17/26 C690</v>
      </c>
      <c r="M44" s="214" t="str">
        <f t="shared" si="1"/>
        <v>EQTY.IntlUS.off</v>
      </c>
      <c r="N44" s="215">
        <f t="shared" si="2"/>
        <v>57</v>
      </c>
      <c r="O44" s="215">
        <f t="shared" si="3"/>
        <v>57</v>
      </c>
    </row>
    <row r="45" spans="5:15">
      <c r="E45" s="213" t="s">
        <v>319</v>
      </c>
      <c r="F45" s="213" t="s">
        <v>2309</v>
      </c>
      <c r="G45" s="213" t="s">
        <v>282</v>
      </c>
      <c r="H45" s="213">
        <v>73</v>
      </c>
      <c r="I45" s="213">
        <v>73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META US 07/17/26 C670</v>
      </c>
      <c r="M45" s="214" t="str">
        <f t="shared" si="1"/>
        <v>EQTY.IntlUS.off</v>
      </c>
      <c r="N45" s="215">
        <f t="shared" si="2"/>
        <v>73</v>
      </c>
      <c r="O45" s="215">
        <f t="shared" si="3"/>
        <v>73</v>
      </c>
    </row>
    <row r="46" spans="5:15">
      <c r="E46" s="213" t="s">
        <v>317</v>
      </c>
      <c r="F46" s="213" t="s">
        <v>138</v>
      </c>
      <c r="G46" s="213" t="s">
        <v>282</v>
      </c>
      <c r="H46" s="213">
        <v>-46</v>
      </c>
      <c r="I46" s="213">
        <v>-46</v>
      </c>
      <c r="K46" s="214" t="str">
        <f t="shared" si="0"/>
        <v>US Equity</v>
      </c>
      <c r="L46" s="214" t="str">
        <f>IF(E46="","",IF(COUNTIFS(Table2[[#All],[De (Lote)]],Input_APM!F46)&gt;0,INDEX(Table2[[#All],[Para (Ticker Daniel)]],MATCH(Input_APM!F46,Table2[[#All],[De (Lote)]],0)),Input_APM!F46))</f>
        <v>MRVL</v>
      </c>
      <c r="M46" s="214" t="str">
        <f t="shared" si="1"/>
        <v>EQTY.IntlUS.off</v>
      </c>
      <c r="N46" s="215">
        <f t="shared" si="2"/>
        <v>-46</v>
      </c>
      <c r="O46" s="215">
        <f t="shared" si="3"/>
        <v>-46</v>
      </c>
    </row>
    <row r="47" spans="5:15">
      <c r="E47" s="213" t="s">
        <v>319</v>
      </c>
      <c r="F47" s="213" t="s">
        <v>2287</v>
      </c>
      <c r="G47" s="213" t="s">
        <v>282</v>
      </c>
      <c r="H47" s="213">
        <v>-141</v>
      </c>
      <c r="I47" s="213">
        <v>-141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MRVL US 03/20/26 P70</v>
      </c>
      <c r="M47" s="214" t="str">
        <f t="shared" si="1"/>
        <v>EQTY.IntlUS.off</v>
      </c>
      <c r="N47" s="215">
        <f t="shared" si="2"/>
        <v>-141</v>
      </c>
      <c r="O47" s="215">
        <f t="shared" si="3"/>
        <v>-141</v>
      </c>
    </row>
    <row r="48" spans="5:15">
      <c r="E48" s="213" t="s">
        <v>319</v>
      </c>
      <c r="F48" s="213" t="s">
        <v>2098</v>
      </c>
      <c r="G48" s="213" t="s">
        <v>282</v>
      </c>
      <c r="H48" s="213">
        <v>-188</v>
      </c>
      <c r="I48" s="213">
        <v>-188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MRVL US 03/20/26 P75</v>
      </c>
      <c r="M48" s="214" t="str">
        <f t="shared" si="1"/>
        <v>EQTY.IntlUS.off</v>
      </c>
      <c r="N48" s="215">
        <f t="shared" si="2"/>
        <v>-188</v>
      </c>
      <c r="O48" s="215">
        <f t="shared" si="3"/>
        <v>-188</v>
      </c>
    </row>
    <row r="49" spans="5:15">
      <c r="E49" s="213" t="s">
        <v>319</v>
      </c>
      <c r="F49" s="213" t="s">
        <v>2058</v>
      </c>
      <c r="G49" s="213" t="s">
        <v>282</v>
      </c>
      <c r="H49" s="213">
        <v>141</v>
      </c>
      <c r="I49" s="213">
        <v>141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MRVL US 03/20/26 P80</v>
      </c>
      <c r="M49" s="214" t="str">
        <f t="shared" si="1"/>
        <v>EQTY.IntlUS.off</v>
      </c>
      <c r="N49" s="215">
        <f t="shared" si="2"/>
        <v>141</v>
      </c>
      <c r="O49" s="215">
        <f t="shared" si="3"/>
        <v>141</v>
      </c>
    </row>
    <row r="50" spans="5:15">
      <c r="E50" s="213" t="s">
        <v>319</v>
      </c>
      <c r="F50" s="213" t="s">
        <v>2097</v>
      </c>
      <c r="G50" s="213" t="s">
        <v>282</v>
      </c>
      <c r="H50" s="213">
        <v>186</v>
      </c>
      <c r="I50" s="213">
        <v>186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MRVL US 03/20/26 P85</v>
      </c>
      <c r="M50" s="214" t="str">
        <f t="shared" si="1"/>
        <v>EQTY.IntlUS.off</v>
      </c>
      <c r="N50" s="215">
        <f t="shared" si="2"/>
        <v>186</v>
      </c>
      <c r="O50" s="215">
        <f t="shared" si="3"/>
        <v>186</v>
      </c>
    </row>
    <row r="51" spans="5:15">
      <c r="E51" s="213" t="s">
        <v>317</v>
      </c>
      <c r="F51" s="213" t="s">
        <v>90</v>
      </c>
      <c r="G51" s="213" t="s">
        <v>282</v>
      </c>
      <c r="H51" s="213">
        <v>3458</v>
      </c>
      <c r="I51" s="213">
        <v>3270</v>
      </c>
      <c r="K51" s="214" t="str">
        <f t="shared" si="0"/>
        <v>US Equity</v>
      </c>
      <c r="L51" s="214" t="str">
        <f>IF(E51="","",IF(COUNTIFS(Table2[[#All],[De (Lote)]],Input_APM!F51)&gt;0,INDEX(Table2[[#All],[Para (Ticker Daniel)]],MATCH(Input_APM!F51,Table2[[#All],[De (Lote)]],0)),Input_APM!F51))</f>
        <v>MSFT</v>
      </c>
      <c r="M51" s="214" t="str">
        <f t="shared" si="1"/>
        <v>EQTY.IntlUS.off</v>
      </c>
      <c r="N51" s="215">
        <f t="shared" si="2"/>
        <v>3458</v>
      </c>
      <c r="O51" s="215">
        <f t="shared" si="3"/>
        <v>3270</v>
      </c>
    </row>
    <row r="52" spans="5:15">
      <c r="E52" s="213" t="s">
        <v>319</v>
      </c>
      <c r="F52" s="213" t="s">
        <v>2049</v>
      </c>
      <c r="G52" s="213" t="s">
        <v>282</v>
      </c>
      <c r="H52" s="213">
        <v>-46</v>
      </c>
      <c r="I52" s="213">
        <v>-46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MSFT US 03/20/26 P465</v>
      </c>
      <c r="M52" s="214" t="str">
        <f t="shared" si="1"/>
        <v>EQTY.IntlUS.off</v>
      </c>
      <c r="N52" s="215">
        <f t="shared" si="2"/>
        <v>-46</v>
      </c>
      <c r="O52" s="215">
        <f t="shared" si="3"/>
        <v>-46</v>
      </c>
    </row>
    <row r="53" spans="5:15">
      <c r="E53" s="213" t="s">
        <v>319</v>
      </c>
      <c r="F53" s="213" t="s">
        <v>2311</v>
      </c>
      <c r="G53" s="213" t="s">
        <v>282</v>
      </c>
      <c r="H53" s="213">
        <v>24</v>
      </c>
      <c r="I53" s="213">
        <v>24</v>
      </c>
      <c r="K53" s="214" t="str">
        <f t="shared" si="0"/>
        <v>US Equity Options</v>
      </c>
      <c r="L53" s="214" t="str">
        <f>IF(E53="","",IF(COUNTIFS(Table2[[#All],[De (Lote)]],Input_APM!F53)&gt;0,INDEX(Table2[[#All],[Para (Ticker Daniel)]],MATCH(Input_APM!F53,Table2[[#All],[De (Lote)]],0)),Input_APM!F53))</f>
        <v>MSFT US 07/17/26 C465</v>
      </c>
      <c r="M53" s="214" t="str">
        <f t="shared" si="1"/>
        <v>EQTY.IntlUS.off</v>
      </c>
      <c r="N53" s="215">
        <f t="shared" si="2"/>
        <v>24</v>
      </c>
      <c r="O53" s="215">
        <f t="shared" si="3"/>
        <v>24</v>
      </c>
    </row>
    <row r="54" spans="5:15">
      <c r="E54" s="213" t="s">
        <v>319</v>
      </c>
      <c r="F54" s="213" t="s">
        <v>2360</v>
      </c>
      <c r="G54" s="213" t="s">
        <v>282</v>
      </c>
      <c r="H54" s="213">
        <v>95</v>
      </c>
      <c r="I54" s="213">
        <v>0</v>
      </c>
      <c r="K54" s="214" t="str">
        <f t="shared" si="0"/>
        <v>US Equity Options</v>
      </c>
      <c r="L54" s="214" t="str">
        <f>IF(E54="","",IF(COUNTIFS(Table2[[#All],[De (Lote)]],Input_APM!F54)&gt;0,INDEX(Table2[[#All],[Para (Ticker Daniel)]],MATCH(Input_APM!F54,Table2[[#All],[De (Lote)]],0)),Input_APM!F54))</f>
        <v>MSFT US 07/17/26 C475</v>
      </c>
      <c r="M54" s="214" t="str">
        <f t="shared" si="1"/>
        <v>EQTY.IntlUS.off</v>
      </c>
      <c r="N54" s="215">
        <f t="shared" si="2"/>
        <v>95</v>
      </c>
      <c r="O54" s="215">
        <f t="shared" si="3"/>
        <v>0</v>
      </c>
    </row>
    <row r="55" spans="5:15">
      <c r="E55" s="213" t="s">
        <v>317</v>
      </c>
      <c r="F55" s="213" t="s">
        <v>94</v>
      </c>
      <c r="G55" s="213" t="s">
        <v>282</v>
      </c>
      <c r="H55" s="213">
        <v>21522</v>
      </c>
      <c r="I55" s="213">
        <v>21522</v>
      </c>
      <c r="K55" s="214" t="str">
        <f t="shared" si="0"/>
        <v>US Equity</v>
      </c>
      <c r="L55" s="214" t="str">
        <f>IF(E55="","",IF(COUNTIFS(Table2[[#All],[De (Lote)]],Input_APM!F55)&gt;0,INDEX(Table2[[#All],[Para (Ticker Daniel)]],MATCH(Input_APM!F55,Table2[[#All],[De (Lote)]],0)),Input_APM!F55))</f>
        <v>NVDA</v>
      </c>
      <c r="M55" s="214" t="str">
        <f t="shared" si="1"/>
        <v>EQTY.IntlUS.off</v>
      </c>
      <c r="N55" s="215">
        <f t="shared" si="2"/>
        <v>21522</v>
      </c>
      <c r="O55" s="215">
        <f t="shared" si="3"/>
        <v>21522</v>
      </c>
    </row>
    <row r="56" spans="5:15">
      <c r="E56" s="213" t="s">
        <v>318</v>
      </c>
      <c r="F56" s="213" t="s">
        <v>2313</v>
      </c>
      <c r="G56" s="213" t="s">
        <v>282</v>
      </c>
      <c r="H56" s="213">
        <v>0</v>
      </c>
      <c r="I56" s="213">
        <v>29660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Provision CME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29660</v>
      </c>
    </row>
    <row r="57" spans="5:15">
      <c r="E57" s="213" t="s">
        <v>318</v>
      </c>
      <c r="F57" s="213" t="s">
        <v>336</v>
      </c>
      <c r="G57" s="213" t="s">
        <v>282</v>
      </c>
      <c r="H57" s="213">
        <v>0</v>
      </c>
      <c r="I57" s="213">
        <v>-126597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ETF Options USD_</v>
      </c>
      <c r="M57" s="214" t="str">
        <f t="shared" si="1"/>
        <v>EQTY.IntlUS.off</v>
      </c>
      <c r="N57" s="215">
        <f t="shared" si="2"/>
        <v>0</v>
      </c>
      <c r="O57" s="215">
        <f t="shared" si="3"/>
        <v>-126597</v>
      </c>
    </row>
    <row r="58" spans="5:15">
      <c r="E58" s="213" t="s">
        <v>318</v>
      </c>
      <c r="F58" s="213" t="s">
        <v>306</v>
      </c>
      <c r="G58" s="213" t="s">
        <v>282</v>
      </c>
      <c r="H58" s="213">
        <v>0</v>
      </c>
      <c r="I58" s="213">
        <v>464349.1</v>
      </c>
      <c r="K58" s="214" t="str">
        <f t="shared" si="0"/>
        <v>Provisions and Costs</v>
      </c>
      <c r="L58" s="214" t="str">
        <f>IF(E58="","",IF(COUNTIFS(Table2[[#All],[De (Lote)]],Input_APM!F58)&gt;0,INDEX(Table2[[#All],[Para (Ticker Daniel)]],MATCH(Input_APM!F58,Table2[[#All],[De (Lote)]],0)),Input_APM!F58))</f>
        <v>Provision ETF USD_</v>
      </c>
      <c r="M58" s="214" t="str">
        <f t="shared" si="1"/>
        <v>EQTY.IntlUS.off</v>
      </c>
      <c r="N58" s="215">
        <f t="shared" si="2"/>
        <v>0</v>
      </c>
      <c r="O58" s="215">
        <f t="shared" si="3"/>
        <v>464349.1</v>
      </c>
    </row>
    <row r="59" spans="5:15">
      <c r="E59" s="213" t="s">
        <v>318</v>
      </c>
      <c r="F59" s="213" t="s">
        <v>2355</v>
      </c>
      <c r="G59" s="213" t="s">
        <v>282</v>
      </c>
      <c r="H59" s="213">
        <v>-118304.52</v>
      </c>
      <c r="I59" s="213">
        <v>-118304.52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Korea Exchange USD_</v>
      </c>
      <c r="M59" s="214" t="str">
        <f t="shared" si="1"/>
        <v>EQTY.IntlUS.off</v>
      </c>
      <c r="N59" s="215">
        <f t="shared" si="2"/>
        <v>-118304.52</v>
      </c>
      <c r="O59" s="215">
        <f t="shared" si="3"/>
        <v>-118304.52</v>
      </c>
    </row>
    <row r="60" spans="5:15">
      <c r="E60" s="213" t="s">
        <v>318</v>
      </c>
      <c r="F60" s="213" t="s">
        <v>1666</v>
      </c>
      <c r="G60" s="213" t="s">
        <v>282</v>
      </c>
      <c r="H60" s="213">
        <v>0</v>
      </c>
      <c r="I60" s="213">
        <v>1309578.25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NYSE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1309578.25</v>
      </c>
    </row>
    <row r="61" spans="5:15">
      <c r="E61" s="213" t="s">
        <v>318</v>
      </c>
      <c r="F61" s="213" t="s">
        <v>337</v>
      </c>
      <c r="G61" s="213" t="s">
        <v>282</v>
      </c>
      <c r="H61" s="213">
        <v>0</v>
      </c>
      <c r="I61" s="213">
        <v>-899723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US Equity Options USD_</v>
      </c>
      <c r="M61" s="214" t="str">
        <f t="shared" si="1"/>
        <v>EQTY.IntlUS.off</v>
      </c>
      <c r="N61" s="215">
        <f t="shared" si="2"/>
        <v>0</v>
      </c>
      <c r="O61" s="215">
        <f t="shared" si="3"/>
        <v>-899723</v>
      </c>
    </row>
    <row r="62" spans="5:15">
      <c r="E62" s="213" t="s">
        <v>318</v>
      </c>
      <c r="F62" s="213" t="s">
        <v>307</v>
      </c>
      <c r="G62" s="213" t="s">
        <v>282</v>
      </c>
      <c r="H62" s="213">
        <v>0</v>
      </c>
      <c r="I62" s="213">
        <v>3511961.12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Provision US Equity USD_</v>
      </c>
      <c r="M62" s="214" t="str">
        <f t="shared" si="1"/>
        <v>EQTY.IntlUS.off</v>
      </c>
      <c r="N62" s="215">
        <f t="shared" si="2"/>
        <v>0</v>
      </c>
      <c r="O62" s="215">
        <f t="shared" si="3"/>
        <v>3511961.12</v>
      </c>
    </row>
    <row r="63" spans="5:15">
      <c r="E63" s="213" t="s">
        <v>324</v>
      </c>
      <c r="F63" s="213" t="s">
        <v>2321</v>
      </c>
      <c r="G63" s="213" t="s">
        <v>282</v>
      </c>
      <c r="H63" s="213">
        <v>0</v>
      </c>
      <c r="I63" s="213">
        <v>235</v>
      </c>
      <c r="K63" s="214" t="str">
        <f t="shared" si="0"/>
        <v>ETF Options</v>
      </c>
      <c r="L63" s="214" t="str">
        <f>IF(E63="","",IF(COUNTIFS(Table2[[#All],[De (Lote)]],Input_APM!F63)&gt;0,INDEX(Table2[[#All],[Para (Ticker Daniel)]],MATCH(Input_APM!F63,Table2[[#All],[De (Lote)]],0)),Input_APM!F63))</f>
        <v>QQQ US 02/06/26 C630</v>
      </c>
      <c r="M63" s="214" t="str">
        <f t="shared" si="1"/>
        <v>EQTY.IntlUS.off</v>
      </c>
      <c r="N63" s="215">
        <f t="shared" si="2"/>
        <v>0</v>
      </c>
      <c r="O63" s="215">
        <f t="shared" si="3"/>
        <v>235</v>
      </c>
    </row>
    <row r="64" spans="5:15">
      <c r="E64" s="213" t="s">
        <v>317</v>
      </c>
      <c r="F64" s="213" t="s">
        <v>2131</v>
      </c>
      <c r="G64" s="213" t="s">
        <v>282</v>
      </c>
      <c r="H64" s="213">
        <v>25080</v>
      </c>
      <c r="I64" s="213">
        <v>24411</v>
      </c>
      <c r="K64" s="214" t="str">
        <f t="shared" si="0"/>
        <v>US Equity</v>
      </c>
      <c r="L64" s="214" t="str">
        <f>IF(E64="","",IF(COUNTIFS(Table2[[#All],[De (Lote)]],Input_APM!F64)&gt;0,INDEX(Table2[[#All],[Para (Ticker Daniel)]],MATCH(Input_APM!F64,Table2[[#All],[De (Lote)]],0)),Input_APM!F64))</f>
        <v>RIOT</v>
      </c>
      <c r="M64" s="214" t="str">
        <f t="shared" si="1"/>
        <v>EQTY.IntlUS.off</v>
      </c>
      <c r="N64" s="215">
        <f t="shared" si="2"/>
        <v>25080</v>
      </c>
      <c r="O64" s="215">
        <f t="shared" si="3"/>
        <v>24411</v>
      </c>
    </row>
    <row r="65" spans="5:15">
      <c r="E65" s="213" t="s">
        <v>320</v>
      </c>
      <c r="F65" s="213" t="s">
        <v>3</v>
      </c>
      <c r="G65" s="213" t="s">
        <v>282</v>
      </c>
      <c r="H65" s="213">
        <v>-12201</v>
      </c>
      <c r="I65" s="213">
        <v>0</v>
      </c>
      <c r="K65" s="214" t="str">
        <f t="shared" si="0"/>
        <v>ETF</v>
      </c>
      <c r="L65" s="214" t="str">
        <f>IF(E65="","",IF(COUNTIFS(Table2[[#All],[De (Lote)]],Input_APM!F65)&gt;0,INDEX(Table2[[#All],[Para (Ticker Daniel)]],MATCH(Input_APM!F65,Table2[[#All],[De (Lote)]],0)),Input_APM!F65))</f>
        <v>RSP</v>
      </c>
      <c r="M65" s="214" t="str">
        <f t="shared" si="1"/>
        <v>EQTY.IntlUS.off</v>
      </c>
      <c r="N65" s="215">
        <f t="shared" si="2"/>
        <v>-12201</v>
      </c>
      <c r="O65" s="215">
        <f t="shared" si="3"/>
        <v>0</v>
      </c>
    </row>
    <row r="66" spans="5:15">
      <c r="E66" s="213" t="s">
        <v>319</v>
      </c>
      <c r="F66" s="213" t="s">
        <v>2302</v>
      </c>
      <c r="G66" s="213" t="s">
        <v>282</v>
      </c>
      <c r="H66" s="213">
        <v>14</v>
      </c>
      <c r="I66" s="213">
        <v>14</v>
      </c>
      <c r="K66" s="214" t="str">
        <f t="shared" si="0"/>
        <v>US Equity Options</v>
      </c>
      <c r="L66" s="214" t="str">
        <f>IF(E66="","",IF(COUNTIFS(Table2[[#All],[De (Lote)]],Input_APM!F66)&gt;0,INDEX(Table2[[#All],[Para (Ticker Daniel)]],MATCH(Input_APM!F66,Table2[[#All],[De (Lote)]],0)),Input_APM!F66))</f>
        <v>SNDK US 02/20/26 C550</v>
      </c>
      <c r="M66" s="214" t="str">
        <f t="shared" si="1"/>
        <v>EQTY.IntlUS.off</v>
      </c>
      <c r="N66" s="215">
        <f t="shared" si="2"/>
        <v>14</v>
      </c>
      <c r="O66" s="215">
        <f t="shared" si="3"/>
        <v>14</v>
      </c>
    </row>
    <row r="67" spans="5:15">
      <c r="E67" s="213" t="s">
        <v>318</v>
      </c>
      <c r="F67" s="213" t="s">
        <v>2127</v>
      </c>
      <c r="G67" s="213" t="s">
        <v>283</v>
      </c>
      <c r="H67" s="213">
        <v>-0.01</v>
      </c>
      <c r="I67" s="213">
        <v>-0.01</v>
      </c>
      <c r="K67" s="214" t="str">
        <f t="shared" ref="K67:K130" si="4">IF(E67="","",E67)</f>
        <v>Provisions and Costs</v>
      </c>
      <c r="L67" s="214" t="str">
        <f>IF(E67="","",IF(COUNTIFS(Table2[[#All],[De (Lote)]],Input_APM!F67)&gt;0,INDEX(Table2[[#All],[Para (Ticker Daniel)]],MATCH(Input_APM!F67,Table2[[#All],[De (Lote)]],0)),Input_APM!F67))</f>
        <v>SPY DIVIDEND_</v>
      </c>
      <c r="M67" s="214" t="str">
        <f t="shared" ref="M67:M130" si="5">IF(E67="","",G67)</f>
        <v>EQTY.InternacionalUS2.off</v>
      </c>
      <c r="N67" s="215">
        <f t="shared" ref="N67:N130" si="6">IF(E67="","",H67)</f>
        <v>-0.01</v>
      </c>
      <c r="O67" s="215">
        <f t="shared" ref="O67:O130" si="7">IF(E67="","",I67)</f>
        <v>-0.01</v>
      </c>
    </row>
    <row r="68" spans="5:15">
      <c r="E68" s="213" t="s">
        <v>318</v>
      </c>
      <c r="F68" s="213" t="s">
        <v>2127</v>
      </c>
      <c r="G68" s="213" t="s">
        <v>282</v>
      </c>
      <c r="H68" s="213">
        <v>0.01</v>
      </c>
      <c r="I68" s="213">
        <v>0.01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SPY DIVIDEND_</v>
      </c>
      <c r="M68" s="214" t="str">
        <f t="shared" si="5"/>
        <v>EQTY.IntlUS.off</v>
      </c>
      <c r="N68" s="215">
        <f t="shared" si="6"/>
        <v>0.01</v>
      </c>
      <c r="O68" s="215">
        <f t="shared" si="7"/>
        <v>0.01</v>
      </c>
    </row>
    <row r="69" spans="5:15">
      <c r="E69" s="213" t="s">
        <v>2133</v>
      </c>
      <c r="F69" s="213" t="s">
        <v>2314</v>
      </c>
      <c r="G69" s="213" t="s">
        <v>282</v>
      </c>
      <c r="H69" s="213">
        <v>843</v>
      </c>
      <c r="I69" s="213">
        <v>843</v>
      </c>
      <c r="K69" s="214" t="str">
        <f t="shared" si="4"/>
        <v>Equity Total Return Swap</v>
      </c>
      <c r="L69" s="214" t="str">
        <f>IF(E69="","",IF(COUNTIFS(Table2[[#All],[De (Lote)]],Input_APM!F69)&gt;0,INDEX(Table2[[#All],[Para (Ticker Daniel)]],MATCH(Input_APM!F69,Table2[[#All],[De (Lote)]],0)),Input_APM!F69))</f>
        <v>SWAP 000660 KP 23JAN2026 25JAN2027 509.6192</v>
      </c>
      <c r="M69" s="214" t="str">
        <f t="shared" si="5"/>
        <v>EQTY.IntlUS.off</v>
      </c>
      <c r="N69" s="215">
        <f t="shared" si="6"/>
        <v>843</v>
      </c>
      <c r="O69" s="215">
        <f t="shared" si="7"/>
        <v>843</v>
      </c>
    </row>
    <row r="70" spans="5:15">
      <c r="E70" s="213" t="s">
        <v>2133</v>
      </c>
      <c r="F70" s="213" t="s">
        <v>2134</v>
      </c>
      <c r="G70" s="213" t="s">
        <v>282</v>
      </c>
      <c r="H70" s="213">
        <v>1400</v>
      </c>
      <c r="I70" s="213">
        <v>1400</v>
      </c>
      <c r="K70" s="214" t="str">
        <f t="shared" si="4"/>
        <v>Equity Total Return Swap</v>
      </c>
      <c r="L70" s="214" t="str">
        <f>IF(E70="","",IF(COUNTIFS(Table2[[#All],[De (Lote)]],Input_APM!F70)&gt;0,INDEX(Table2[[#All],[Para (Ticker Daniel)]],MATCH(Input_APM!F70,Table2[[#All],[De (Lote)]],0)),Input_APM!F70))</f>
        <v>000660 KS</v>
      </c>
      <c r="M70" s="214" t="str">
        <f t="shared" si="5"/>
        <v>EQTY.IntlUS.off</v>
      </c>
      <c r="N70" s="215">
        <f t="shared" si="6"/>
        <v>1400</v>
      </c>
      <c r="O70" s="215">
        <f t="shared" si="7"/>
        <v>1400</v>
      </c>
    </row>
    <row r="71" spans="5:15">
      <c r="E71" s="213" t="s">
        <v>2133</v>
      </c>
      <c r="F71" s="213" t="s">
        <v>2356</v>
      </c>
      <c r="G71" s="213" t="s">
        <v>282</v>
      </c>
      <c r="H71" s="213">
        <v>844</v>
      </c>
      <c r="I71" s="213">
        <v>844</v>
      </c>
      <c r="K71" s="214" t="str">
        <f t="shared" si="4"/>
        <v>Equity Total Return Swap</v>
      </c>
      <c r="L71" s="214" t="str">
        <f>IF(E71="","",IF(COUNTIFS(Table2[[#All],[De (Lote)]],Input_APM!F71)&gt;0,INDEX(Table2[[#All],[Para (Ticker Daniel)]],MATCH(Input_APM!F71,Table2[[#All],[De (Lote)]],0)),Input_APM!F71))</f>
        <v>SWAP 000660 KS 26JAN2026 26JAN2027 509.6192</v>
      </c>
      <c r="M71" s="214" t="str">
        <f t="shared" si="5"/>
        <v>EQTY.IntlUS.off</v>
      </c>
      <c r="N71" s="215">
        <f t="shared" si="6"/>
        <v>844</v>
      </c>
      <c r="O71" s="215">
        <f t="shared" si="7"/>
        <v>844</v>
      </c>
    </row>
    <row r="72" spans="5:15">
      <c r="E72" s="213" t="s">
        <v>39</v>
      </c>
      <c r="F72" s="213" t="s">
        <v>96</v>
      </c>
      <c r="G72" s="213" t="s">
        <v>282</v>
      </c>
      <c r="H72" s="213">
        <v>3806</v>
      </c>
      <c r="I72" s="213">
        <v>3806</v>
      </c>
      <c r="K72" s="214" t="str">
        <f t="shared" si="4"/>
        <v>ADR</v>
      </c>
      <c r="L72" s="214" t="str">
        <f>IF(E72="","",IF(COUNTIFS(Table2[[#All],[De (Lote)]],Input_APM!F72)&gt;0,INDEX(Table2[[#All],[Para (Ticker Daniel)]],MATCH(Input_APM!F72,Table2[[#All],[De (Lote)]],0)),Input_APM!F72))</f>
        <v>TSM</v>
      </c>
      <c r="M72" s="214" t="str">
        <f t="shared" si="5"/>
        <v>EQTY.IntlUS.off</v>
      </c>
      <c r="N72" s="215">
        <f t="shared" si="6"/>
        <v>3806</v>
      </c>
      <c r="O72" s="215">
        <f t="shared" si="7"/>
        <v>3806</v>
      </c>
    </row>
    <row r="73" spans="5:15">
      <c r="E73" s="213" t="s">
        <v>327</v>
      </c>
      <c r="F73" s="213" t="s">
        <v>2228</v>
      </c>
      <c r="G73" s="213" t="s">
        <v>282</v>
      </c>
      <c r="H73" s="213">
        <v>1453</v>
      </c>
      <c r="I73" s="213">
        <v>1453</v>
      </c>
      <c r="K73" s="214" t="str">
        <f t="shared" si="4"/>
        <v>ADR Options</v>
      </c>
      <c r="L73" s="214" t="str">
        <f>IF(E73="","",IF(COUNTIFS(Table2[[#All],[De (Lote)]],Input_APM!F73)&gt;0,INDEX(Table2[[#All],[Para (Ticker Daniel)]],MATCH(Input_APM!F73,Table2[[#All],[De (Lote)]],0)),Input_APM!F73))</f>
        <v>TSM US 06/18/26 C340</v>
      </c>
      <c r="M73" s="214" t="str">
        <f t="shared" si="5"/>
        <v>EQTY.IntlUS.off</v>
      </c>
      <c r="N73" s="215">
        <f t="shared" si="6"/>
        <v>1453</v>
      </c>
      <c r="O73" s="215">
        <f t="shared" si="7"/>
        <v>1453</v>
      </c>
    </row>
    <row r="74" spans="5:15">
      <c r="E74" s="213" t="s">
        <v>327</v>
      </c>
      <c r="F74" s="213" t="s">
        <v>2229</v>
      </c>
      <c r="G74" s="213" t="s">
        <v>282</v>
      </c>
      <c r="H74" s="213">
        <v>-1312</v>
      </c>
      <c r="I74" s="213">
        <v>-1312</v>
      </c>
      <c r="K74" s="214" t="str">
        <f t="shared" si="4"/>
        <v>ADR Options</v>
      </c>
      <c r="L74" s="214" t="str">
        <f>IF(E74="","",IF(COUNTIFS(Table2[[#All],[De (Lote)]],Input_APM!F74)&gt;0,INDEX(Table2[[#All],[Para (Ticker Daniel)]],MATCH(Input_APM!F74,Table2[[#All],[De (Lote)]],0)),Input_APM!F74))</f>
        <v>TSM US 06/18/26 C380</v>
      </c>
      <c r="M74" s="214" t="str">
        <f t="shared" si="5"/>
        <v>EQTY.IntlUS.off</v>
      </c>
      <c r="N74" s="215">
        <f t="shared" si="6"/>
        <v>-1312</v>
      </c>
      <c r="O74" s="215">
        <f t="shared" si="7"/>
        <v>-1312</v>
      </c>
    </row>
    <row r="75" spans="5:15">
      <c r="E75" s="213" t="s">
        <v>320</v>
      </c>
      <c r="F75" s="213" t="s">
        <v>88</v>
      </c>
      <c r="G75" s="213" t="s">
        <v>282</v>
      </c>
      <c r="H75" s="213">
        <v>42865</v>
      </c>
      <c r="I75" s="213">
        <v>42865</v>
      </c>
      <c r="K75" s="214" t="str">
        <f t="shared" si="4"/>
        <v>ETF</v>
      </c>
      <c r="L75" s="214" t="str">
        <f>IF(E75="","",IF(COUNTIFS(Table2[[#All],[De (Lote)]],Input_APM!F75)&gt;0,INDEX(Table2[[#All],[Para (Ticker Daniel)]],MATCH(Input_APM!F75,Table2[[#All],[De (Lote)]],0)),Input_APM!F75))</f>
        <v>XLF</v>
      </c>
      <c r="M75" s="214" t="str">
        <f t="shared" si="5"/>
        <v>EQTY.IntlUS.off</v>
      </c>
      <c r="N75" s="215">
        <f t="shared" si="6"/>
        <v>42865</v>
      </c>
      <c r="O75" s="215">
        <f t="shared" si="7"/>
        <v>42865</v>
      </c>
    </row>
    <row r="76" spans="5:15">
      <c r="E76" s="213" t="s">
        <v>320</v>
      </c>
      <c r="F76" s="213" t="s">
        <v>4</v>
      </c>
      <c r="G76" s="213" t="s">
        <v>282</v>
      </c>
      <c r="H76" s="213">
        <v>-25765</v>
      </c>
      <c r="I76" s="213">
        <v>-25765</v>
      </c>
      <c r="K76" s="214" t="str">
        <f t="shared" si="4"/>
        <v>ETF</v>
      </c>
      <c r="L76" s="214" t="str">
        <f>IF(E76="","",IF(COUNTIFS(Table2[[#All],[De (Lote)]],Input_APM!F76)&gt;0,INDEX(Table2[[#All],[Para (Ticker Daniel)]],MATCH(Input_APM!F76,Table2[[#All],[De (Lote)]],0)),Input_APM!F76))</f>
        <v>XLP</v>
      </c>
      <c r="M76" s="214" t="str">
        <f t="shared" si="5"/>
        <v>EQTY.IntlUS.off</v>
      </c>
      <c r="N76" s="215">
        <f t="shared" si="6"/>
        <v>-25765</v>
      </c>
      <c r="O76" s="215">
        <f t="shared" si="7"/>
        <v>-25765</v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4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3.28515625" style="213" bestFit="1" customWidth="1" outlineLevel="1"/>
    <col min="9" max="9" width="12.140625" style="213" bestFit="1" customWidth="1" outlineLevel="1"/>
    <col min="10" max="10" width="9.140625" style="213"/>
    <col min="11" max="11" width="30.5703125" style="213" bestFit="1" customWidth="1"/>
    <col min="12" max="12" width="41.5703125" style="213" bestFit="1" customWidth="1"/>
    <col min="13" max="13" width="24" style="213" bestFit="1" customWidth="1"/>
    <col min="14" max="14" width="9.8554687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2283</v>
      </c>
      <c r="F2" s="213" t="s">
        <v>2273</v>
      </c>
      <c r="G2" s="213" t="s">
        <v>282</v>
      </c>
      <c r="H2" s="213">
        <v>-2</v>
      </c>
      <c r="I2" s="213">
        <v>0</v>
      </c>
      <c r="K2" s="214" t="str">
        <f>IF(E2="","",E2)</f>
        <v>NASDAQ-100 E-mini Options - CME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1OG6P 25000</v>
      </c>
      <c r="M2" s="214" t="str">
        <f>IF(E2="","",G2)</f>
        <v>EQTY.IntlUS.off</v>
      </c>
      <c r="N2" s="215">
        <f>IF(E2="","",H2)</f>
        <v>-2</v>
      </c>
      <c r="O2" s="215">
        <f>IF(E2="","",I2)</f>
        <v>0</v>
      </c>
    </row>
    <row r="3" spans="5:15">
      <c r="E3" s="213" t="s">
        <v>319</v>
      </c>
      <c r="F3" s="213" t="s">
        <v>2250</v>
      </c>
      <c r="G3" s="213" t="s">
        <v>282</v>
      </c>
      <c r="H3" s="213">
        <v>-2</v>
      </c>
      <c r="I3" s="213">
        <v>-2</v>
      </c>
      <c r="K3" s="214" t="str">
        <f t="shared" ref="K3:K66" si="0">IF(E3="","",E3)</f>
        <v>US Equity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-2</v>
      </c>
      <c r="O3" s="215">
        <f t="shared" ref="O3:O66" si="3">IF(E3="","",I3)</f>
        <v>-2</v>
      </c>
    </row>
    <row r="4" spans="5:15">
      <c r="E4" s="213" t="s">
        <v>319</v>
      </c>
      <c r="F4" s="213" t="s">
        <v>2251</v>
      </c>
      <c r="G4" s="213" t="s">
        <v>282</v>
      </c>
      <c r="H4" s="213">
        <v>8</v>
      </c>
      <c r="I4" s="213">
        <v>8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AMAT US 01/23/26 P290</v>
      </c>
      <c r="M4" s="214" t="str">
        <f t="shared" si="1"/>
        <v>EQTY.IntlUS.off</v>
      </c>
      <c r="N4" s="215">
        <f t="shared" si="2"/>
        <v>8</v>
      </c>
      <c r="O4" s="215">
        <f t="shared" si="3"/>
        <v>8</v>
      </c>
    </row>
    <row r="5" spans="5:15">
      <c r="E5" s="213" t="s">
        <v>317</v>
      </c>
      <c r="F5" s="213" t="s">
        <v>448</v>
      </c>
      <c r="G5" s="213" t="s">
        <v>282</v>
      </c>
      <c r="H5" s="213">
        <v>277</v>
      </c>
      <c r="I5" s="213">
        <v>0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AMD</v>
      </c>
      <c r="M5" s="214" t="str">
        <f t="shared" si="1"/>
        <v>EQTY.IntlUS.off</v>
      </c>
      <c r="N5" s="215">
        <f t="shared" si="2"/>
        <v>277</v>
      </c>
      <c r="O5" s="215">
        <f t="shared" si="3"/>
        <v>0</v>
      </c>
    </row>
    <row r="6" spans="5:15">
      <c r="E6" s="213" t="s">
        <v>317</v>
      </c>
      <c r="F6" s="213" t="s">
        <v>399</v>
      </c>
      <c r="G6" s="213" t="s">
        <v>282</v>
      </c>
      <c r="H6" s="213">
        <v>1384</v>
      </c>
      <c r="I6" s="213">
        <v>726</v>
      </c>
      <c r="K6" s="214" t="str">
        <f t="shared" si="0"/>
        <v>US Equity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AMZN</v>
      </c>
      <c r="M6" s="214" t="str">
        <f t="shared" si="1"/>
        <v>EQTY.IntlUS.off</v>
      </c>
      <c r="N6" s="215">
        <f t="shared" si="2"/>
        <v>1384</v>
      </c>
      <c r="O6" s="215">
        <f t="shared" si="3"/>
        <v>726</v>
      </c>
    </row>
    <row r="7" spans="5:15">
      <c r="E7" s="213" t="s">
        <v>319</v>
      </c>
      <c r="F7" s="213" t="s">
        <v>2308</v>
      </c>
      <c r="G7" s="213" t="s">
        <v>282</v>
      </c>
      <c r="H7" s="213">
        <v>4</v>
      </c>
      <c r="I7" s="213">
        <v>4</v>
      </c>
      <c r="K7" s="214" t="str">
        <f t="shared" si="0"/>
        <v>US Equity Options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AMZN US 07/17/26 C245</v>
      </c>
      <c r="M7" s="214" t="str">
        <f t="shared" si="1"/>
        <v>EQTY.IntlUS.off</v>
      </c>
      <c r="N7" s="215">
        <f t="shared" si="2"/>
        <v>4</v>
      </c>
      <c r="O7" s="215">
        <f t="shared" si="3"/>
        <v>4</v>
      </c>
    </row>
    <row r="8" spans="5:15">
      <c r="E8" s="213" t="s">
        <v>324</v>
      </c>
      <c r="F8" s="213" t="s">
        <v>2227</v>
      </c>
      <c r="G8" s="213" t="s">
        <v>282</v>
      </c>
      <c r="H8" s="213">
        <v>126</v>
      </c>
      <c r="I8" s="213">
        <v>126</v>
      </c>
      <c r="K8" s="214" t="str">
        <f t="shared" si="0"/>
        <v>ETF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214" t="str">
        <f t="shared" si="1"/>
        <v>EQTY.IntlUS.off</v>
      </c>
      <c r="N8" s="215">
        <f t="shared" si="2"/>
        <v>126</v>
      </c>
      <c r="O8" s="215">
        <f t="shared" si="3"/>
        <v>126</v>
      </c>
    </row>
    <row r="9" spans="5:15">
      <c r="E9" s="213" t="s">
        <v>317</v>
      </c>
      <c r="F9" s="213" t="s">
        <v>137</v>
      </c>
      <c r="G9" s="213" t="s">
        <v>282</v>
      </c>
      <c r="H9" s="213">
        <v>0</v>
      </c>
      <c r="I9" s="213">
        <v>60</v>
      </c>
      <c r="K9" s="214" t="str">
        <f t="shared" si="0"/>
        <v>US Equity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</v>
      </c>
      <c r="M9" s="214" t="str">
        <f t="shared" si="1"/>
        <v>EQTY.IntlUS.off</v>
      </c>
      <c r="N9" s="215">
        <f t="shared" si="2"/>
        <v>0</v>
      </c>
      <c r="O9" s="215">
        <f t="shared" si="3"/>
        <v>60</v>
      </c>
    </row>
    <row r="10" spans="5:15">
      <c r="E10" s="213" t="s">
        <v>319</v>
      </c>
      <c r="F10" s="213" t="s">
        <v>2105</v>
      </c>
      <c r="G10" s="213" t="s">
        <v>282</v>
      </c>
      <c r="H10" s="213">
        <v>6</v>
      </c>
      <c r="I10" s="213">
        <v>6</v>
      </c>
      <c r="K10" s="214" t="str">
        <f t="shared" si="0"/>
        <v>US Equity Options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AVGO US 06/18/26 C350</v>
      </c>
      <c r="M10" s="214" t="str">
        <f t="shared" si="1"/>
        <v>EQTY.IntlUS.off</v>
      </c>
      <c r="N10" s="215">
        <f t="shared" si="2"/>
        <v>6</v>
      </c>
      <c r="O10" s="215">
        <f t="shared" si="3"/>
        <v>6</v>
      </c>
    </row>
    <row r="11" spans="5:15">
      <c r="E11" s="213" t="s">
        <v>39</v>
      </c>
      <c r="F11" s="213" t="s">
        <v>461</v>
      </c>
      <c r="G11" s="213" t="s">
        <v>282</v>
      </c>
      <c r="H11" s="213">
        <v>215</v>
      </c>
      <c r="I11" s="213">
        <v>215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BABA</v>
      </c>
      <c r="M11" s="214" t="str">
        <f t="shared" si="1"/>
        <v>EQTY.IntlUS.off</v>
      </c>
      <c r="N11" s="215">
        <f t="shared" si="2"/>
        <v>215</v>
      </c>
      <c r="O11" s="215">
        <f t="shared" si="3"/>
        <v>215</v>
      </c>
    </row>
    <row r="12" spans="5:15">
      <c r="E12" s="213" t="s">
        <v>39</v>
      </c>
      <c r="F12" s="213" t="s">
        <v>2141</v>
      </c>
      <c r="G12" s="213" t="s">
        <v>282</v>
      </c>
      <c r="H12" s="213">
        <v>225</v>
      </c>
      <c r="I12" s="213">
        <v>225</v>
      </c>
      <c r="K12" s="214" t="str">
        <f t="shared" si="0"/>
        <v>ADR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BIDU</v>
      </c>
      <c r="M12" s="214" t="str">
        <f t="shared" si="1"/>
        <v>EQTY.IntlUS.off</v>
      </c>
      <c r="N12" s="215">
        <f t="shared" si="2"/>
        <v>225</v>
      </c>
      <c r="O12" s="215">
        <f t="shared" si="3"/>
        <v>225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0.05</v>
      </c>
      <c r="I13" s="213">
        <v>0.05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CAD</v>
      </c>
      <c r="M13" s="214" t="str">
        <f t="shared" si="1"/>
        <v>EQTY.IntlUS.off</v>
      </c>
      <c r="N13" s="215">
        <f t="shared" si="2"/>
        <v>0.05</v>
      </c>
      <c r="O13" s="215">
        <f t="shared" si="3"/>
        <v>0.05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0.49</v>
      </c>
      <c r="I14" s="213">
        <v>0.49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EQTY.InternacionalUS2.off</v>
      </c>
      <c r="N14" s="215">
        <f t="shared" si="2"/>
        <v>0.49</v>
      </c>
      <c r="O14" s="215">
        <f t="shared" si="3"/>
        <v>0.49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-2610.69</v>
      </c>
      <c r="I15" s="213">
        <v>-2610.69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214" t="str">
        <f t="shared" si="1"/>
        <v>EQTY.IntlUS.off</v>
      </c>
      <c r="N15" s="215">
        <f t="shared" si="2"/>
        <v>-2610.69</v>
      </c>
      <c r="O15" s="215">
        <f t="shared" si="3"/>
        <v>-2610.69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0.16</v>
      </c>
      <c r="I16" s="213">
        <v>0.16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CNH</v>
      </c>
      <c r="M16" s="214" t="str">
        <f t="shared" si="1"/>
        <v>EQTY.IntlUS.off</v>
      </c>
      <c r="N16" s="215">
        <f t="shared" si="2"/>
        <v>0.16</v>
      </c>
      <c r="O16" s="215">
        <f t="shared" si="3"/>
        <v>0.16</v>
      </c>
    </row>
    <row r="17" spans="5:15">
      <c r="E17" s="213" t="s">
        <v>321</v>
      </c>
      <c r="F17" s="213" t="s">
        <v>2126</v>
      </c>
      <c r="G17" s="213" t="s">
        <v>283</v>
      </c>
      <c r="H17" s="213">
        <v>-0.21</v>
      </c>
      <c r="I17" s="213">
        <v>-0.21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EQTY.InternacionalUS2.off</v>
      </c>
      <c r="N17" s="215">
        <f t="shared" si="2"/>
        <v>-0.21</v>
      </c>
      <c r="O17" s="215">
        <f t="shared" si="3"/>
        <v>-0.21</v>
      </c>
    </row>
    <row r="18" spans="5:15">
      <c r="E18" s="213" t="s">
        <v>321</v>
      </c>
      <c r="F18" s="213" t="s">
        <v>2126</v>
      </c>
      <c r="G18" s="213" t="s">
        <v>282</v>
      </c>
      <c r="H18" s="213">
        <v>-10000.790000000001</v>
      </c>
      <c r="I18" s="213">
        <v>-10000.790000000001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214" t="str">
        <f t="shared" si="1"/>
        <v>EQTY.IntlUS.off</v>
      </c>
      <c r="N18" s="215">
        <f t="shared" si="2"/>
        <v>-10000.790000000001</v>
      </c>
      <c r="O18" s="215">
        <f t="shared" si="3"/>
        <v>-10000.790000000001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0.47</v>
      </c>
      <c r="I19" s="213">
        <v>0.47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EQTY.InternacionalUS2.off</v>
      </c>
      <c r="N19" s="215">
        <f t="shared" si="2"/>
        <v>0.47</v>
      </c>
      <c r="O19" s="215">
        <f t="shared" si="3"/>
        <v>0.47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3233.9</v>
      </c>
      <c r="I20" s="213">
        <v>3233.9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214" t="str">
        <f t="shared" si="1"/>
        <v>EQTY.IntlUS.off</v>
      </c>
      <c r="N20" s="215">
        <f t="shared" si="2"/>
        <v>3233.9</v>
      </c>
      <c r="O20" s="215">
        <f t="shared" si="3"/>
        <v>3233.9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0.82</v>
      </c>
      <c r="I21" s="213">
        <v>0.82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GBP</v>
      </c>
      <c r="M21" s="214" t="str">
        <f t="shared" si="1"/>
        <v>EQTY.IntlUS.off</v>
      </c>
      <c r="N21" s="215">
        <f t="shared" si="2"/>
        <v>0.82</v>
      </c>
      <c r="O21" s="215">
        <f t="shared" si="3"/>
        <v>0.82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-0.06</v>
      </c>
      <c r="I22" s="213">
        <v>-0.06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EQTY.InternacionalUS2.off</v>
      </c>
      <c r="N22" s="215">
        <f t="shared" si="2"/>
        <v>-0.06</v>
      </c>
      <c r="O22" s="215">
        <f t="shared" si="3"/>
        <v>-0.06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-17957.060000000001</v>
      </c>
      <c r="I23" s="213">
        <v>-17957.060000000001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214" t="str">
        <f t="shared" si="1"/>
        <v>EQTY.IntlUS.off</v>
      </c>
      <c r="N23" s="215">
        <f t="shared" si="2"/>
        <v>-17957.060000000001</v>
      </c>
      <c r="O23" s="215">
        <f t="shared" si="3"/>
        <v>-17957.060000000001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-0.01</v>
      </c>
      <c r="I24" s="213">
        <v>-0.01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KRW</v>
      </c>
      <c r="M24" s="214" t="str">
        <f t="shared" si="1"/>
        <v>EQTY.IntlUS.off</v>
      </c>
      <c r="N24" s="215">
        <f t="shared" si="2"/>
        <v>-0.01</v>
      </c>
      <c r="O24" s="215">
        <f t="shared" si="3"/>
        <v>-0.01</v>
      </c>
    </row>
    <row r="25" spans="5:15">
      <c r="E25" s="213" t="s">
        <v>321</v>
      </c>
      <c r="F25" s="213" t="s">
        <v>302</v>
      </c>
      <c r="G25" s="213" t="s">
        <v>282</v>
      </c>
      <c r="H25" s="213">
        <v>325183.97385591001</v>
      </c>
      <c r="I25" s="213">
        <v>3.8559100000000002E-3</v>
      </c>
      <c r="K25" s="214" t="str">
        <f t="shared" si="0"/>
        <v>Cash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Cash USD</v>
      </c>
      <c r="M25" s="214" t="str">
        <f t="shared" si="1"/>
        <v>EQTY.IntlUS.off</v>
      </c>
      <c r="N25" s="215">
        <f t="shared" si="2"/>
        <v>325183.97385591001</v>
      </c>
      <c r="O25" s="215">
        <f t="shared" si="3"/>
        <v>3.8559100000000002E-3</v>
      </c>
    </row>
    <row r="26" spans="5:15">
      <c r="E26" s="213" t="s">
        <v>477</v>
      </c>
      <c r="F26" s="213" t="s">
        <v>1906</v>
      </c>
      <c r="G26" s="213" t="s">
        <v>282</v>
      </c>
      <c r="H26" s="213">
        <v>375000</v>
      </c>
      <c r="I26" s="213">
        <v>375000</v>
      </c>
      <c r="K26" s="214" t="str">
        <f t="shared" si="0"/>
        <v>CDS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CHINAGOV 12/20/30</v>
      </c>
      <c r="M26" s="214" t="str">
        <f t="shared" si="1"/>
        <v>EQTY.IntlUS.off</v>
      </c>
      <c r="N26" s="215">
        <f t="shared" si="2"/>
        <v>375000</v>
      </c>
      <c r="O26" s="215">
        <f t="shared" si="3"/>
        <v>375000</v>
      </c>
    </row>
    <row r="27" spans="5:15">
      <c r="E27" s="213" t="s">
        <v>318</v>
      </c>
      <c r="F27" s="213" t="s">
        <v>2284</v>
      </c>
      <c r="G27" s="213" t="s">
        <v>283</v>
      </c>
      <c r="H27" s="213">
        <v>0.01</v>
      </c>
      <c r="I27" s="213">
        <v>0.01</v>
      </c>
      <c r="K27" s="214" t="str">
        <f t="shared" si="0"/>
        <v>Provisions and Costs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DELL DIVIDEND_</v>
      </c>
      <c r="M27" s="214" t="str">
        <f t="shared" si="1"/>
        <v>EQTY.InternacionalUS2.off</v>
      </c>
      <c r="N27" s="215">
        <f t="shared" si="2"/>
        <v>0.01</v>
      </c>
      <c r="O27" s="215">
        <f t="shared" si="3"/>
        <v>0.01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2692</v>
      </c>
      <c r="I28" s="213">
        <v>2692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2692</v>
      </c>
      <c r="O28" s="215">
        <f t="shared" si="3"/>
        <v>2692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958</v>
      </c>
      <c r="I29" s="213">
        <v>958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958</v>
      </c>
      <c r="O29" s="215">
        <f t="shared" si="3"/>
        <v>958</v>
      </c>
    </row>
    <row r="30" spans="5:15">
      <c r="E30" s="213" t="s">
        <v>324</v>
      </c>
      <c r="F30" s="213" t="s">
        <v>2274</v>
      </c>
      <c r="G30" s="213" t="s">
        <v>282</v>
      </c>
      <c r="H30" s="213">
        <v>69</v>
      </c>
      <c r="I30" s="213">
        <v>69</v>
      </c>
      <c r="K30" s="214" t="str">
        <f t="shared" si="0"/>
        <v>ETF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GDX US 09/18/26 C105</v>
      </c>
      <c r="M30" s="214" t="str">
        <f t="shared" si="1"/>
        <v>EQTY.IntlUS.off</v>
      </c>
      <c r="N30" s="215">
        <f t="shared" si="2"/>
        <v>69</v>
      </c>
      <c r="O30" s="215">
        <f t="shared" si="3"/>
        <v>69</v>
      </c>
    </row>
    <row r="31" spans="5:15">
      <c r="E31" s="213" t="s">
        <v>324</v>
      </c>
      <c r="F31" s="213" t="s">
        <v>2275</v>
      </c>
      <c r="G31" s="213" t="s">
        <v>282</v>
      </c>
      <c r="H31" s="213">
        <v>-69</v>
      </c>
      <c r="I31" s="213">
        <v>-69</v>
      </c>
      <c r="K31" s="214" t="str">
        <f t="shared" si="0"/>
        <v>ETF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GDX US 09/18/26 C115</v>
      </c>
      <c r="M31" s="214" t="str">
        <f t="shared" si="1"/>
        <v>EQTY.IntlUS.off</v>
      </c>
      <c r="N31" s="215">
        <f t="shared" si="2"/>
        <v>-69</v>
      </c>
      <c r="O31" s="215">
        <f t="shared" si="3"/>
        <v>-69</v>
      </c>
    </row>
    <row r="32" spans="5:15">
      <c r="E32" s="213" t="s">
        <v>317</v>
      </c>
      <c r="F32" s="213" t="s">
        <v>2148</v>
      </c>
      <c r="G32" s="213" t="s">
        <v>282</v>
      </c>
      <c r="H32" s="213">
        <v>703</v>
      </c>
      <c r="I32" s="213">
        <v>927</v>
      </c>
      <c r="K32" s="214" t="str">
        <f t="shared" si="0"/>
        <v>US Equity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GOOG</v>
      </c>
      <c r="M32" s="214" t="str">
        <f t="shared" si="1"/>
        <v>EQTY.IntlUS.off</v>
      </c>
      <c r="N32" s="215">
        <f t="shared" si="2"/>
        <v>703</v>
      </c>
      <c r="O32" s="215">
        <f t="shared" si="3"/>
        <v>927</v>
      </c>
    </row>
    <row r="33" spans="5:15">
      <c r="E33" s="213" t="s">
        <v>325</v>
      </c>
      <c r="F33" s="213" t="s">
        <v>1896</v>
      </c>
      <c r="G33" s="213" t="s">
        <v>282</v>
      </c>
      <c r="H33" s="213">
        <v>19314</v>
      </c>
      <c r="I33" s="213">
        <v>19314</v>
      </c>
      <c r="K33" s="214" t="str">
        <f t="shared" si="0"/>
        <v>Basket Index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GSC1000P 03/20/26 C104</v>
      </c>
      <c r="M33" s="214" t="str">
        <f t="shared" si="1"/>
        <v>EQTY.IntlUS.off</v>
      </c>
      <c r="N33" s="215">
        <f t="shared" si="2"/>
        <v>19314</v>
      </c>
      <c r="O33" s="215">
        <f t="shared" si="3"/>
        <v>19314</v>
      </c>
    </row>
    <row r="34" spans="5:15">
      <c r="E34" s="213" t="s">
        <v>325</v>
      </c>
      <c r="F34" s="213" t="s">
        <v>1897</v>
      </c>
      <c r="G34" s="213" t="s">
        <v>282</v>
      </c>
      <c r="H34" s="213">
        <v>-19314</v>
      </c>
      <c r="I34" s="213">
        <v>-19314</v>
      </c>
      <c r="K34" s="214" t="str">
        <f t="shared" si="0"/>
        <v>Basket Index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GSC1000P 03/20/26 C119</v>
      </c>
      <c r="M34" s="214" t="str">
        <f t="shared" si="1"/>
        <v>EQTY.IntlUS.off</v>
      </c>
      <c r="N34" s="215">
        <f t="shared" si="2"/>
        <v>-19314</v>
      </c>
      <c r="O34" s="215">
        <f t="shared" si="3"/>
        <v>-19314</v>
      </c>
    </row>
    <row r="35" spans="5:15">
      <c r="E35" s="213" t="s">
        <v>317</v>
      </c>
      <c r="F35" s="213" t="s">
        <v>708</v>
      </c>
      <c r="G35" s="213" t="s">
        <v>282</v>
      </c>
      <c r="H35" s="213">
        <v>0</v>
      </c>
      <c r="I35" s="213">
        <v>435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INTC</v>
      </c>
      <c r="M35" s="214" t="str">
        <f t="shared" si="1"/>
        <v>EQTY.IntlUS.off</v>
      </c>
      <c r="N35" s="215">
        <f t="shared" si="2"/>
        <v>0</v>
      </c>
      <c r="O35" s="215">
        <f t="shared" si="3"/>
        <v>435</v>
      </c>
    </row>
    <row r="36" spans="5:15">
      <c r="E36" s="213" t="s">
        <v>319</v>
      </c>
      <c r="F36" s="213" t="s">
        <v>2358</v>
      </c>
      <c r="G36" s="213" t="s">
        <v>282</v>
      </c>
      <c r="H36" s="213">
        <v>6</v>
      </c>
      <c r="I36" s="213">
        <v>0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INTC US 07/17/26 C50</v>
      </c>
      <c r="M36" s="214" t="str">
        <f t="shared" si="1"/>
        <v>EQTY.IntlUS.off</v>
      </c>
      <c r="N36" s="215">
        <f t="shared" si="2"/>
        <v>6</v>
      </c>
      <c r="O36" s="215">
        <f t="shared" si="3"/>
        <v>0</v>
      </c>
    </row>
    <row r="37" spans="5:15">
      <c r="E37" s="213" t="s">
        <v>319</v>
      </c>
      <c r="F37" s="213" t="s">
        <v>2359</v>
      </c>
      <c r="G37" s="213" t="s">
        <v>282</v>
      </c>
      <c r="H37" s="213">
        <v>-9</v>
      </c>
      <c r="I37" s="213">
        <v>0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INTC US 07/17/26 C60</v>
      </c>
      <c r="M37" s="214" t="str">
        <f t="shared" si="1"/>
        <v>EQTY.IntlUS.off</v>
      </c>
      <c r="N37" s="215">
        <f t="shared" si="2"/>
        <v>-9</v>
      </c>
      <c r="O37" s="215">
        <f t="shared" si="3"/>
        <v>0</v>
      </c>
    </row>
    <row r="38" spans="5:15">
      <c r="E38" s="213" t="s">
        <v>319</v>
      </c>
      <c r="F38" s="213" t="s">
        <v>2357</v>
      </c>
      <c r="G38" s="213" t="s">
        <v>282</v>
      </c>
      <c r="H38" s="213">
        <v>-9</v>
      </c>
      <c r="I38" s="213">
        <v>0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INTC US 07/17/26 P40</v>
      </c>
      <c r="M38" s="214" t="str">
        <f t="shared" si="1"/>
        <v>EQTY.IntlUS.off</v>
      </c>
      <c r="N38" s="215">
        <f t="shared" si="2"/>
        <v>-9</v>
      </c>
      <c r="O38" s="215">
        <f t="shared" si="3"/>
        <v>0</v>
      </c>
    </row>
    <row r="39" spans="5:15">
      <c r="E39" s="213" t="s">
        <v>317</v>
      </c>
      <c r="F39" s="213" t="s">
        <v>2276</v>
      </c>
      <c r="G39" s="213" t="s">
        <v>282</v>
      </c>
      <c r="H39" s="213">
        <v>-626</v>
      </c>
      <c r="I39" s="213">
        <v>-626</v>
      </c>
      <c r="K39" s="214" t="str">
        <f t="shared" si="0"/>
        <v>US Equity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KHC</v>
      </c>
      <c r="M39" s="214" t="str">
        <f t="shared" si="1"/>
        <v>EQTY.IntlUS.off</v>
      </c>
      <c r="N39" s="215">
        <f t="shared" si="2"/>
        <v>-626</v>
      </c>
      <c r="O39" s="215">
        <f t="shared" si="3"/>
        <v>-626</v>
      </c>
    </row>
    <row r="40" spans="5:15">
      <c r="E40" s="213" t="s">
        <v>2354</v>
      </c>
      <c r="F40" s="213" t="s">
        <v>2331</v>
      </c>
      <c r="G40" s="213" t="s">
        <v>282</v>
      </c>
      <c r="H40" s="213">
        <v>685255</v>
      </c>
      <c r="I40" s="213">
        <v>685255</v>
      </c>
      <c r="K40" s="214" t="str">
        <f t="shared" si="0"/>
        <v>KOSPI 200 Index Options - KRX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KOSPI2 12/10/26 C1000</v>
      </c>
      <c r="M40" s="214" t="str">
        <f t="shared" si="1"/>
        <v>EQTY.IntlUS.off</v>
      </c>
      <c r="N40" s="215">
        <f t="shared" si="2"/>
        <v>685255</v>
      </c>
      <c r="O40" s="215">
        <f t="shared" si="3"/>
        <v>685255</v>
      </c>
    </row>
    <row r="41" spans="5:15">
      <c r="E41" s="213" t="s">
        <v>317</v>
      </c>
      <c r="F41" s="213" t="s">
        <v>2063</v>
      </c>
      <c r="G41" s="213" t="s">
        <v>282</v>
      </c>
      <c r="H41" s="213">
        <v>120</v>
      </c>
      <c r="I41" s="213">
        <v>77</v>
      </c>
      <c r="K41" s="214" t="str">
        <f t="shared" si="0"/>
        <v>US Equity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LITE</v>
      </c>
      <c r="M41" s="214" t="str">
        <f t="shared" si="1"/>
        <v>EQTY.IntlUS.off</v>
      </c>
      <c r="N41" s="215">
        <f t="shared" si="2"/>
        <v>120</v>
      </c>
      <c r="O41" s="215">
        <f t="shared" si="3"/>
        <v>77</v>
      </c>
    </row>
    <row r="42" spans="5:15">
      <c r="E42" s="213" t="s">
        <v>319</v>
      </c>
      <c r="F42" s="213" t="s">
        <v>2306</v>
      </c>
      <c r="G42" s="213" t="s">
        <v>282</v>
      </c>
      <c r="H42" s="213">
        <v>4</v>
      </c>
      <c r="I42" s="213">
        <v>4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LITE US 03/20/26 C420</v>
      </c>
      <c r="M42" s="214" t="str">
        <f t="shared" si="1"/>
        <v>EQTY.IntlUS.off</v>
      </c>
      <c r="N42" s="215">
        <f t="shared" si="2"/>
        <v>4</v>
      </c>
      <c r="O42" s="215">
        <f t="shared" si="3"/>
        <v>4</v>
      </c>
    </row>
    <row r="43" spans="5:15">
      <c r="E43" s="213" t="s">
        <v>317</v>
      </c>
      <c r="F43" s="213" t="s">
        <v>326</v>
      </c>
      <c r="G43" s="213" t="s">
        <v>282</v>
      </c>
      <c r="H43" s="213">
        <v>93</v>
      </c>
      <c r="I43" s="213">
        <v>93</v>
      </c>
      <c r="K43" s="214" t="str">
        <f t="shared" si="0"/>
        <v>US Equity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</v>
      </c>
      <c r="M43" s="214" t="str">
        <f t="shared" si="1"/>
        <v>EQTY.IntlUS.off</v>
      </c>
      <c r="N43" s="215">
        <f t="shared" si="2"/>
        <v>93</v>
      </c>
      <c r="O43" s="215">
        <f t="shared" si="3"/>
        <v>93</v>
      </c>
    </row>
    <row r="44" spans="5:15">
      <c r="E44" s="213" t="s">
        <v>319</v>
      </c>
      <c r="F44" s="213" t="s">
        <v>2068</v>
      </c>
      <c r="G44" s="213" t="s">
        <v>282</v>
      </c>
      <c r="H44" s="213">
        <v>3</v>
      </c>
      <c r="I44" s="213">
        <v>3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 US 04/17/26 C690</v>
      </c>
      <c r="M44" s="214" t="str">
        <f t="shared" si="1"/>
        <v>EQTY.IntlUS.off</v>
      </c>
      <c r="N44" s="215">
        <f t="shared" si="2"/>
        <v>3</v>
      </c>
      <c r="O44" s="215">
        <f t="shared" si="3"/>
        <v>3</v>
      </c>
    </row>
    <row r="45" spans="5:15">
      <c r="E45" s="213" t="s">
        <v>319</v>
      </c>
      <c r="F45" s="213" t="s">
        <v>2309</v>
      </c>
      <c r="G45" s="213" t="s">
        <v>282</v>
      </c>
      <c r="H45" s="213">
        <v>2</v>
      </c>
      <c r="I45" s="213">
        <v>2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META US 07/17/26 C670</v>
      </c>
      <c r="M45" s="214" t="str">
        <f t="shared" si="1"/>
        <v>EQTY.IntlUS.off</v>
      </c>
      <c r="N45" s="215">
        <f t="shared" si="2"/>
        <v>2</v>
      </c>
      <c r="O45" s="215">
        <f t="shared" si="3"/>
        <v>2</v>
      </c>
    </row>
    <row r="46" spans="5:15">
      <c r="E46" s="213" t="s">
        <v>317</v>
      </c>
      <c r="F46" s="213" t="s">
        <v>138</v>
      </c>
      <c r="G46" s="213" t="s">
        <v>282</v>
      </c>
      <c r="H46" s="213">
        <v>-3</v>
      </c>
      <c r="I46" s="213">
        <v>-3</v>
      </c>
      <c r="K46" s="214" t="str">
        <f t="shared" si="0"/>
        <v>US Equity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MRVL</v>
      </c>
      <c r="M46" s="214" t="str">
        <f t="shared" si="1"/>
        <v>EQTY.IntlUS.off</v>
      </c>
      <c r="N46" s="215">
        <f t="shared" si="2"/>
        <v>-3</v>
      </c>
      <c r="O46" s="215">
        <f t="shared" si="3"/>
        <v>-3</v>
      </c>
    </row>
    <row r="47" spans="5:15">
      <c r="E47" s="213" t="s">
        <v>319</v>
      </c>
      <c r="F47" s="213" t="s">
        <v>2287</v>
      </c>
      <c r="G47" s="213" t="s">
        <v>282</v>
      </c>
      <c r="H47" s="213">
        <v>-9</v>
      </c>
      <c r="I47" s="213">
        <v>-9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MRVL US 03/20/26 P70</v>
      </c>
      <c r="M47" s="214" t="str">
        <f t="shared" si="1"/>
        <v>EQTY.IntlUS.off</v>
      </c>
      <c r="N47" s="215">
        <f t="shared" si="2"/>
        <v>-9</v>
      </c>
      <c r="O47" s="215">
        <f t="shared" si="3"/>
        <v>-9</v>
      </c>
    </row>
    <row r="48" spans="5:15">
      <c r="E48" s="213" t="s">
        <v>319</v>
      </c>
      <c r="F48" s="213" t="s">
        <v>2098</v>
      </c>
      <c r="G48" s="213" t="s">
        <v>282</v>
      </c>
      <c r="H48" s="213">
        <v>-12</v>
      </c>
      <c r="I48" s="213">
        <v>-12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 US 03/20/26 P75</v>
      </c>
      <c r="M48" s="214" t="str">
        <f t="shared" si="1"/>
        <v>EQTY.IntlUS.off</v>
      </c>
      <c r="N48" s="215">
        <f t="shared" si="2"/>
        <v>-12</v>
      </c>
      <c r="O48" s="215">
        <f t="shared" si="3"/>
        <v>-12</v>
      </c>
    </row>
    <row r="49" spans="5:15">
      <c r="E49" s="213" t="s">
        <v>319</v>
      </c>
      <c r="F49" s="213" t="s">
        <v>2058</v>
      </c>
      <c r="G49" s="213" t="s">
        <v>282</v>
      </c>
      <c r="H49" s="213">
        <v>9</v>
      </c>
      <c r="I49" s="213">
        <v>9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MRVL US 03/20/26 P80</v>
      </c>
      <c r="M49" s="214" t="str">
        <f t="shared" si="1"/>
        <v>EQTY.IntlUS.off</v>
      </c>
      <c r="N49" s="215">
        <f t="shared" si="2"/>
        <v>9</v>
      </c>
      <c r="O49" s="215">
        <f t="shared" si="3"/>
        <v>9</v>
      </c>
    </row>
    <row r="50" spans="5:15">
      <c r="E50" s="213" t="s">
        <v>319</v>
      </c>
      <c r="F50" s="213" t="s">
        <v>2097</v>
      </c>
      <c r="G50" s="213" t="s">
        <v>282</v>
      </c>
      <c r="H50" s="213">
        <v>14</v>
      </c>
      <c r="I50" s="213">
        <v>14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MRVL US 03/20/26 P85</v>
      </c>
      <c r="M50" s="214" t="str">
        <f t="shared" si="1"/>
        <v>EQTY.IntlUS.off</v>
      </c>
      <c r="N50" s="215">
        <f t="shared" si="2"/>
        <v>14</v>
      </c>
      <c r="O50" s="215">
        <f t="shared" si="3"/>
        <v>14</v>
      </c>
    </row>
    <row r="51" spans="5:15">
      <c r="E51" s="213" t="s">
        <v>317</v>
      </c>
      <c r="F51" s="213" t="s">
        <v>90</v>
      </c>
      <c r="G51" s="213" t="s">
        <v>282</v>
      </c>
      <c r="H51" s="213">
        <v>242</v>
      </c>
      <c r="I51" s="213">
        <v>230</v>
      </c>
      <c r="K51" s="214" t="str">
        <f t="shared" si="0"/>
        <v>US Equity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MSFT</v>
      </c>
      <c r="M51" s="214" t="str">
        <f t="shared" si="1"/>
        <v>EQTY.IntlUS.off</v>
      </c>
      <c r="N51" s="215">
        <f t="shared" si="2"/>
        <v>242</v>
      </c>
      <c r="O51" s="215">
        <f t="shared" si="3"/>
        <v>230</v>
      </c>
    </row>
    <row r="52" spans="5:15">
      <c r="E52" s="213" t="s">
        <v>319</v>
      </c>
      <c r="F52" s="213" t="s">
        <v>2049</v>
      </c>
      <c r="G52" s="213" t="s">
        <v>282</v>
      </c>
      <c r="H52" s="213">
        <v>-4</v>
      </c>
      <c r="I52" s="213">
        <v>-4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MSFT US 03/20/26 P465</v>
      </c>
      <c r="M52" s="214" t="str">
        <f t="shared" si="1"/>
        <v>EQTY.IntlUS.off</v>
      </c>
      <c r="N52" s="215">
        <f t="shared" si="2"/>
        <v>-4</v>
      </c>
      <c r="O52" s="215">
        <f t="shared" si="3"/>
        <v>-4</v>
      </c>
    </row>
    <row r="53" spans="5:15">
      <c r="E53" s="213" t="s">
        <v>319</v>
      </c>
      <c r="F53" s="213" t="s">
        <v>2311</v>
      </c>
      <c r="G53" s="213" t="s">
        <v>282</v>
      </c>
      <c r="H53" s="213">
        <v>1</v>
      </c>
      <c r="I53" s="213">
        <v>1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MSFT US 07/17/26 C465</v>
      </c>
      <c r="M53" s="214" t="str">
        <f t="shared" si="1"/>
        <v>EQTY.IntlUS.off</v>
      </c>
      <c r="N53" s="215">
        <f t="shared" si="2"/>
        <v>1</v>
      </c>
      <c r="O53" s="215">
        <f t="shared" si="3"/>
        <v>1</v>
      </c>
    </row>
    <row r="54" spans="5:15">
      <c r="E54" s="213" t="s">
        <v>319</v>
      </c>
      <c r="F54" s="213" t="s">
        <v>2360</v>
      </c>
      <c r="G54" s="213" t="s">
        <v>282</v>
      </c>
      <c r="H54" s="213">
        <v>5</v>
      </c>
      <c r="I54" s="213">
        <v>0</v>
      </c>
      <c r="K54" s="214" t="str">
        <f t="shared" si="0"/>
        <v>US Equity Options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MSFT US 07/17/26 C475</v>
      </c>
      <c r="M54" s="214" t="str">
        <f t="shared" si="1"/>
        <v>EQTY.IntlUS.off</v>
      </c>
      <c r="N54" s="215">
        <f t="shared" si="2"/>
        <v>5</v>
      </c>
      <c r="O54" s="215">
        <f t="shared" si="3"/>
        <v>0</v>
      </c>
    </row>
    <row r="55" spans="5:15">
      <c r="E55" s="213" t="s">
        <v>317</v>
      </c>
      <c r="F55" s="213" t="s">
        <v>94</v>
      </c>
      <c r="G55" s="213" t="s">
        <v>282</v>
      </c>
      <c r="H55" s="213">
        <v>1486</v>
      </c>
      <c r="I55" s="213">
        <v>1486</v>
      </c>
      <c r="K55" s="214" t="str">
        <f t="shared" si="0"/>
        <v>US Equity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NVDA</v>
      </c>
      <c r="M55" s="214" t="str">
        <f t="shared" si="1"/>
        <v>EQTY.IntlUS.off</v>
      </c>
      <c r="N55" s="215">
        <f t="shared" si="2"/>
        <v>1486</v>
      </c>
      <c r="O55" s="215">
        <f t="shared" si="3"/>
        <v>1486</v>
      </c>
    </row>
    <row r="56" spans="5:15">
      <c r="E56" s="213" t="s">
        <v>318</v>
      </c>
      <c r="F56" s="213" t="s">
        <v>2313</v>
      </c>
      <c r="G56" s="213" t="s">
        <v>282</v>
      </c>
      <c r="H56" s="213">
        <v>0</v>
      </c>
      <c r="I56" s="213">
        <v>7415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CME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7415</v>
      </c>
    </row>
    <row r="57" spans="5:15">
      <c r="E57" s="213" t="s">
        <v>318</v>
      </c>
      <c r="F57" s="213" t="s">
        <v>336</v>
      </c>
      <c r="G57" s="213" t="s">
        <v>282</v>
      </c>
      <c r="H57" s="213">
        <v>0</v>
      </c>
      <c r="I57" s="213">
        <v>-8102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ETF Options USD_</v>
      </c>
      <c r="M57" s="214" t="str">
        <f t="shared" si="1"/>
        <v>EQTY.IntlUS.off</v>
      </c>
      <c r="N57" s="215">
        <f t="shared" si="2"/>
        <v>0</v>
      </c>
      <c r="O57" s="215">
        <f t="shared" si="3"/>
        <v>-8102</v>
      </c>
    </row>
    <row r="58" spans="5:15">
      <c r="E58" s="213" t="s">
        <v>318</v>
      </c>
      <c r="F58" s="213" t="s">
        <v>306</v>
      </c>
      <c r="G58" s="213" t="s">
        <v>282</v>
      </c>
      <c r="H58" s="225">
        <v>3.6379788070917101E-12</v>
      </c>
      <c r="I58" s="213">
        <v>31132.880000000001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ETF USD_</v>
      </c>
      <c r="M58" s="214" t="str">
        <f t="shared" si="1"/>
        <v>EQTY.IntlUS.off</v>
      </c>
      <c r="N58" s="215">
        <f t="shared" si="2"/>
        <v>3.6379788070917101E-12</v>
      </c>
      <c r="O58" s="215">
        <f t="shared" si="3"/>
        <v>31132.880000000001</v>
      </c>
    </row>
    <row r="59" spans="5:15">
      <c r="E59" s="213" t="s">
        <v>318</v>
      </c>
      <c r="F59" s="213" t="s">
        <v>2355</v>
      </c>
      <c r="G59" s="213" t="s">
        <v>282</v>
      </c>
      <c r="H59" s="213">
        <v>-7833.15</v>
      </c>
      <c r="I59" s="213">
        <v>-7833.15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Korea Exchange USD_</v>
      </c>
      <c r="M59" s="214" t="str">
        <f t="shared" si="1"/>
        <v>EQTY.IntlUS.off</v>
      </c>
      <c r="N59" s="215">
        <f t="shared" si="2"/>
        <v>-7833.15</v>
      </c>
      <c r="O59" s="215">
        <f t="shared" si="3"/>
        <v>-7833.15</v>
      </c>
    </row>
    <row r="60" spans="5:15">
      <c r="E60" s="213" t="s">
        <v>318</v>
      </c>
      <c r="F60" s="213" t="s">
        <v>1666</v>
      </c>
      <c r="G60" s="213" t="s">
        <v>282</v>
      </c>
      <c r="H60" s="213">
        <v>0</v>
      </c>
      <c r="I60" s="213">
        <v>93981.75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NYSE USD_</v>
      </c>
      <c r="M60" s="214" t="str">
        <f t="shared" si="1"/>
        <v>EQTY.IntlUS.off</v>
      </c>
      <c r="N60" s="215">
        <f t="shared" si="2"/>
        <v>0</v>
      </c>
      <c r="O60" s="215">
        <f t="shared" si="3"/>
        <v>93981.75</v>
      </c>
    </row>
    <row r="61" spans="5:15">
      <c r="E61" s="213" t="s">
        <v>318</v>
      </c>
      <c r="F61" s="213" t="s">
        <v>337</v>
      </c>
      <c r="G61" s="213" t="s">
        <v>282</v>
      </c>
      <c r="H61" s="213">
        <v>0</v>
      </c>
      <c r="I61" s="213">
        <v>-31804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US Equity Options USD_</v>
      </c>
      <c r="M61" s="214" t="str">
        <f t="shared" si="1"/>
        <v>EQTY.IntlUS.off</v>
      </c>
      <c r="N61" s="215">
        <f t="shared" si="2"/>
        <v>0</v>
      </c>
      <c r="O61" s="215">
        <f t="shared" si="3"/>
        <v>-31804</v>
      </c>
    </row>
    <row r="62" spans="5:15">
      <c r="E62" s="213" t="s">
        <v>318</v>
      </c>
      <c r="F62" s="213" t="s">
        <v>307</v>
      </c>
      <c r="G62" s="213" t="s">
        <v>282</v>
      </c>
      <c r="H62" s="213">
        <v>0</v>
      </c>
      <c r="I62" s="213">
        <v>232560.34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US Equity USD_</v>
      </c>
      <c r="M62" s="214" t="str">
        <f t="shared" si="1"/>
        <v>EQTY.IntlUS.off</v>
      </c>
      <c r="N62" s="215">
        <f t="shared" si="2"/>
        <v>0</v>
      </c>
      <c r="O62" s="215">
        <f t="shared" si="3"/>
        <v>232560.34</v>
      </c>
    </row>
    <row r="63" spans="5:15">
      <c r="E63" s="213" t="s">
        <v>324</v>
      </c>
      <c r="F63" s="213" t="s">
        <v>2321</v>
      </c>
      <c r="G63" s="213" t="s">
        <v>282</v>
      </c>
      <c r="H63" s="213">
        <v>0</v>
      </c>
      <c r="I63" s="213">
        <v>15</v>
      </c>
      <c r="K63" s="214" t="str">
        <f t="shared" si="0"/>
        <v>ETF Options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QQQ US 02/06/26 C630</v>
      </c>
      <c r="M63" s="214" t="str">
        <f t="shared" si="1"/>
        <v>EQTY.IntlUS.off</v>
      </c>
      <c r="N63" s="215">
        <f t="shared" si="2"/>
        <v>0</v>
      </c>
      <c r="O63" s="215">
        <f t="shared" si="3"/>
        <v>15</v>
      </c>
    </row>
    <row r="64" spans="5:15">
      <c r="E64" s="213" t="s">
        <v>317</v>
      </c>
      <c r="F64" s="213" t="s">
        <v>2131</v>
      </c>
      <c r="G64" s="213" t="s">
        <v>282</v>
      </c>
      <c r="H64" s="213">
        <v>1733</v>
      </c>
      <c r="I64" s="213">
        <v>1689</v>
      </c>
      <c r="K64" s="214" t="str">
        <f t="shared" si="0"/>
        <v>US Equity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RIOT</v>
      </c>
      <c r="M64" s="214" t="str">
        <f t="shared" si="1"/>
        <v>EQTY.IntlUS.off</v>
      </c>
      <c r="N64" s="215">
        <f t="shared" si="2"/>
        <v>1733</v>
      </c>
      <c r="O64" s="215">
        <f t="shared" si="3"/>
        <v>1689</v>
      </c>
    </row>
    <row r="65" spans="5:15">
      <c r="E65" s="213" t="s">
        <v>320</v>
      </c>
      <c r="F65" s="213" t="s">
        <v>3</v>
      </c>
      <c r="G65" s="213" t="s">
        <v>282</v>
      </c>
      <c r="H65" s="213">
        <v>-799</v>
      </c>
      <c r="I65" s="213">
        <v>0</v>
      </c>
      <c r="K65" s="214" t="str">
        <f t="shared" si="0"/>
        <v>ETF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RSP</v>
      </c>
      <c r="M65" s="214" t="str">
        <f t="shared" si="1"/>
        <v>EQTY.IntlUS.off</v>
      </c>
      <c r="N65" s="215">
        <f t="shared" si="2"/>
        <v>-799</v>
      </c>
      <c r="O65" s="215">
        <f t="shared" si="3"/>
        <v>0</v>
      </c>
    </row>
    <row r="66" spans="5:15">
      <c r="E66" s="213" t="s">
        <v>319</v>
      </c>
      <c r="F66" s="213" t="s">
        <v>2302</v>
      </c>
      <c r="G66" s="213" t="s">
        <v>282</v>
      </c>
      <c r="H66" s="213">
        <v>1</v>
      </c>
      <c r="I66" s="213">
        <v>1</v>
      </c>
      <c r="K66" s="214" t="str">
        <f t="shared" si="0"/>
        <v>US Equity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SNDK US 02/20/26 C550</v>
      </c>
      <c r="M66" s="214" t="str">
        <f t="shared" si="1"/>
        <v>EQTY.IntlUS.off</v>
      </c>
      <c r="N66" s="215">
        <f t="shared" si="2"/>
        <v>1</v>
      </c>
      <c r="O66" s="215">
        <f t="shared" si="3"/>
        <v>1</v>
      </c>
    </row>
    <row r="67" spans="5:15">
      <c r="E67" s="213" t="s">
        <v>2133</v>
      </c>
      <c r="F67" s="213" t="s">
        <v>2314</v>
      </c>
      <c r="G67" s="213" t="s">
        <v>282</v>
      </c>
      <c r="H67" s="213">
        <v>57</v>
      </c>
      <c r="I67" s="213">
        <v>57</v>
      </c>
      <c r="K67" s="214" t="str">
        <f t="shared" ref="K67:K130" si="4">IF(E67="","",E67)</f>
        <v>Equity Total Return Swap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SWAP 000660 KP 23JAN2026 25JAN2027 509.6192</v>
      </c>
      <c r="M67" s="214" t="str">
        <f t="shared" ref="M67:M130" si="5">IF(E67="","",G67)</f>
        <v>EQTY.IntlUS.off</v>
      </c>
      <c r="N67" s="215">
        <f t="shared" ref="N67:N130" si="6">IF(E67="","",H67)</f>
        <v>57</v>
      </c>
      <c r="O67" s="215">
        <f t="shared" ref="O67:O130" si="7">IF(E67="","",I67)</f>
        <v>57</v>
      </c>
    </row>
    <row r="68" spans="5:15">
      <c r="E68" s="213" t="s">
        <v>2133</v>
      </c>
      <c r="F68" s="213" t="s">
        <v>2134</v>
      </c>
      <c r="G68" s="213" t="s">
        <v>282</v>
      </c>
      <c r="H68" s="213">
        <v>100</v>
      </c>
      <c r="I68" s="213">
        <v>100</v>
      </c>
      <c r="K68" s="214" t="str">
        <f t="shared" si="4"/>
        <v>Equity Total Return Swap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000660 KS</v>
      </c>
      <c r="M68" s="214" t="str">
        <f t="shared" si="5"/>
        <v>EQTY.IntlUS.off</v>
      </c>
      <c r="N68" s="215">
        <f t="shared" si="6"/>
        <v>100</v>
      </c>
      <c r="O68" s="215">
        <f t="shared" si="7"/>
        <v>100</v>
      </c>
    </row>
    <row r="69" spans="5:15">
      <c r="E69" s="213" t="s">
        <v>2133</v>
      </c>
      <c r="F69" s="213" t="s">
        <v>2356</v>
      </c>
      <c r="G69" s="213" t="s">
        <v>282</v>
      </c>
      <c r="H69" s="213">
        <v>56</v>
      </c>
      <c r="I69" s="213">
        <v>56</v>
      </c>
      <c r="K69" s="214" t="str">
        <f t="shared" si="4"/>
        <v>Equity Total Return Swap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SWAP 000660 KS 26JAN2026 26JAN2027 509.6192</v>
      </c>
      <c r="M69" s="214" t="str">
        <f t="shared" si="5"/>
        <v>EQTY.IntlUS.off</v>
      </c>
      <c r="N69" s="215">
        <f t="shared" si="6"/>
        <v>56</v>
      </c>
      <c r="O69" s="215">
        <f t="shared" si="7"/>
        <v>56</v>
      </c>
    </row>
    <row r="70" spans="5:15">
      <c r="E70" s="213" t="s">
        <v>39</v>
      </c>
      <c r="F70" s="213" t="s">
        <v>96</v>
      </c>
      <c r="G70" s="213" t="s">
        <v>282</v>
      </c>
      <c r="H70" s="213">
        <v>294</v>
      </c>
      <c r="I70" s="213">
        <v>294</v>
      </c>
      <c r="K70" s="214" t="str">
        <f t="shared" si="4"/>
        <v>ADR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TSM</v>
      </c>
      <c r="M70" s="214" t="str">
        <f t="shared" si="5"/>
        <v>EQTY.IntlUS.off</v>
      </c>
      <c r="N70" s="215">
        <f t="shared" si="6"/>
        <v>294</v>
      </c>
      <c r="O70" s="215">
        <f t="shared" si="7"/>
        <v>294</v>
      </c>
    </row>
    <row r="71" spans="5:15">
      <c r="E71" s="213" t="s">
        <v>327</v>
      </c>
      <c r="F71" s="213" t="s">
        <v>2228</v>
      </c>
      <c r="G71" s="213" t="s">
        <v>282</v>
      </c>
      <c r="H71" s="213">
        <v>97</v>
      </c>
      <c r="I71" s="213">
        <v>97</v>
      </c>
      <c r="K71" s="214" t="str">
        <f t="shared" si="4"/>
        <v>ADR Options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TSM US 06/18/26 C340</v>
      </c>
      <c r="M71" s="214" t="str">
        <f t="shared" si="5"/>
        <v>EQTY.IntlUS.off</v>
      </c>
      <c r="N71" s="215">
        <f t="shared" si="6"/>
        <v>97</v>
      </c>
      <c r="O71" s="215">
        <f t="shared" si="7"/>
        <v>97</v>
      </c>
    </row>
    <row r="72" spans="5:15">
      <c r="E72" s="213" t="s">
        <v>327</v>
      </c>
      <c r="F72" s="213" t="s">
        <v>2229</v>
      </c>
      <c r="G72" s="213" t="s">
        <v>282</v>
      </c>
      <c r="H72" s="213">
        <v>-88</v>
      </c>
      <c r="I72" s="213">
        <v>-88</v>
      </c>
      <c r="K72" s="214" t="str">
        <f t="shared" si="4"/>
        <v>ADR Options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TSM US 06/18/26 C380</v>
      </c>
      <c r="M72" s="214" t="str">
        <f t="shared" si="5"/>
        <v>EQTY.IntlUS.off</v>
      </c>
      <c r="N72" s="215">
        <f t="shared" si="6"/>
        <v>-88</v>
      </c>
      <c r="O72" s="215">
        <f t="shared" si="7"/>
        <v>-88</v>
      </c>
    </row>
    <row r="73" spans="5:15">
      <c r="E73" s="213" t="s">
        <v>320</v>
      </c>
      <c r="F73" s="213" t="s">
        <v>88</v>
      </c>
      <c r="G73" s="213" t="s">
        <v>282</v>
      </c>
      <c r="H73" s="213">
        <v>2885</v>
      </c>
      <c r="I73" s="213">
        <v>2885</v>
      </c>
      <c r="K73" s="214" t="str">
        <f t="shared" si="4"/>
        <v>ETF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XLF</v>
      </c>
      <c r="M73" s="214" t="str">
        <f t="shared" si="5"/>
        <v>EQTY.IntlUS.off</v>
      </c>
      <c r="N73" s="215">
        <f t="shared" si="6"/>
        <v>2885</v>
      </c>
      <c r="O73" s="215">
        <f t="shared" si="7"/>
        <v>2885</v>
      </c>
    </row>
    <row r="74" spans="5:15">
      <c r="E74" s="213" t="s">
        <v>320</v>
      </c>
      <c r="F74" s="213" t="s">
        <v>4</v>
      </c>
      <c r="G74" s="213" t="s">
        <v>282</v>
      </c>
      <c r="H74" s="213">
        <v>-1735</v>
      </c>
      <c r="I74" s="213">
        <v>-1735</v>
      </c>
      <c r="K74" s="214" t="str">
        <f t="shared" si="4"/>
        <v>ETF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XLP</v>
      </c>
      <c r="M74" s="214" t="str">
        <f t="shared" si="5"/>
        <v>EQTY.IntlUS.off</v>
      </c>
      <c r="N74" s="215">
        <f t="shared" si="6"/>
        <v>-1735</v>
      </c>
      <c r="O74" s="215">
        <f t="shared" si="7"/>
        <v>-1735</v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93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93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242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242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-799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-799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294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294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46046</v>
      </c>
      <c r="C2" s="210">
        <v>-2</v>
      </c>
    </row>
    <row r="3" spans="1:7">
      <c r="A3" s="208" t="s">
        <v>342</v>
      </c>
      <c r="B3" s="236">
        <f ca="1">B2-1</f>
        <v>46045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Daniel\BooksOverviewResume23Jan2026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Daniel\BooksOverviewResume23Jan2026_zenith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2134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2139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2139</v>
      </c>
      <c r="G98" s="22" t="s">
        <v>2139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55"/>
  <sheetViews>
    <sheetView topLeftCell="A31" zoomScaleNormal="100" workbookViewId="0">
      <selection activeCell="G52" sqref="G52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  <row r="50" spans="1:10">
      <c r="I50" s="93" cm="1">
        <f t="array" ref="I50">_xll.BDP("cny Curncy","LAST_PRICE")</f>
        <v>6.9542000000000002</v>
      </c>
    </row>
    <row r="51" spans="1:10">
      <c r="F51" s="80">
        <v>46044</v>
      </c>
      <c r="G51" s="80">
        <v>46045</v>
      </c>
      <c r="H51" s="80">
        <v>46044</v>
      </c>
      <c r="I51" s="80">
        <v>46045</v>
      </c>
      <c r="J51" t="s">
        <v>2352</v>
      </c>
    </row>
    <row r="52" spans="1:10">
      <c r="A52" s="445" t="s">
        <v>1930</v>
      </c>
      <c r="B52" s="446">
        <v>46101</v>
      </c>
      <c r="C52" s="445">
        <v>276451</v>
      </c>
      <c r="D52" s="445" t="s">
        <v>1932</v>
      </c>
      <c r="E52" s="445" t="s">
        <v>2149</v>
      </c>
      <c r="F52" s="459">
        <v>9.24</v>
      </c>
      <c r="G52" s="276">
        <v>11.6</v>
      </c>
      <c r="H52" s="267">
        <f>$C52*F52/$I$50</f>
        <v>367318.63334387855</v>
      </c>
      <c r="I52" s="267">
        <f>$C52*G52/$I$50</f>
        <v>461135.94662218518</v>
      </c>
      <c r="J52" s="267">
        <f>I52-H52</f>
        <v>93817.313278306625</v>
      </c>
    </row>
    <row r="53" spans="1:10">
      <c r="A53" s="445" t="s">
        <v>1930</v>
      </c>
      <c r="B53" s="446">
        <v>46101</v>
      </c>
      <c r="C53" s="445">
        <v>276451</v>
      </c>
      <c r="D53" s="445" t="s">
        <v>1932</v>
      </c>
      <c r="E53" s="445" t="s">
        <v>2150</v>
      </c>
      <c r="F53" s="459">
        <v>1.8</v>
      </c>
      <c r="G53" s="276">
        <v>2.7</v>
      </c>
      <c r="H53" s="267">
        <f>$C53*F53/$I$50</f>
        <v>71555.577924132172</v>
      </c>
      <c r="I53" s="267">
        <f>$C53*G53/$I$50</f>
        <v>107333.36688619827</v>
      </c>
      <c r="J53" s="267">
        <f>I53-H53</f>
        <v>35777.788962066101</v>
      </c>
    </row>
    <row r="54" spans="1:10">
      <c r="E54" s="276">
        <f>E53-E52</f>
        <v>15</v>
      </c>
      <c r="F54" s="276">
        <f>F52-F53</f>
        <v>7.44</v>
      </c>
      <c r="G54" s="276">
        <f>G52-G53</f>
        <v>8.8999999999999986</v>
      </c>
      <c r="H54" s="408">
        <f>H52-H53</f>
        <v>295763.05541974638</v>
      </c>
      <c r="I54" s="408">
        <f>I52-I53</f>
        <v>353802.57973598689</v>
      </c>
      <c r="J54" s="408">
        <f>J52-J53</f>
        <v>58039.524316240524</v>
      </c>
    </row>
    <row r="55" spans="1:10">
      <c r="I55" t="s">
        <v>2353</v>
      </c>
      <c r="J55" s="276">
        <f>J54/'Master P&amp;L'!AD7*10000</f>
        <v>0.24221848650060918</v>
      </c>
    </row>
  </sheetData>
  <conditionalFormatting sqref="F52:F53">
    <cfRule type="cellIs" dxfId="44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IF(R2="","",IF(LEN(R2)&gt;9,SUMIFS(Options!$AZ$3:$AZ$24,Options!$B$3:$B$24,'Check result'!R2),SUMIFS('Master P&amp;L'!$AE$11:$AE$85,'Master P&amp;L'!$B$11:$B$85,'Check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IF(R3="","",IF(LEN(R3)&gt;9,SUMIFS(Options!$AZ$3:$AZ$24,Options!$B$3:$B$24,'Check result'!R3),SUMIFS('Master P&amp;L'!$AE$11:$AE$85,'Master P&amp;L'!$B$11:$B$85,'Check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IF(R4="","",IF(LEN(R4)&gt;9,SUMIFS(Options!$AZ$3:$AZ$24,Options!$B$3:$B$24,'Check result'!R4),SUMIFS('Master P&amp;L'!$AE$11:$AE$85,'Master P&amp;L'!$B$11:$B$85,'Check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IF(R5="","",IF(LEN(R5)&gt;9,SUMIFS(Options!$AZ$3:$AZ$24,Options!$B$3:$B$24,'Check result'!R5),SUMIFS('Master P&amp;L'!$AE$11:$AE$85,'Master P&amp;L'!$B$11:$B$85,'Check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IF(R6="","",IF(LEN(R6)&gt;9,SUMIFS(Options!$AZ$3:$AZ$24,Options!$B$3:$B$24,'Check result'!R6),SUMIFS('Master P&amp;L'!$AE$11:$AE$85,'Master P&amp;L'!$B$11:$B$85,'Check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IF(R7="","",IF(LEN(R7)&gt;9,SUMIFS(Options!$AZ$3:$AZ$24,Options!$B$3:$B$24,'Check result'!R7),SUMIFS('Master P&amp;L'!$AE$11:$AE$85,'Master P&amp;L'!$B$11:$B$85,'Check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IF(R8="","",IF(LEN(R8)&gt;9,SUMIFS(Options!$AZ$3:$AZ$24,Options!$B$3:$B$24,'Check result'!R8),SUMIFS('Master P&amp;L'!$AE$11:$AE$85,'Master P&amp;L'!$B$11:$B$85,'Check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IF(R9="","",IF(LEN(R9)&gt;9,SUMIFS(Options!$AZ$3:$AZ$24,Options!$B$3:$B$24,'Check result'!R9),SUMIFS('Master P&amp;L'!$AE$11:$AE$85,'Master P&amp;L'!$B$11:$B$85,'Check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IF(R10="","",IF(LEN(R10)&gt;9,SUMIFS(Options!$AZ$3:$AZ$24,Options!$B$3:$B$24,'Check result'!R10),SUMIFS('Master P&amp;L'!$AE$11:$AE$85,'Master P&amp;L'!$B$11:$B$85,'Check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IF(R11="","",IF(LEN(R11)&gt;9,SUMIFS(Options!$AZ$3:$AZ$24,Options!$B$3:$B$24,'Check result'!R11),SUMIFS('Master P&amp;L'!$AE$11:$AE$85,'Master P&amp;L'!$B$11:$B$85,'Check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IF(R12="","",IF(LEN(R12)&gt;9,SUMIFS(Options!$AZ$3:$AZ$24,Options!$B$3:$B$24,'Check result'!R12),SUMIFS('Master P&amp;L'!$AE$11:$AE$85,'Master P&amp;L'!$B$11:$B$85,'Check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IF(R13="","",IF(LEN(R13)&gt;9,SUMIFS(Options!$AZ$3:$AZ$24,Options!$B$3:$B$24,'Check result'!R13),SUMIFS('Master P&amp;L'!$AE$11:$AE$85,'Master P&amp;L'!$B$11:$B$85,'Check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IF(R14="","",IF(LEN(R14)&gt;9,SUMIFS(Options!$AZ$3:$AZ$24,Options!$B$3:$B$24,'Check result'!R14),SUMIFS('Master P&amp;L'!$AE$11:$AE$85,'Master P&amp;L'!$B$11:$B$85,'Check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IF(R15="","",IF(LEN(R15)&gt;9,SUMIFS(Options!$AZ$3:$AZ$24,Options!$B$3:$B$24,'Check result'!R15),SUMIFS('Master P&amp;L'!$AE$11:$AE$85,'Master P&amp;L'!$B$11:$B$85,'Check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IF(R16="","",IF(LEN(R16)&gt;9,SUMIFS(Options!$AZ$3:$AZ$24,Options!$B$3:$B$24,'Check result'!R16),SUMIFS('Master P&amp;L'!$AE$11:$AE$85,'Master P&amp;L'!$B$11:$B$85,'Check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IF(R17="","",IF(LEN(R17)&gt;9,SUMIFS(Options!$AZ$3:$AZ$24,Options!$B$3:$B$24,'Check result'!R17),SUMIFS('Master P&amp;L'!$AE$11:$AE$85,'Master P&amp;L'!$B$11:$B$85,'Check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IF(R18="","",IF(LEN(R18)&gt;9,SUMIFS(Options!$AZ$3:$AZ$24,Options!$B$3:$B$24,'Check result'!R18),SUMIFS('Master P&amp;L'!$AE$11:$AE$85,'Master P&amp;L'!$B$11:$B$85,'Check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IF(R19="","",IF(LEN(R19)&gt;9,SUMIFS(Options!$AZ$3:$AZ$24,Options!$B$3:$B$24,'Check result'!R19),SUMIFS('Master P&amp;L'!$AE$11:$AE$85,'Master P&amp;L'!$B$11:$B$85,'Check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IF(R20="","",IF(LEN(R20)&gt;9,SUMIFS(Options!$AZ$3:$AZ$24,Options!$B$3:$B$24,'Check result'!R20),SUMIFS('Master P&amp;L'!$AE$11:$AE$85,'Master P&amp;L'!$B$11:$B$85,'Check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IF(R21="","",IF(LEN(R21)&gt;9,SUMIFS(Options!$AZ$3:$AZ$24,Options!$B$3:$B$24,'Check result'!R21),SUMIFS('Master P&amp;L'!$AE$11:$AE$85,'Master P&amp;L'!$B$11:$B$85,'Check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IF(R22="","",IF(LEN(R22)&gt;9,SUMIFS(Options!$AZ$3:$AZ$24,Options!$B$3:$B$24,'Check result'!R22),SUMIFS('Master P&amp;L'!$AE$11:$AE$85,'Master P&amp;L'!$B$11:$B$85,'Check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IF(R23="","",IF(LEN(R23)&gt;9,SUMIFS(Options!$AZ$3:$AZ$24,Options!$B$3:$B$24,'Check result'!R23),SUMIFS('Master P&amp;L'!$AE$11:$AE$85,'Master P&amp;L'!$B$11:$B$85,'Check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IF(R24="","",IF(LEN(R24)&gt;9,SUMIFS(Options!$AZ$3:$AZ$24,Options!$B$3:$B$24,'Check result'!R24),SUMIFS('Master P&amp;L'!$AE$11:$AE$85,'Master P&amp;L'!$B$11:$B$85,'Check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IF(R25="","",IF(LEN(R25)&gt;9,SUMIFS(Options!$AZ$3:$AZ$24,Options!$B$3:$B$24,'Check result'!R25),SUMIFS('Master P&amp;L'!$AE$11:$AE$85,'Master P&amp;L'!$B$11:$B$85,'Check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IF(R26="","",IF(LEN(R26)&gt;9,SUMIFS(Options!$AZ$3:$AZ$24,Options!$B$3:$B$24,'Check result'!R26),SUMIFS('Master P&amp;L'!$AE$11:$AE$85,'Master P&amp;L'!$B$11:$B$85,'Check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IF(R27="","",IF(LEN(R27)&gt;9,SUMIFS(Options!$AZ$3:$AZ$24,Options!$B$3:$B$24,'Check result'!R27),SUMIFS('Master P&amp;L'!$AE$11:$AE$85,'Master P&amp;L'!$B$11:$B$85,'Check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IF(R28="","",IF(LEN(R28)&gt;9,SUMIFS(Options!$AZ$3:$AZ$24,Options!$B$3:$B$24,'Check result'!R28),SUMIFS('Master P&amp;L'!$AE$11:$AE$85,'Master P&amp;L'!$B$11:$B$85,'Check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IF(R29="","",IF(LEN(R29)&gt;9,SUMIFS(Options!$AZ$3:$AZ$24,Options!$B$3:$B$24,'Check result'!R29),SUMIFS('Master P&amp;L'!$AE$11:$AE$85,'Master P&amp;L'!$B$11:$B$85,'Check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IF(R30="","",IF(LEN(R30)&gt;9,SUMIFS(Options!$AZ$3:$AZ$24,Options!$B$3:$B$24,'Check result'!R30),SUMIFS('Master P&amp;L'!$AE$11:$AE$85,'Master P&amp;L'!$B$11:$B$85,'Check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IF(R31="","",IF(LEN(R31)&gt;9,SUMIFS(Options!$AZ$3:$AZ$24,Options!$B$3:$B$24,'Check result'!R31),SUMIFS('Master P&amp;L'!$AE$11:$AE$85,'Master P&amp;L'!$B$11:$B$85,'Check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IF(R32="","",IF(LEN(R32)&gt;9,SUMIFS(Options!$AZ$3:$AZ$24,Options!$B$3:$B$24,'Check result'!R32),SUMIFS('Master P&amp;L'!$AE$11:$AE$85,'Master P&amp;L'!$B$11:$B$85,'Check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IF(R33="","",IF(LEN(R33)&gt;9,SUMIFS(Options!$AZ$3:$AZ$24,Options!$B$3:$B$24,'Check result'!R33),SUMIFS('Master P&amp;L'!$AE$11:$AE$85,'Master P&amp;L'!$B$11:$B$85,'Check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IF(R34="","",IF(LEN(R34)&gt;9,SUMIFS(Options!$AZ$3:$AZ$24,Options!$B$3:$B$24,'Check result'!R34),SUMIFS('Master P&amp;L'!$AE$11:$AE$85,'Master P&amp;L'!$B$11:$B$85,'Check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IF(R35="","",IF(LEN(R35)&gt;9,SUMIFS(Options!$AZ$3:$AZ$24,Options!$B$3:$B$24,'Check result'!R35),SUMIFS('Master P&amp;L'!$AE$11:$AE$85,'Master P&amp;L'!$B$11:$B$85,'Check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IF(R36="","",IF(LEN(R36)&gt;9,SUMIFS(Options!$AZ$3:$AZ$24,Options!$B$3:$B$24,'Check result'!R36),SUMIFS('Master P&amp;L'!$AE$11:$AE$85,'Master P&amp;L'!$B$11:$B$85,'Check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IF(R37="","",IF(LEN(R37)&gt;9,SUMIFS(Options!$AZ$3:$AZ$24,Options!$B$3:$B$24,'Check result'!R37),SUMIFS('Master P&amp;L'!$AE$11:$AE$85,'Master P&amp;L'!$B$11:$B$85,'Check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IF(R38="","",IF(LEN(R38)&gt;9,SUMIFS(Options!$AZ$3:$AZ$24,Options!$B$3:$B$24,'Check result'!R38),SUMIFS('Master P&amp;L'!$AE$11:$AE$85,'Master P&amp;L'!$B$11:$B$85,'Check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IF(R39="","",IF(LEN(R39)&gt;9,SUMIFS(Options!$AZ$3:$AZ$24,Options!$B$3:$B$24,'Check result'!R39),SUMIFS('Master P&amp;L'!$AE$11:$AE$85,'Master P&amp;L'!$B$11:$B$85,'Check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IF(R40="","",IF(LEN(R40)&gt;9,SUMIFS(Options!$AZ$3:$AZ$24,Options!$B$3:$B$24,'Check result'!R40),SUMIFS('Master P&amp;L'!$AE$11:$AE$85,'Master P&amp;L'!$B$11:$B$85,'Check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IF(R41="","",IF(LEN(R41)&gt;9,SUMIFS(Options!$AZ$3:$AZ$24,Options!$B$3:$B$24,'Check result'!R41),SUMIFS('Master P&amp;L'!$AE$11:$AE$85,'Master P&amp;L'!$B$11:$B$85,'Check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IF(R42="","",IF(LEN(R42)&gt;9,SUMIFS(Options!$AZ$3:$AZ$24,Options!$B$3:$B$24,'Check result'!R42),SUMIFS('Master P&amp;L'!$AE$11:$AE$85,'Master P&amp;L'!$B$11:$B$85,'Check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IF(R43="","",IF(LEN(R43)&gt;9,SUMIFS(Options!$AZ$3:$AZ$24,Options!$B$3:$B$24,'Check result'!R43),SUMIFS('Master P&amp;L'!$AE$11:$AE$85,'Master P&amp;L'!$B$11:$B$85,'Check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IF(R44="","",IF(LEN(R44)&gt;9,SUMIFS(Options!$AZ$3:$AZ$24,Options!$B$3:$B$24,'Check result'!R44),SUMIFS('Master P&amp;L'!$AE$11:$AE$85,'Master P&amp;L'!$B$11:$B$85,'Check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IF(R45="","",IF(LEN(R45)&gt;9,SUMIFS(Options!$AZ$3:$AZ$24,Options!$B$3:$B$24,'Check result'!R45),SUMIFS('Master P&amp;L'!$AE$11:$AE$85,'Master P&amp;L'!$B$11:$B$85,'Check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IF(R46="","",IF(LEN(R46)&gt;9,SUMIFS(Options!$AZ$3:$AZ$24,Options!$B$3:$B$24,'Check result'!R46),SUMIFS('Master P&amp;L'!$AE$11:$AE$85,'Master P&amp;L'!$B$11:$B$85,'Check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IF(R47="","",IF(LEN(R47)&gt;9,SUMIFS(Options!$AZ$3:$AZ$24,Options!$B$3:$B$24,'Check result'!R47),SUMIFS('Master P&amp;L'!$AE$11:$AE$85,'Master P&amp;L'!$B$11:$B$85,'Check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IF(R48="","",IF(LEN(R48)&gt;9,SUMIFS(Options!$AZ$3:$AZ$24,Options!$B$3:$B$24,'Check result'!R48),SUMIFS('Master P&amp;L'!$AE$11:$AE$85,'Master P&amp;L'!$B$11:$B$85,'Check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IF(R49="","",IF(LEN(R49)&gt;9,SUMIFS(Options!$AZ$3:$AZ$24,Options!$B$3:$B$24,'Check result'!R49),SUMIFS('Master P&amp;L'!$AE$11:$AE$85,'Master P&amp;L'!$B$11:$B$85,'Check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IF(R50="","",IF(LEN(R50)&gt;9,SUMIFS(Options!$AZ$3:$AZ$24,Options!$B$3:$B$24,'Check result'!R50),SUMIFS('Master P&amp;L'!$AE$11:$AE$85,'Master P&amp;L'!$B$11:$B$85,'Check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IF(R51="","",IF(LEN(R51)&gt;9,SUMIFS(Options!$AZ$3:$AZ$24,Options!$B$3:$B$24,'Check result'!R51),SUMIFS('Master P&amp;L'!$AE$11:$AE$85,'Master P&amp;L'!$B$11:$B$85,'Check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IF(R52="","",IF(LEN(R52)&gt;9,SUMIFS(Options!$AZ$3:$AZ$24,Options!$B$3:$B$24,'Check result'!R52),SUMIFS('Master P&amp;L'!$AE$11:$AE$85,'Master P&amp;L'!$B$11:$B$85,'Check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IF(R53="","",IF(LEN(R53)&gt;9,SUMIFS(Options!$AZ$3:$AZ$24,Options!$B$3:$B$24,'Check result'!R53),SUMIFS('Master P&amp;L'!$AE$11:$AE$85,'Master P&amp;L'!$B$11:$B$85,'Check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IF(R54="","",IF(LEN(R54)&gt;9,SUMIFS(Options!$AZ$3:$AZ$24,Options!$B$3:$B$24,'Check result'!R54),SUMIFS('Master P&amp;L'!$AE$11:$AE$85,'Master P&amp;L'!$B$11:$B$85,'Check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IF(R55="","",IF(LEN(R55)&gt;9,SUMIFS(Options!$AZ$3:$AZ$24,Options!$B$3:$B$24,'Check result'!R55),SUMIFS('Master P&amp;L'!$AE$11:$AE$85,'Master P&amp;L'!$B$11:$B$85,'Check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IF(R56="","",IF(LEN(R56)&gt;9,SUMIFS(Options!$AZ$3:$AZ$24,Options!$B$3:$B$24,'Check result'!R56),SUMIFS('Master P&amp;L'!$AE$11:$AE$85,'Master P&amp;L'!$B$11:$B$85,'Check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IF(R57="","",IF(LEN(R57)&gt;9,SUMIFS(Options!$AZ$3:$AZ$24,Options!$B$3:$B$24,'Check result'!R57),SUMIFS('Master P&amp;L'!$AE$11:$AE$85,'Master P&amp;L'!$B$11:$B$85,'Check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IF(R58="","",IF(LEN(R58)&gt;9,SUMIFS(Options!$AZ$3:$AZ$24,Options!$B$3:$B$24,'Check result'!R58),SUMIFS('Master P&amp;L'!$AE$11:$AE$85,'Master P&amp;L'!$B$11:$B$85,'Check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IF(R59="","",IF(LEN(R59)&gt;9,SUMIFS(Options!$AZ$3:$AZ$24,Options!$B$3:$B$24,'Check result'!R59),SUMIFS('Master P&amp;L'!$AE$11:$AE$85,'Master P&amp;L'!$B$11:$B$85,'Check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IF(R60="","",IF(LEN(R60)&gt;9,SUMIFS(Options!$AZ$3:$AZ$24,Options!$B$3:$B$24,'Check result'!R60),SUMIFS('Master P&amp;L'!$AE$11:$AE$85,'Master P&amp;L'!$B$11:$B$85,'Check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IF(R61="","",IF(LEN(R61)&gt;9,SUMIFS(Options!$AZ$3:$AZ$24,Options!$B$3:$B$24,'Check result'!R61),SUMIFS('Master P&amp;L'!$AE$11:$AE$85,'Master P&amp;L'!$B$11:$B$85,'Check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IF(R62="","",IF(LEN(R62)&gt;9,SUMIFS(Options!$AZ$3:$AZ$24,Options!$B$3:$B$24,'Check result'!R62),SUMIFS('Master P&amp;L'!$AE$11:$AE$85,'Master P&amp;L'!$B$11:$B$85,'Check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IF(R63="","",IF(LEN(R63)&gt;9,SUMIFS(Options!$AZ$3:$AZ$24,Options!$B$3:$B$24,'Check result'!R63),SUMIFS('Master P&amp;L'!$AE$11:$AE$85,'Master P&amp;L'!$B$11:$B$85,'Check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IF(R64="","",IF(LEN(R64)&gt;9,SUMIFS(Options!$AZ$3:$AZ$24,Options!$B$3:$B$24,'Check result'!R64),SUMIFS('Master P&amp;L'!$AE$11:$AE$85,'Master P&amp;L'!$B$11:$B$85,'Check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IF(R65="","",IF(LEN(R65)&gt;9,SUMIFS(Options!$AZ$3:$AZ$24,Options!$B$3:$B$24,'Check result'!R65),SUMIFS('Master P&amp;L'!$AE$11:$AE$85,'Master P&amp;L'!$B$11:$B$85,'Check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IF(R66="","",IF(LEN(R66)&gt;9,SUMIFS(Options!$AZ$3:$AZ$24,Options!$B$3:$B$24,'Check result'!R66),SUMIFS('Master P&amp;L'!$AE$11:$AE$85,'Master P&amp;L'!$B$11:$B$85,'Check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IF(R67="","",IF(LEN(R67)&gt;9,SUMIFS(Options!$AZ$3:$AZ$24,Options!$B$3:$B$24,'Check result'!R67),SUMIFS('Master P&amp;L'!$AE$11:$AE$85,'Master P&amp;L'!$B$11:$B$85,'Check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IF(R68="","",IF(LEN(R68)&gt;9,SUMIFS(Options!$AZ$3:$AZ$24,Options!$B$3:$B$24,'Check result'!R68),SUMIFS('Master P&amp;L'!$AE$11:$AE$85,'Master P&amp;L'!$B$11:$B$85,'Check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IF(R69="","",IF(LEN(R69)&gt;9,SUMIFS(Options!$AZ$3:$AZ$24,Options!$B$3:$B$24,'Check result'!R69),SUMIFS('Master P&amp;L'!$AE$11:$AE$85,'Master P&amp;L'!$B$11:$B$85,'Check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IF(R70="","",IF(LEN(R70)&gt;9,SUMIFS(Options!$AZ$3:$AZ$24,Options!$B$3:$B$24,'Check result'!R70),SUMIFS('Master P&amp;L'!$AE$11:$AE$85,'Master P&amp;L'!$B$11:$B$85,'Check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IF(R71="","",IF(LEN(R71)&gt;9,SUMIFS(Options!$AZ$3:$AZ$24,Options!$B$3:$B$24,'Check result'!R71),SUMIFS('Master P&amp;L'!$AE$11:$AE$85,'Master P&amp;L'!$B$11:$B$85,'Check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IF(R72="","",IF(LEN(R72)&gt;9,SUMIFS(Options!$AZ$3:$AZ$24,Options!$B$3:$B$24,'Check result'!R72),SUMIFS('Master P&amp;L'!$AE$11:$AE$85,'Master P&amp;L'!$B$11:$B$85,'Check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IF(R73="","",IF(LEN(R73)&gt;9,SUMIFS(Options!$AZ$3:$AZ$24,Options!$B$3:$B$24,'Check result'!R73),SUMIFS('Master P&amp;L'!$AE$11:$AE$85,'Master P&amp;L'!$B$11:$B$85,'Check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IF(R74="","",IF(LEN(R74)&gt;9,SUMIFS(Options!$AZ$3:$AZ$24,Options!$B$3:$B$24,'Check result'!R74),SUMIFS('Master P&amp;L'!$AE$11:$AE$85,'Master P&amp;L'!$B$11:$B$85,'Check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IF(R75="","",IF(LEN(R75)&gt;9,SUMIFS(Options!$AZ$3:$AZ$24,Options!$B$3:$B$24,'Check result'!R75),SUMIFS('Master P&amp;L'!$AE$11:$AE$85,'Master P&amp;L'!$B$11:$B$85,'Check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IF(R76="","",IF(LEN(R76)&gt;9,SUMIFS(Options!$AZ$3:$AZ$24,Options!$B$3:$B$24,'Check result'!R76),SUMIFS('Master P&amp;L'!$AE$11:$AE$85,'Master P&amp;L'!$B$11:$B$85,'Check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IF(R77="","",IF(LEN(R77)&gt;9,SUMIFS(Options!$AZ$3:$AZ$24,Options!$B$3:$B$24,'Check result'!R77),SUMIFS('Master P&amp;L'!$AE$11:$AE$85,'Master P&amp;L'!$B$11:$B$85,'Check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IF(R78="","",IF(LEN(R78)&gt;9,SUMIFS(Options!$AZ$3:$AZ$24,Options!$B$3:$B$24,'Check result'!R78),SUMIFS('Master P&amp;L'!$AE$11:$AE$85,'Master P&amp;L'!$B$11:$B$85,'Check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IF(R79="","",IF(LEN(R79)&gt;9,SUMIFS(Options!$AZ$3:$AZ$24,Options!$B$3:$B$24,'Check result'!R79),SUMIFS('Master P&amp;L'!$AE$11:$AE$85,'Master P&amp;L'!$B$11:$B$85,'Check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IF(R80="","",IF(LEN(R80)&gt;9,SUMIFS(Options!$AZ$3:$AZ$24,Options!$B$3:$B$24,'Check result'!R80),SUMIFS('Master P&amp;L'!$AE$11:$AE$85,'Master P&amp;L'!$B$11:$B$85,'Check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IF(R81="","",IF(LEN(R81)&gt;9,SUMIFS(Options!$AZ$3:$AZ$24,Options!$B$3:$B$24,'Check result'!R81),SUMIFS('Master P&amp;L'!$AE$11:$AE$85,'Master P&amp;L'!$B$11:$B$85,'Check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IF(R82="","",IF(LEN(R82)&gt;9,SUMIFS(Options!$AZ$3:$AZ$24,Options!$B$3:$B$24,'Check result'!R82),SUMIFS('Master P&amp;L'!$AE$11:$AE$85,'Master P&amp;L'!$B$11:$B$85,'Check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IF(R83="","",IF(LEN(R83)&gt;9,SUMIFS(Options!$AZ$3:$AZ$24,Options!$B$3:$B$24,'Check result'!R83),SUMIFS('Master P&amp;L'!$AE$11:$AE$85,'Master P&amp;L'!$B$11:$B$85,'Check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IF(R84="","",IF(LEN(R84)&gt;9,SUMIFS(Options!$AZ$3:$AZ$24,Options!$B$3:$B$24,'Check result'!R84),SUMIFS('Master P&amp;L'!$AE$11:$AE$85,'Master P&amp;L'!$B$11:$B$85,'Check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IF(R85="","",IF(LEN(R85)&gt;9,SUMIFS(Options!$AZ$3:$AZ$24,Options!$B$3:$B$24,'Check result'!R85),SUMIFS('Master P&amp;L'!$AE$11:$AE$85,'Master P&amp;L'!$B$11:$B$85,'Check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IF(R86="","",IF(LEN(R86)&gt;9,SUMIFS(Options!$AZ$3:$AZ$24,Options!$B$3:$B$24,'Check result'!R86),SUMIFS('Master P&amp;L'!$AE$11:$AE$85,'Master P&amp;L'!$B$11:$B$85,'Check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IF(R87="","",IF(LEN(R87)&gt;9,SUMIFS(Options!$AZ$3:$AZ$24,Options!$B$3:$B$24,'Check result'!R87),SUMIFS('Master P&amp;L'!$AE$11:$AE$85,'Master P&amp;L'!$B$11:$B$85,'Check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IF(R88="","",IF(LEN(R88)&gt;9,SUMIFS(Options!$AZ$3:$AZ$24,Options!$B$3:$B$24,'Check result'!R88),SUMIFS('Master P&amp;L'!$AE$11:$AE$85,'Master P&amp;L'!$B$11:$B$85,'Check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IF(R89="","",IF(LEN(R89)&gt;9,SUMIFS(Options!$AZ$3:$AZ$24,Options!$B$3:$B$24,'Check result'!R89),SUMIFS('Master P&amp;L'!$AE$11:$AE$85,'Master P&amp;L'!$B$11:$B$85,'Check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IF(R90="","",IF(LEN(R90)&gt;9,SUMIFS(Options!$AZ$3:$AZ$24,Options!$B$3:$B$24,'Check result'!R90),SUMIFS('Master P&amp;L'!$AE$11:$AE$85,'Master P&amp;L'!$B$11:$B$85,'Check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IF(R91="","",IF(LEN(R91)&gt;9,SUMIFS(Options!$AZ$3:$AZ$24,Options!$B$3:$B$24,'Check result'!R91),SUMIFS('Master P&amp;L'!$AE$11:$AE$85,'Master P&amp;L'!$B$11:$B$85,'Check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IF(R92="","",IF(LEN(R92)&gt;9,SUMIFS(Options!$AZ$3:$AZ$24,Options!$B$3:$B$24,'Check result'!R92),SUMIFS('Master P&amp;L'!$AE$11:$AE$85,'Master P&amp;L'!$B$11:$B$85,'Check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IF(R93="","",IF(LEN(R93)&gt;9,SUMIFS(Options!$AZ$3:$AZ$24,Options!$B$3:$B$24,'Check result'!R93),SUMIFS('Master P&amp;L'!$AE$11:$AE$85,'Master P&amp;L'!$B$11:$B$85,'Check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IF(R94="","",IF(LEN(R94)&gt;9,SUMIFS(Options!$AZ$3:$AZ$24,Options!$B$3:$B$24,'Check result'!R94),SUMIFS('Master P&amp;L'!$AE$11:$AE$85,'Master P&amp;L'!$B$11:$B$85,'Check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IF(R95="","",IF(LEN(R95)&gt;9,SUMIFS(Options!$AZ$3:$AZ$24,Options!$B$3:$B$24,'Check result'!R95),SUMIFS('Master P&amp;L'!$AE$11:$AE$85,'Master P&amp;L'!$B$11:$B$85,'Check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IF(R96="","",IF(LEN(R96)&gt;9,SUMIFS(Options!$AZ$3:$AZ$24,Options!$B$3:$B$24,'Check result'!R96),SUMIFS('Master P&amp;L'!$AE$11:$AE$85,'Master P&amp;L'!$B$11:$B$85,'Check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IF(R97="","",IF(LEN(R97)&gt;9,SUMIFS(Options!$AZ$3:$AZ$24,Options!$B$3:$B$24,'Check result'!R97),SUMIFS('Master P&amp;L'!$AE$11:$AE$85,'Master P&amp;L'!$B$11:$B$85,'Check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IF(R98="","",IF(LEN(R98)&gt;9,SUMIFS(Options!$AZ$3:$AZ$24,Options!$B$3:$B$24,'Check result'!R98),SUMIFS('Master P&amp;L'!$AE$11:$AE$85,'Master P&amp;L'!$B$11:$B$85,'Check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IF(R99="","",IF(LEN(R99)&gt;9,SUMIFS(Options!$AZ$3:$AZ$24,Options!$B$3:$B$24,'Check result'!R99),SUMIFS('Master P&amp;L'!$AE$11:$AE$85,'Master P&amp;L'!$B$11:$B$85,'Check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IF(R100="","",IF(LEN(R100)&gt;9,SUMIFS(Options!$AZ$3:$AZ$24,Options!$B$3:$B$24,'Check result'!R100),SUMIFS('Master P&amp;L'!$AE$11:$AE$85,'Master P&amp;L'!$B$11:$B$85,'Check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IF(R101="","",IF(LEN(R101)&gt;9,SUMIFS(Options!$AZ$3:$AZ$24,Options!$B$3:$B$24,'Check result'!R101),SUMIFS('Master P&amp;L'!$AE$11:$AE$85,'Master P&amp;L'!$B$11:$B$85,'Check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IF(R102="","",IF(LEN(R102)&gt;9,SUMIFS(Options!$AZ$3:$AZ$24,Options!$B$3:$B$24,'Check result'!R102),SUMIFS('Master P&amp;L'!$AE$11:$AE$85,'Master P&amp;L'!$B$11:$B$85,'Check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IF(R103="","",IF(LEN(R103)&gt;9,SUMIFS(Options!$AZ$3:$AZ$24,Options!$B$3:$B$24,'Check result'!R103),SUMIFS('Master P&amp;L'!$AE$11:$AE$85,'Master P&amp;L'!$B$11:$B$85,'Check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IF(R104="","",IF(LEN(R104)&gt;9,SUMIFS(Options!$AZ$3:$AZ$24,Options!$B$3:$B$24,'Check result'!R104),SUMIFS('Master P&amp;L'!$AE$11:$AE$85,'Master P&amp;L'!$B$11:$B$85,'Check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IF(R105="","",IF(LEN(R105)&gt;9,SUMIFS(Options!$AZ$3:$AZ$24,Options!$B$3:$B$24,'Check result'!R105),SUMIFS('Master P&amp;L'!$AE$11:$AE$85,'Master P&amp;L'!$B$11:$B$85,'Check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IF(R106="","",IF(LEN(R106)&gt;9,SUMIFS(Options!$AZ$3:$AZ$24,Options!$B$3:$B$24,'Check result'!R106),SUMIFS('Master P&amp;L'!$AE$11:$AE$85,'Master P&amp;L'!$B$11:$B$85,'Check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IF(R107="","",IF(LEN(R107)&gt;9,SUMIFS(Options!$AZ$3:$AZ$24,Options!$B$3:$B$24,'Check result'!R107),SUMIFS('Master P&amp;L'!$AE$11:$AE$85,'Master P&amp;L'!$B$11:$B$85,'Check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IF(R108="","",IF(LEN(R108)&gt;9,SUMIFS(Options!$AZ$3:$AZ$24,Options!$B$3:$B$24,'Check result'!R108),SUMIFS('Master P&amp;L'!$AE$11:$AE$85,'Master P&amp;L'!$B$11:$B$85,'Check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IF(R109="","",IF(LEN(R109)&gt;9,SUMIFS(Options!$AZ$3:$AZ$24,Options!$B$3:$B$24,'Check result'!R109),SUMIFS('Master P&amp;L'!$AE$11:$AE$85,'Master P&amp;L'!$B$11:$B$85,'Check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IF(R110="","",IF(LEN(R110)&gt;9,SUMIFS(Options!$AZ$3:$AZ$24,Options!$B$3:$B$24,'Check result'!R110),SUMIFS('Master P&amp;L'!$AE$11:$AE$85,'Master P&amp;L'!$B$11:$B$85,'Check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IF(R111="","",IF(LEN(R111)&gt;9,SUMIFS(Options!$AZ$3:$AZ$24,Options!$B$3:$B$24,'Check result'!R111),SUMIFS('Master P&amp;L'!$AE$11:$AE$85,'Master P&amp;L'!$B$11:$B$85,'Check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IF(R112="","",IF(LEN(R112)&gt;9,SUMIFS(Options!$AZ$3:$AZ$24,Options!$B$3:$B$24,'Check result'!R112),SUMIFS('Master P&amp;L'!$AE$11:$AE$85,'Master P&amp;L'!$B$11:$B$85,'Check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IF(R113="","",IF(LEN(R113)&gt;9,SUMIFS(Options!$AZ$3:$AZ$24,Options!$B$3:$B$24,'Check result'!R113),SUMIFS('Master P&amp;L'!$AE$11:$AE$85,'Master P&amp;L'!$B$11:$B$85,'Check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IF(R114="","",IF(LEN(R114)&gt;9,SUMIFS(Options!$AZ$3:$AZ$24,Options!$B$3:$B$24,'Check result'!R114),SUMIFS('Master P&amp;L'!$AE$11:$AE$85,'Master P&amp;L'!$B$11:$B$85,'Check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IF(R115="","",IF(LEN(R115)&gt;9,SUMIFS(Options!$AZ$3:$AZ$24,Options!$B$3:$B$24,'Check result'!R115),SUMIFS('Master P&amp;L'!$AE$11:$AE$85,'Master P&amp;L'!$B$11:$B$85,'Check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IF(R116="","",IF(LEN(R116)&gt;9,SUMIFS(Options!$AZ$3:$AZ$24,Options!$B$3:$B$24,'Check result'!R116),SUMIFS('Master P&amp;L'!$AE$11:$AE$85,'Master P&amp;L'!$B$11:$B$85,'Check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IF(R117="","",IF(LEN(R117)&gt;9,SUMIFS(Options!$AZ$3:$AZ$24,Options!$B$3:$B$24,'Check result'!R117),SUMIFS('Master P&amp;L'!$AE$11:$AE$85,'Master P&amp;L'!$B$11:$B$85,'Check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IF(R118="","",IF(LEN(R118)&gt;9,SUMIFS(Options!$AZ$3:$AZ$24,Options!$B$3:$B$24,'Check result'!R118),SUMIFS('Master P&amp;L'!$AE$11:$AE$85,'Master P&amp;L'!$B$11:$B$85,'Check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IF(R119="","",IF(LEN(R119)&gt;9,SUMIFS(Options!$AZ$3:$AZ$24,Options!$B$3:$B$24,'Check result'!R119),SUMIFS('Master P&amp;L'!$AE$11:$AE$85,'Master P&amp;L'!$B$11:$B$85,'Check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IF(R120="","",IF(LEN(R120)&gt;9,SUMIFS(Options!$AZ$3:$AZ$24,Options!$B$3:$B$24,'Check result'!R120),SUMIFS('Master P&amp;L'!$AE$11:$AE$85,'Master P&amp;L'!$B$11:$B$85,'Check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IF(R121="","",IF(LEN(R121)&gt;9,SUMIFS(Options!$AZ$3:$AZ$24,Options!$B$3:$B$24,'Check result'!R121),SUMIFS('Master P&amp;L'!$AE$11:$AE$85,'Master P&amp;L'!$B$11:$B$85,'Check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IF(R122="","",IF(LEN(R122)&gt;9,SUMIFS(Options!$AZ$3:$AZ$24,Options!$B$3:$B$24,'Check result'!R122),SUMIFS('Master P&amp;L'!$AE$11:$AE$85,'Master P&amp;L'!$B$11:$B$85,'Check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IF(R123="","",IF(LEN(R123)&gt;9,SUMIFS(Options!$AZ$3:$AZ$24,Options!$B$3:$B$24,'Check result'!R123),SUMIFS('Master P&amp;L'!$AE$11:$AE$85,'Master P&amp;L'!$B$11:$B$85,'Check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IF(R124="","",IF(LEN(R124)&gt;9,SUMIFS(Options!$AZ$3:$AZ$24,Options!$B$3:$B$24,'Check result'!R124),SUMIFS('Master P&amp;L'!$AE$11:$AE$85,'Master P&amp;L'!$B$11:$B$85,'Check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IF(R125="","",IF(LEN(R125)&gt;9,SUMIFS(Options!$AZ$3:$AZ$24,Options!$B$3:$B$24,'Check result'!R125),SUMIFS('Master P&amp;L'!$AE$11:$AE$85,'Master P&amp;L'!$B$11:$B$85,'Check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IF(R126="","",IF(LEN(R126)&gt;9,SUMIFS(Options!$AZ$3:$AZ$24,Options!$B$3:$B$24,'Check result'!R126),SUMIFS('Master P&amp;L'!$AE$11:$AE$85,'Master P&amp;L'!$B$11:$B$85,'Check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IF(R127="","",IF(LEN(R127)&gt;9,SUMIFS(Options!$AZ$3:$AZ$24,Options!$B$3:$B$24,'Check result'!R127),SUMIFS('Master P&amp;L'!$AE$11:$AE$85,'Master P&amp;L'!$B$11:$B$85,'Check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IF(R128="","",IF(LEN(R128)&gt;9,SUMIFS(Options!$AZ$3:$AZ$24,Options!$B$3:$B$24,'Check result'!R128),SUMIFS('Master P&amp;L'!$AE$11:$AE$85,'Master P&amp;L'!$B$11:$B$85,'Check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IF(R129="","",IF(LEN(R129)&gt;9,SUMIFS(Options!$AZ$3:$AZ$24,Options!$B$3:$B$24,'Check result'!R129),SUMIFS('Master P&amp;L'!$AE$11:$AE$85,'Master P&amp;L'!$B$11:$B$85,'Check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IF(R130="","",IF(LEN(R130)&gt;9,SUMIFS(Options!$AZ$3:$AZ$24,Options!$B$3:$B$24,'Check result'!R130),SUMIFS('Master P&amp;L'!$AE$11:$AE$85,'Master P&amp;L'!$B$11:$B$85,'Check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IF(R131="","",IF(LEN(R131)&gt;9,SUMIFS(Options!$AZ$3:$AZ$24,Options!$B$3:$B$24,'Check result'!R131),SUMIFS('Master P&amp;L'!$AE$11:$AE$85,'Master P&amp;L'!$B$11:$B$85,'Check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IF(R132="","",IF(LEN(R132)&gt;9,SUMIFS(Options!$AZ$3:$AZ$24,Options!$B$3:$B$24,'Check result'!R132),SUMIFS('Master P&amp;L'!$AE$11:$AE$85,'Master P&amp;L'!$B$11:$B$85,'Check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IF(R133="","",IF(LEN(R133)&gt;9,SUMIFS(Options!$AZ$3:$AZ$24,Options!$B$3:$B$24,'Check result'!R133),SUMIFS('Master P&amp;L'!$AE$11:$AE$85,'Master P&amp;L'!$B$11:$B$85,'Check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IF(R134="","",IF(LEN(R134)&gt;9,SUMIFS(Options!$AZ$3:$AZ$24,Options!$B$3:$B$24,'Check result'!R134),SUMIFS('Master P&amp;L'!$AE$11:$AE$85,'Master P&amp;L'!$B$11:$B$85,'Check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IF(R135="","",IF(LEN(R135)&gt;9,SUMIFS(Options!$AZ$3:$AZ$24,Options!$B$3:$B$24,'Check result'!R135),SUMIFS('Master P&amp;L'!$AE$11:$AE$85,'Master P&amp;L'!$B$11:$B$85,'Check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IF(R136="","",IF(LEN(R136)&gt;9,SUMIFS(Options!$AZ$3:$AZ$24,Options!$B$3:$B$24,'Check result'!R136),SUMIFS('Master P&amp;L'!$AE$11:$AE$85,'Master P&amp;L'!$B$11:$B$85,'Check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IF(R137="","",IF(LEN(R137)&gt;9,SUMIFS(Options!$AZ$3:$AZ$24,Options!$B$3:$B$24,'Check result'!R137),SUMIFS('Master P&amp;L'!$AE$11:$AE$85,'Master P&amp;L'!$B$11:$B$85,'Check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IF(R138="","",IF(LEN(R138)&gt;9,SUMIFS(Options!$AZ$3:$AZ$24,Options!$B$3:$B$24,'Check result'!R138),SUMIFS('Master P&amp;L'!$AE$11:$AE$85,'Master P&amp;L'!$B$11:$B$85,'Check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IF(R139="","",IF(LEN(R139)&gt;9,SUMIFS(Options!$AZ$3:$AZ$24,Options!$B$3:$B$24,'Check result'!R139),SUMIFS('Master P&amp;L'!$AE$11:$AE$85,'Master P&amp;L'!$B$11:$B$85,'Check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IF(R140="","",IF(LEN(R140)&gt;9,SUMIFS(Options!$AZ$3:$AZ$24,Options!$B$3:$B$24,'Check result'!R140),SUMIFS('Master P&amp;L'!$AE$11:$AE$85,'Master P&amp;L'!$B$11:$B$85,'Check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IF(R141="","",IF(LEN(R141)&gt;9,SUMIFS(Options!$AZ$3:$AZ$24,Options!$B$3:$B$24,'Check result'!R141),SUMIFS('Master P&amp;L'!$AE$11:$AE$85,'Master P&amp;L'!$B$11:$B$85,'Check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IF(R142="","",IF(LEN(R142)&gt;9,SUMIFS(Options!$AZ$3:$AZ$24,Options!$B$3:$B$24,'Check result'!R142),SUMIFS('Master P&amp;L'!$AE$11:$AE$85,'Master P&amp;L'!$B$11:$B$85,'Check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IF(R143="","",IF(LEN(R143)&gt;9,SUMIFS(Options!$AZ$3:$AZ$24,Options!$B$3:$B$24,'Check result'!R143),SUMIFS('Master P&amp;L'!$AE$11:$AE$85,'Master P&amp;L'!$B$11:$B$85,'Check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IF(R144="","",IF(LEN(R144)&gt;9,SUMIFS(Options!$AZ$3:$AZ$24,Options!$B$3:$B$24,'Check result'!R144),SUMIFS('Master P&amp;L'!$AE$11:$AE$85,'Master P&amp;L'!$B$11:$B$85,'Check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IF(R145="","",IF(LEN(R145)&gt;9,SUMIFS(Options!$AZ$3:$AZ$24,Options!$B$3:$B$24,'Check result'!R145),SUMIFS('Master P&amp;L'!$AE$11:$AE$85,'Master P&amp;L'!$B$11:$B$85,'Check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IF(R146="","",IF(LEN(R146)&gt;9,SUMIFS(Options!$AZ$3:$AZ$24,Options!$B$3:$B$24,'Check result'!R146),SUMIFS('Master P&amp;L'!$AE$11:$AE$85,'Master P&amp;L'!$B$11:$B$85,'Check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IF(R147="","",IF(LEN(R147)&gt;9,SUMIFS(Options!$AZ$3:$AZ$24,Options!$B$3:$B$24,'Check result'!R147),SUMIFS('Master P&amp;L'!$AE$11:$AE$85,'Master P&amp;L'!$B$11:$B$85,'Check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IF(R148="","",IF(LEN(R148)&gt;9,SUMIFS(Options!$AZ$3:$AZ$24,Options!$B$3:$B$24,'Check result'!R148),SUMIFS('Master P&amp;L'!$AE$11:$AE$85,'Master P&amp;L'!$B$11:$B$85,'Check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IF(R149="","",IF(LEN(R149)&gt;9,SUMIFS(Options!$AZ$3:$AZ$24,Options!$B$3:$B$24,'Check result'!R149),SUMIFS('Master P&amp;L'!$AE$11:$AE$85,'Master P&amp;L'!$B$11:$B$85,'Check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IF(R150="","",IF(LEN(R150)&gt;9,SUMIFS(Options!$AZ$3:$AZ$24,Options!$B$3:$B$24,'Check result'!R150),SUMIFS('Master P&amp;L'!$AE$11:$AE$85,'Master P&amp;L'!$B$11:$B$85,'Check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IF(R151="","",IF(LEN(R151)&gt;9,SUMIFS(Options!$AZ$3:$AZ$24,Options!$B$3:$B$24,'Check result'!R151),SUMIFS('Master P&amp;L'!$AE$11:$AE$85,'Master P&amp;L'!$B$11:$B$85,'Check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IF(R152="","",IF(LEN(R152)&gt;9,SUMIFS(Options!$AZ$3:$AZ$24,Options!$B$3:$B$24,'Check result'!R152),SUMIFS('Master P&amp;L'!$AE$11:$AE$85,'Master P&amp;L'!$B$11:$B$85,'Check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IF(R153="","",IF(LEN(R153)&gt;9,SUMIFS(Options!$AZ$3:$AZ$24,Options!$B$3:$B$24,'Check result'!R153),SUMIFS('Master P&amp;L'!$AE$11:$AE$85,'Master P&amp;L'!$B$11:$B$85,'Check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IF(R154="","",IF(LEN(R154)&gt;9,SUMIFS(Options!$AZ$3:$AZ$24,Options!$B$3:$B$24,'Check result'!R154),SUMIFS('Master P&amp;L'!$AE$11:$AE$85,'Master P&amp;L'!$B$11:$B$85,'Check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IF(R155="","",IF(LEN(R155)&gt;9,SUMIFS(Options!$AZ$3:$AZ$24,Options!$B$3:$B$24,'Check result'!R155),SUMIFS('Master P&amp;L'!$AE$11:$AE$85,'Master P&amp;L'!$B$11:$B$85,'Check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IF(R156="","",IF(LEN(R156)&gt;9,SUMIFS(Options!$AZ$3:$AZ$24,Options!$B$3:$B$24,'Check result'!R156),SUMIFS('Master P&amp;L'!$AE$11:$AE$85,'Master P&amp;L'!$B$11:$B$85,'Check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IF(R157="","",IF(LEN(R157)&gt;9,SUMIFS(Options!$AZ$3:$AZ$24,Options!$B$3:$B$24,'Check result'!R157),SUMIFS('Master P&amp;L'!$AE$11:$AE$85,'Master P&amp;L'!$B$11:$B$85,'Check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IF(R158="","",IF(LEN(R158)&gt;9,SUMIFS(Options!$AZ$3:$AZ$24,Options!$B$3:$B$24,'Check result'!R158),SUMIFS('Master P&amp;L'!$AE$11:$AE$85,'Master P&amp;L'!$B$11:$B$85,'Check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IF(R159="","",IF(LEN(R159)&gt;9,SUMIFS(Options!$AZ$3:$AZ$24,Options!$B$3:$B$24,'Check result'!R159),SUMIFS('Master P&amp;L'!$AE$11:$AE$85,'Master P&amp;L'!$B$11:$B$85,'Check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IF(R160="","",IF(LEN(R160)&gt;9,SUMIFS(Options!$AZ$3:$AZ$24,Options!$B$3:$B$24,'Check result'!R160),SUMIFS('Master P&amp;L'!$AE$11:$AE$85,'Master P&amp;L'!$B$11:$B$85,'Check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IF(R161="","",IF(LEN(R161)&gt;9,SUMIFS(Options!$AZ$3:$AZ$24,Options!$B$3:$B$24,'Check result'!R161),SUMIFS('Master P&amp;L'!$AE$11:$AE$85,'Master P&amp;L'!$B$11:$B$85,'Check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IF(R162="","",IF(LEN(R162)&gt;9,SUMIFS(Options!$AZ$3:$AZ$24,Options!$B$3:$B$24,'Check result'!R162),SUMIFS('Master P&amp;L'!$AE$11:$AE$85,'Master P&amp;L'!$B$11:$B$85,'Check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IF(R163="","",IF(LEN(R163)&gt;9,SUMIFS(Options!$AZ$3:$AZ$24,Options!$B$3:$B$24,'Check result'!R163),SUMIFS('Master P&amp;L'!$AE$11:$AE$85,'Master P&amp;L'!$B$11:$B$85,'Check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IF(R164="","",IF(LEN(R164)&gt;9,SUMIFS(Options!$AZ$3:$AZ$24,Options!$B$3:$B$24,'Check result'!R164),SUMIFS('Master P&amp;L'!$AE$11:$AE$85,'Master P&amp;L'!$B$11:$B$85,'Check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IF(R165="","",IF(LEN(R165)&gt;9,SUMIFS(Options!$AZ$3:$AZ$24,Options!$B$3:$B$24,'Check result'!R165),SUMIFS('Master P&amp;L'!$AE$11:$AE$85,'Master P&amp;L'!$B$11:$B$85,'Check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16"/>
  <sheetViews>
    <sheetView workbookViewId="0">
      <selection activeCell="A2" sqref="A2"/>
    </sheetView>
  </sheetViews>
  <sheetFormatPr defaultRowHeight="15"/>
  <sheetData>
    <row r="1" spans="1:24">
      <c r="A1" s="463" t="s">
        <v>339</v>
      </c>
      <c r="B1" s="464" t="s">
        <v>1913</v>
      </c>
      <c r="C1" s="465" t="s">
        <v>1914</v>
      </c>
      <c r="D1" s="466" t="s">
        <v>1915</v>
      </c>
      <c r="E1" s="467" t="s">
        <v>1916</v>
      </c>
      <c r="F1" s="467" t="s">
        <v>1917</v>
      </c>
      <c r="G1" s="467" t="s">
        <v>203</v>
      </c>
      <c r="H1" s="467" t="s">
        <v>218</v>
      </c>
      <c r="I1" s="467" t="s">
        <v>1918</v>
      </c>
      <c r="J1" s="467" t="s">
        <v>1919</v>
      </c>
      <c r="K1" s="468" t="s">
        <v>1920</v>
      </c>
      <c r="L1" s="469" t="s">
        <v>1921</v>
      </c>
      <c r="M1" s="470" t="s">
        <v>1922</v>
      </c>
      <c r="N1" s="466" t="s">
        <v>1923</v>
      </c>
      <c r="O1" s="461" t="s">
        <v>1924</v>
      </c>
      <c r="P1" s="471" t="s">
        <v>1</v>
      </c>
      <c r="Q1" s="481" t="s">
        <v>1925</v>
      </c>
    </row>
    <row r="2" spans="1:24">
      <c r="A2" s="442">
        <v>46045</v>
      </c>
      <c r="B2" s="443" t="s">
        <v>1896</v>
      </c>
      <c r="C2" s="444" t="s">
        <v>1929</v>
      </c>
      <c r="D2" s="445" t="s">
        <v>1930</v>
      </c>
      <c r="E2" s="446">
        <v>46101</v>
      </c>
      <c r="F2" s="445" t="s">
        <v>1931</v>
      </c>
      <c r="G2" s="445" t="s">
        <v>1932</v>
      </c>
      <c r="H2" s="445" t="s">
        <v>2149</v>
      </c>
      <c r="I2" s="445" t="s">
        <v>1927</v>
      </c>
      <c r="J2" s="472">
        <v>114.78</v>
      </c>
      <c r="K2" s="445">
        <v>10.780000000000001</v>
      </c>
      <c r="L2" s="460">
        <v>11.77</v>
      </c>
      <c r="M2" s="473">
        <v>11.77</v>
      </c>
      <c r="N2" s="472">
        <v>11.77</v>
      </c>
      <c r="O2" s="474">
        <v>11.77</v>
      </c>
      <c r="P2" s="475">
        <v>24.129722099999999</v>
      </c>
      <c r="Q2" s="447" t="s">
        <v>1928</v>
      </c>
      <c r="R2" s="414">
        <f>L2-L3</f>
        <v>8.75</v>
      </c>
      <c r="T2" s="460">
        <v>8.64</v>
      </c>
      <c r="U2" s="414">
        <f>T2-T3</f>
        <v>7.08</v>
      </c>
      <c r="W2" s="460">
        <v>11.6</v>
      </c>
      <c r="X2" s="414">
        <f>W2-W3</f>
        <v>8.8999999999999986</v>
      </c>
    </row>
    <row r="3" spans="1:24">
      <c r="A3" s="442">
        <v>46045</v>
      </c>
      <c r="B3" s="443" t="s">
        <v>1897</v>
      </c>
      <c r="C3" s="444" t="s">
        <v>1934</v>
      </c>
      <c r="D3" s="445" t="s">
        <v>1930</v>
      </c>
      <c r="E3" s="446">
        <v>46101</v>
      </c>
      <c r="F3" s="445" t="s">
        <v>1931</v>
      </c>
      <c r="G3" s="445" t="s">
        <v>1932</v>
      </c>
      <c r="H3" s="445" t="s">
        <v>2150</v>
      </c>
      <c r="I3" s="445" t="s">
        <v>1927</v>
      </c>
      <c r="J3" s="472">
        <v>114.78</v>
      </c>
      <c r="K3" s="445">
        <v>0</v>
      </c>
      <c r="L3" s="460">
        <v>3.02</v>
      </c>
      <c r="M3" s="473">
        <v>3.02</v>
      </c>
      <c r="N3" s="472">
        <v>3.02</v>
      </c>
      <c r="O3" s="474">
        <v>3.02</v>
      </c>
      <c r="P3" s="475">
        <v>25.947434730000001</v>
      </c>
      <c r="Q3" s="447" t="s">
        <v>1933</v>
      </c>
      <c r="T3" s="460">
        <v>1.56</v>
      </c>
      <c r="W3" s="460">
        <v>2.7</v>
      </c>
    </row>
    <row r="4" spans="1:24">
      <c r="A4" s="442">
        <v>46045</v>
      </c>
      <c r="B4" s="443" t="s">
        <v>1939</v>
      </c>
      <c r="C4" s="444" t="s">
        <v>1940</v>
      </c>
      <c r="D4" s="445" t="s">
        <v>1941</v>
      </c>
      <c r="E4" s="446">
        <v>46280</v>
      </c>
      <c r="F4" s="445" t="s">
        <v>1931</v>
      </c>
      <c r="G4" s="445" t="s">
        <v>1932</v>
      </c>
      <c r="H4" s="445" t="s">
        <v>2151</v>
      </c>
      <c r="I4" s="445" t="s">
        <v>1927</v>
      </c>
      <c r="J4" s="476">
        <v>8491.2000000000007</v>
      </c>
      <c r="K4" s="445">
        <v>1003.9510000000009</v>
      </c>
      <c r="L4" s="477">
        <v>1146.7093610170489</v>
      </c>
      <c r="M4" s="478">
        <v>1146.7093610170489</v>
      </c>
      <c r="N4" s="445">
        <v>1146.7093610170489</v>
      </c>
      <c r="O4" s="479">
        <v>1358.7294551567052</v>
      </c>
      <c r="P4" s="448">
        <v>19.914268774481769</v>
      </c>
      <c r="Q4" s="447" t="s">
        <v>1928</v>
      </c>
    </row>
    <row r="5" spans="1:24">
      <c r="A5" s="442">
        <v>46045</v>
      </c>
      <c r="B5" s="443" t="s">
        <v>1942</v>
      </c>
      <c r="C5" s="444" t="s">
        <v>1943</v>
      </c>
      <c r="D5" s="445" t="s">
        <v>1941</v>
      </c>
      <c r="E5" s="446">
        <v>46280</v>
      </c>
      <c r="F5" s="445" t="s">
        <v>1931</v>
      </c>
      <c r="G5" s="445" t="s">
        <v>1932</v>
      </c>
      <c r="H5" s="445" t="s">
        <v>2152</v>
      </c>
      <c r="I5" s="445" t="s">
        <v>1927</v>
      </c>
      <c r="J5" s="476">
        <v>8491.2000000000007</v>
      </c>
      <c r="K5" s="445">
        <v>290.87970000000132</v>
      </c>
      <c r="L5" s="477">
        <v>680.91566795738504</v>
      </c>
      <c r="M5" s="478">
        <v>680.91566795738504</v>
      </c>
      <c r="N5" s="445">
        <v>680.91566795738504</v>
      </c>
      <c r="O5" s="479">
        <v>846.86470885169058</v>
      </c>
      <c r="P5" s="448">
        <v>19.914268774481769</v>
      </c>
      <c r="Q5" s="447" t="s">
        <v>1928</v>
      </c>
    </row>
    <row r="6" spans="1:24">
      <c r="A6" s="442">
        <v>46045</v>
      </c>
      <c r="B6" s="448" t="s">
        <v>1944</v>
      </c>
      <c r="C6" s="444" t="s">
        <v>1945</v>
      </c>
      <c r="D6" s="445" t="s">
        <v>1946</v>
      </c>
      <c r="E6" s="446">
        <v>46129</v>
      </c>
      <c r="F6" s="445" t="s">
        <v>1931</v>
      </c>
      <c r="G6" s="445" t="s">
        <v>194</v>
      </c>
      <c r="H6" s="445" t="s">
        <v>2153</v>
      </c>
      <c r="I6" s="445"/>
      <c r="J6" s="449">
        <v>2.78</v>
      </c>
      <c r="K6" s="445">
        <v>0.22999999999999998</v>
      </c>
      <c r="L6" s="450">
        <v>0.30813779897102589</v>
      </c>
      <c r="M6" s="451">
        <v>0.30813779897102589</v>
      </c>
      <c r="N6" s="445">
        <v>0.30813779897102589</v>
      </c>
      <c r="O6" s="445">
        <v>0.30830053683996106</v>
      </c>
      <c r="P6" s="448">
        <v>28.775542888139732</v>
      </c>
      <c r="Q6" s="447" t="s">
        <v>1928</v>
      </c>
    </row>
    <row r="7" spans="1:24">
      <c r="A7" s="442">
        <v>46045</v>
      </c>
      <c r="B7" s="448" t="s">
        <v>1947</v>
      </c>
      <c r="C7" s="444" t="s">
        <v>1948</v>
      </c>
      <c r="D7" s="445" t="s">
        <v>1946</v>
      </c>
      <c r="E7" s="446">
        <v>46129</v>
      </c>
      <c r="F7" s="445" t="s">
        <v>1926</v>
      </c>
      <c r="G7" s="445" t="s">
        <v>194</v>
      </c>
      <c r="H7" s="445" t="s">
        <v>2154</v>
      </c>
      <c r="I7" s="445"/>
      <c r="J7" s="449">
        <v>2.78</v>
      </c>
      <c r="K7" s="445">
        <v>0</v>
      </c>
      <c r="L7" s="450">
        <v>3.638344524749071E-3</v>
      </c>
      <c r="M7" s="451">
        <v>3.638344524749071E-3</v>
      </c>
      <c r="N7" s="445">
        <v>3.638344524749071E-3</v>
      </c>
      <c r="O7" s="445">
        <v>3.638344524749071E-3</v>
      </c>
      <c r="P7" s="448">
        <v>38.074354457112022</v>
      </c>
      <c r="Q7" s="447" t="s">
        <v>1928</v>
      </c>
    </row>
    <row r="8" spans="1:24">
      <c r="A8" s="442">
        <v>46045</v>
      </c>
      <c r="B8" s="448" t="s">
        <v>1949</v>
      </c>
      <c r="C8" s="444" t="s">
        <v>1950</v>
      </c>
      <c r="D8" s="445" t="s">
        <v>1946</v>
      </c>
      <c r="E8" s="446">
        <v>46129</v>
      </c>
      <c r="F8" s="445" t="s">
        <v>1926</v>
      </c>
      <c r="G8" s="445" t="s">
        <v>194</v>
      </c>
      <c r="H8" s="445" t="s">
        <v>2155</v>
      </c>
      <c r="I8" s="445"/>
      <c r="J8" s="449">
        <v>2.78</v>
      </c>
      <c r="K8" s="445">
        <v>0</v>
      </c>
      <c r="L8" s="450">
        <v>1.3044334874112752E-2</v>
      </c>
      <c r="M8" s="451">
        <v>1.3044334874112752E-2</v>
      </c>
      <c r="N8" s="445">
        <v>1.3044334874112752E-2</v>
      </c>
      <c r="O8" s="445">
        <v>1.3044334874112752E-2</v>
      </c>
      <c r="P8" s="448">
        <v>32.151675873196062</v>
      </c>
      <c r="Q8" s="447" t="s">
        <v>1928</v>
      </c>
    </row>
    <row r="9" spans="1:24">
      <c r="A9" s="442">
        <v>46045</v>
      </c>
      <c r="B9" s="448" t="s">
        <v>2017</v>
      </c>
      <c r="C9" s="444" t="s">
        <v>2023</v>
      </c>
      <c r="D9" s="445" t="s">
        <v>1938</v>
      </c>
      <c r="E9" s="446">
        <v>46191</v>
      </c>
      <c r="F9" s="445" t="s">
        <v>1931</v>
      </c>
      <c r="G9" s="445" t="s">
        <v>194</v>
      </c>
      <c r="H9" s="445" t="s">
        <v>2156</v>
      </c>
      <c r="I9" s="445"/>
      <c r="J9" s="449">
        <v>334.87</v>
      </c>
      <c r="K9" s="445">
        <v>34.870000000000005</v>
      </c>
      <c r="L9" s="450">
        <v>53.4</v>
      </c>
      <c r="M9" s="451">
        <v>56.05</v>
      </c>
      <c r="N9" s="445">
        <v>54.724999999999994</v>
      </c>
      <c r="O9" s="445">
        <v>54.724999999999994</v>
      </c>
      <c r="P9" s="448"/>
      <c r="Q9" s="447" t="s">
        <v>1935</v>
      </c>
    </row>
    <row r="10" spans="1:24">
      <c r="A10" s="442">
        <v>46045</v>
      </c>
      <c r="B10" s="448" t="s">
        <v>2016</v>
      </c>
      <c r="C10" s="444" t="s">
        <v>2024</v>
      </c>
      <c r="D10" s="445" t="s">
        <v>1938</v>
      </c>
      <c r="E10" s="446">
        <v>46191</v>
      </c>
      <c r="F10" s="445" t="s">
        <v>1931</v>
      </c>
      <c r="G10" s="445" t="s">
        <v>194</v>
      </c>
      <c r="H10" s="445" t="s">
        <v>2157</v>
      </c>
      <c r="I10" s="445"/>
      <c r="J10" s="449">
        <v>334.87</v>
      </c>
      <c r="K10" s="445">
        <v>0</v>
      </c>
      <c r="L10" s="450">
        <v>19</v>
      </c>
      <c r="M10" s="451">
        <v>21.3</v>
      </c>
      <c r="N10" s="445">
        <v>20.149999999999999</v>
      </c>
      <c r="O10" s="445">
        <v>20.149999999999999</v>
      </c>
      <c r="P10" s="448"/>
      <c r="Q10" s="447" t="s">
        <v>1935</v>
      </c>
    </row>
    <row r="11" spans="1:24">
      <c r="A11" s="442">
        <v>46045</v>
      </c>
      <c r="B11" s="448" t="s">
        <v>2019</v>
      </c>
      <c r="C11" s="444" t="s">
        <v>2025</v>
      </c>
      <c r="D11" s="445" t="s">
        <v>1938</v>
      </c>
      <c r="E11" s="446">
        <v>46191</v>
      </c>
      <c r="F11" s="445" t="s">
        <v>1926</v>
      </c>
      <c r="G11" s="445" t="s">
        <v>194</v>
      </c>
      <c r="H11" s="445" t="s">
        <v>2158</v>
      </c>
      <c r="I11" s="445"/>
      <c r="J11" s="449">
        <v>334.87</v>
      </c>
      <c r="K11" s="445">
        <v>0</v>
      </c>
      <c r="L11" s="450">
        <v>4.5999999999999996</v>
      </c>
      <c r="M11" s="451">
        <v>5.55</v>
      </c>
      <c r="N11" s="445">
        <v>5.0749999999999993</v>
      </c>
      <c r="O11" s="445">
        <v>5.0749999999999993</v>
      </c>
      <c r="P11" s="448"/>
      <c r="Q11" s="447" t="s">
        <v>1935</v>
      </c>
    </row>
    <row r="12" spans="1:24">
      <c r="A12" s="442">
        <v>46045</v>
      </c>
      <c r="B12" s="448" t="s">
        <v>2018</v>
      </c>
      <c r="C12" s="444" t="s">
        <v>2026</v>
      </c>
      <c r="D12" s="445" t="s">
        <v>1938</v>
      </c>
      <c r="E12" s="446">
        <v>46191</v>
      </c>
      <c r="F12" s="445" t="s">
        <v>1926</v>
      </c>
      <c r="G12" s="445" t="s">
        <v>194</v>
      </c>
      <c r="H12" s="445" t="s">
        <v>2159</v>
      </c>
      <c r="I12" s="445"/>
      <c r="J12" s="449">
        <v>334.87</v>
      </c>
      <c r="K12" s="445">
        <v>0</v>
      </c>
      <c r="L12" s="450">
        <v>2</v>
      </c>
      <c r="M12" s="451">
        <v>2.6</v>
      </c>
      <c r="N12" s="445">
        <v>2.2999999999999998</v>
      </c>
      <c r="O12" s="445">
        <v>2.2999999999999998</v>
      </c>
      <c r="P12" s="448"/>
      <c r="Q12" s="447" t="s">
        <v>1935</v>
      </c>
    </row>
    <row r="13" spans="1:24">
      <c r="A13" s="442">
        <v>46045</v>
      </c>
      <c r="B13" s="448" t="s">
        <v>2022</v>
      </c>
      <c r="C13" s="444" t="s">
        <v>2027</v>
      </c>
      <c r="D13" s="445" t="s">
        <v>1937</v>
      </c>
      <c r="E13" s="446">
        <v>46191</v>
      </c>
      <c r="F13" s="445" t="s">
        <v>1926</v>
      </c>
      <c r="G13" s="445" t="s">
        <v>194</v>
      </c>
      <c r="H13" s="445" t="s">
        <v>2160</v>
      </c>
      <c r="I13" s="445"/>
      <c r="J13" s="449">
        <v>465.95</v>
      </c>
      <c r="K13" s="445">
        <v>0</v>
      </c>
      <c r="L13" s="450">
        <v>14.75</v>
      </c>
      <c r="M13" s="451">
        <v>14.95</v>
      </c>
      <c r="N13" s="445">
        <v>14.85</v>
      </c>
      <c r="O13" s="445">
        <v>14.85</v>
      </c>
      <c r="P13" s="448"/>
      <c r="Q13" s="447" t="s">
        <v>1935</v>
      </c>
    </row>
    <row r="14" spans="1:24">
      <c r="A14" s="442">
        <v>46045</v>
      </c>
      <c r="B14" s="448" t="s">
        <v>2021</v>
      </c>
      <c r="C14" s="444" t="s">
        <v>2028</v>
      </c>
      <c r="D14" s="445" t="s">
        <v>1937</v>
      </c>
      <c r="E14" s="446">
        <v>46191</v>
      </c>
      <c r="F14" s="445" t="s">
        <v>1931</v>
      </c>
      <c r="G14" s="445" t="s">
        <v>194</v>
      </c>
      <c r="H14" s="445" t="s">
        <v>2161</v>
      </c>
      <c r="I14" s="445"/>
      <c r="J14" s="449">
        <v>465.95</v>
      </c>
      <c r="K14" s="445">
        <v>0</v>
      </c>
      <c r="L14" s="450">
        <v>16.8</v>
      </c>
      <c r="M14" s="451">
        <v>16.95</v>
      </c>
      <c r="N14" s="445">
        <v>16.875</v>
      </c>
      <c r="O14" s="445">
        <v>16.875</v>
      </c>
      <c r="P14" s="448"/>
      <c r="Q14" s="447" t="s">
        <v>1935</v>
      </c>
    </row>
    <row r="15" spans="1:24">
      <c r="A15" s="442">
        <v>46045</v>
      </c>
      <c r="B15" s="448" t="s">
        <v>2020</v>
      </c>
      <c r="C15" s="444" t="s">
        <v>2029</v>
      </c>
      <c r="D15" s="445" t="s">
        <v>1937</v>
      </c>
      <c r="E15" s="446">
        <v>46191</v>
      </c>
      <c r="F15" s="445" t="s">
        <v>1931</v>
      </c>
      <c r="G15" s="445" t="s">
        <v>194</v>
      </c>
      <c r="H15" s="445" t="s">
        <v>2162</v>
      </c>
      <c r="I15" s="445"/>
      <c r="J15" s="449">
        <v>465.95</v>
      </c>
      <c r="K15" s="445">
        <v>0</v>
      </c>
      <c r="L15" s="450">
        <v>4.6500000000000004</v>
      </c>
      <c r="M15" s="451">
        <v>4.75</v>
      </c>
      <c r="N15" s="445">
        <v>4.7</v>
      </c>
      <c r="O15" s="445">
        <v>4.7</v>
      </c>
      <c r="P15" s="448"/>
      <c r="Q15" s="447" t="s">
        <v>1935</v>
      </c>
    </row>
    <row r="16" spans="1:24">
      <c r="A16" s="442">
        <v>46045</v>
      </c>
      <c r="B16" s="448" t="s">
        <v>2031</v>
      </c>
      <c r="C16" s="444" t="s">
        <v>2032</v>
      </c>
      <c r="D16" s="445" t="s">
        <v>1951</v>
      </c>
      <c r="E16" s="446">
        <v>46101</v>
      </c>
      <c r="F16" s="445" t="s">
        <v>1926</v>
      </c>
      <c r="G16" s="445" t="s">
        <v>194</v>
      </c>
      <c r="H16" s="445" t="s">
        <v>2163</v>
      </c>
      <c r="I16" s="445"/>
      <c r="J16" s="449">
        <v>622.72</v>
      </c>
      <c r="K16" s="445">
        <v>0</v>
      </c>
      <c r="L16" s="450">
        <v>3.37</v>
      </c>
      <c r="M16" s="451">
        <v>3.42</v>
      </c>
      <c r="N16" s="445">
        <v>3.395</v>
      </c>
      <c r="O16" s="445">
        <v>3.395</v>
      </c>
      <c r="P16" s="448"/>
      <c r="Q16" s="447" t="s">
        <v>1935</v>
      </c>
    </row>
    <row r="17" spans="1:17">
      <c r="A17" s="442">
        <v>46045</v>
      </c>
      <c r="B17" s="448" t="s">
        <v>2030</v>
      </c>
      <c r="C17" s="444" t="s">
        <v>2034</v>
      </c>
      <c r="D17" s="445" t="s">
        <v>1951</v>
      </c>
      <c r="E17" s="446">
        <v>46101</v>
      </c>
      <c r="F17" s="445" t="s">
        <v>1926</v>
      </c>
      <c r="G17" s="445" t="s">
        <v>194</v>
      </c>
      <c r="H17" s="445" t="s">
        <v>2164</v>
      </c>
      <c r="I17" s="445"/>
      <c r="J17" s="449">
        <v>622.72</v>
      </c>
      <c r="K17" s="445">
        <v>0</v>
      </c>
      <c r="L17" s="450">
        <v>6.61</v>
      </c>
      <c r="M17" s="451">
        <v>6.66</v>
      </c>
      <c r="N17" s="445">
        <v>6.6349999999999998</v>
      </c>
      <c r="O17" s="445">
        <v>6.6349999999999998</v>
      </c>
      <c r="P17" s="448"/>
      <c r="Q17" s="447" t="s">
        <v>1935</v>
      </c>
    </row>
    <row r="18" spans="1:17">
      <c r="A18" s="442">
        <v>46045</v>
      </c>
      <c r="B18" s="448" t="s">
        <v>2035</v>
      </c>
      <c r="C18" s="444" t="s">
        <v>2038</v>
      </c>
      <c r="D18" s="445" t="s">
        <v>2033</v>
      </c>
      <c r="E18" s="446">
        <v>46191</v>
      </c>
      <c r="F18" s="445" t="s">
        <v>1931</v>
      </c>
      <c r="G18" s="445" t="s">
        <v>194</v>
      </c>
      <c r="H18" s="445" t="s">
        <v>2165</v>
      </c>
      <c r="I18" s="445"/>
      <c r="J18" s="449">
        <v>239.167</v>
      </c>
      <c r="K18" s="445">
        <v>9.1670000000000016</v>
      </c>
      <c r="L18" s="450">
        <v>27.55</v>
      </c>
      <c r="M18" s="451">
        <v>27.95</v>
      </c>
      <c r="N18" s="445">
        <v>27.75</v>
      </c>
      <c r="O18" s="445">
        <v>27.75</v>
      </c>
      <c r="P18" s="448"/>
      <c r="Q18" s="447" t="s">
        <v>1935</v>
      </c>
    </row>
    <row r="19" spans="1:17">
      <c r="A19" s="442">
        <v>46045</v>
      </c>
      <c r="B19" s="448" t="s">
        <v>2036</v>
      </c>
      <c r="C19" s="444" t="s">
        <v>2039</v>
      </c>
      <c r="D19" s="445" t="s">
        <v>2033</v>
      </c>
      <c r="E19" s="446">
        <v>46191</v>
      </c>
      <c r="F19" s="445" t="s">
        <v>1931</v>
      </c>
      <c r="G19" s="445" t="s">
        <v>194</v>
      </c>
      <c r="H19" s="445" t="s">
        <v>2166</v>
      </c>
      <c r="I19" s="445"/>
      <c r="J19" s="449">
        <v>239.167</v>
      </c>
      <c r="K19" s="445">
        <v>0</v>
      </c>
      <c r="L19" s="450">
        <v>13.65</v>
      </c>
      <c r="M19" s="451">
        <v>13.8</v>
      </c>
      <c r="N19" s="445">
        <v>13.725000000000001</v>
      </c>
      <c r="O19" s="445">
        <v>13.725000000000001</v>
      </c>
      <c r="P19" s="448"/>
      <c r="Q19" s="447" t="s">
        <v>1935</v>
      </c>
    </row>
    <row r="20" spans="1:17">
      <c r="A20" s="442">
        <v>46045</v>
      </c>
      <c r="B20" s="448" t="s">
        <v>2037</v>
      </c>
      <c r="C20" s="444" t="s">
        <v>2040</v>
      </c>
      <c r="D20" s="445" t="s">
        <v>2033</v>
      </c>
      <c r="E20" s="446">
        <v>46191</v>
      </c>
      <c r="F20" s="445" t="s">
        <v>1926</v>
      </c>
      <c r="G20" s="445" t="s">
        <v>194</v>
      </c>
      <c r="H20" s="445" t="s">
        <v>2167</v>
      </c>
      <c r="I20" s="445"/>
      <c r="J20" s="449">
        <v>239.167</v>
      </c>
      <c r="K20" s="445">
        <v>0</v>
      </c>
      <c r="L20" s="450">
        <v>6</v>
      </c>
      <c r="M20" s="451">
        <v>6.1</v>
      </c>
      <c r="N20" s="445">
        <v>6.05</v>
      </c>
      <c r="O20" s="445">
        <v>6.05</v>
      </c>
      <c r="P20" s="448"/>
      <c r="Q20" s="447" t="s">
        <v>1935</v>
      </c>
    </row>
    <row r="21" spans="1:17">
      <c r="A21" s="442">
        <v>46045</v>
      </c>
      <c r="B21" s="448" t="s">
        <v>2048</v>
      </c>
      <c r="C21" s="444" t="s">
        <v>2051</v>
      </c>
      <c r="D21" s="445" t="s">
        <v>1937</v>
      </c>
      <c r="E21" s="446">
        <v>46101</v>
      </c>
      <c r="F21" s="445" t="s">
        <v>1931</v>
      </c>
      <c r="G21" s="445" t="s">
        <v>194</v>
      </c>
      <c r="H21" s="445" t="s">
        <v>2169</v>
      </c>
      <c r="I21" s="445"/>
      <c r="J21" s="449">
        <v>465.95</v>
      </c>
      <c r="K21" s="445">
        <v>0</v>
      </c>
      <c r="L21" s="450">
        <v>12.25</v>
      </c>
      <c r="M21" s="451">
        <v>12.35</v>
      </c>
      <c r="N21" s="445">
        <v>12.3</v>
      </c>
      <c r="O21" s="445">
        <v>12.3</v>
      </c>
      <c r="P21" s="448"/>
      <c r="Q21" s="447" t="s">
        <v>1935</v>
      </c>
    </row>
    <row r="22" spans="1:17">
      <c r="A22" s="442">
        <v>46045</v>
      </c>
      <c r="B22" s="448" t="s">
        <v>2047</v>
      </c>
      <c r="C22" s="444" t="s">
        <v>2052</v>
      </c>
      <c r="D22" s="445" t="s">
        <v>1937</v>
      </c>
      <c r="E22" s="446">
        <v>46101</v>
      </c>
      <c r="F22" s="445" t="s">
        <v>1931</v>
      </c>
      <c r="G22" s="445" t="s">
        <v>194</v>
      </c>
      <c r="H22" s="445" t="s">
        <v>2161</v>
      </c>
      <c r="I22" s="445"/>
      <c r="J22" s="449">
        <v>465.95</v>
      </c>
      <c r="K22" s="445">
        <v>0</v>
      </c>
      <c r="L22" s="450">
        <v>6</v>
      </c>
      <c r="M22" s="451">
        <v>6.1</v>
      </c>
      <c r="N22" s="445">
        <v>6.05</v>
      </c>
      <c r="O22" s="445">
        <v>6.05</v>
      </c>
      <c r="P22" s="448"/>
      <c r="Q22" s="447" t="s">
        <v>1935</v>
      </c>
    </row>
    <row r="23" spans="1:17" ht="45">
      <c r="A23" s="442">
        <v>46045</v>
      </c>
      <c r="B23" s="462" t="s">
        <v>2050</v>
      </c>
      <c r="C23" s="444" t="s">
        <v>2053</v>
      </c>
      <c r="D23" s="445" t="s">
        <v>1937</v>
      </c>
      <c r="E23" s="446">
        <v>46101</v>
      </c>
      <c r="F23" s="445" t="s">
        <v>1926</v>
      </c>
      <c r="G23" s="445" t="s">
        <v>194</v>
      </c>
      <c r="H23" s="445" t="s">
        <v>2170</v>
      </c>
      <c r="I23" s="445"/>
      <c r="J23" s="449">
        <v>465.95</v>
      </c>
      <c r="K23" s="445">
        <v>0</v>
      </c>
      <c r="L23" s="450">
        <v>15.3</v>
      </c>
      <c r="M23" s="451">
        <v>15.45</v>
      </c>
      <c r="N23" s="445">
        <v>15.375</v>
      </c>
      <c r="O23" s="445">
        <v>15.375</v>
      </c>
      <c r="P23" s="448"/>
      <c r="Q23" s="447" t="s">
        <v>1935</v>
      </c>
    </row>
    <row r="24" spans="1:17" ht="45">
      <c r="A24" s="442">
        <v>46045</v>
      </c>
      <c r="B24" s="462" t="s">
        <v>2049</v>
      </c>
      <c r="C24" s="444" t="s">
        <v>2054</v>
      </c>
      <c r="D24" s="445" t="s">
        <v>1937</v>
      </c>
      <c r="E24" s="446">
        <v>46101</v>
      </c>
      <c r="F24" s="445" t="s">
        <v>1926</v>
      </c>
      <c r="G24" s="445" t="s">
        <v>194</v>
      </c>
      <c r="H24" s="445" t="s">
        <v>2171</v>
      </c>
      <c r="I24" s="445"/>
      <c r="J24" s="449">
        <v>465.95</v>
      </c>
      <c r="K24" s="445">
        <v>0</v>
      </c>
      <c r="L24" s="450">
        <v>19.850000000000001</v>
      </c>
      <c r="M24" s="451">
        <v>20</v>
      </c>
      <c r="N24" s="445">
        <v>19.925000000000001</v>
      </c>
      <c r="O24" s="445">
        <v>19.925000000000001</v>
      </c>
      <c r="P24" s="448"/>
      <c r="Q24" s="447" t="s">
        <v>1935</v>
      </c>
    </row>
    <row r="25" spans="1:17" ht="45">
      <c r="A25" s="442">
        <v>46045</v>
      </c>
      <c r="B25" s="462" t="s">
        <v>2058</v>
      </c>
      <c r="C25" s="444" t="s">
        <v>2060</v>
      </c>
      <c r="D25" s="445" t="s">
        <v>2061</v>
      </c>
      <c r="E25" s="446">
        <v>46101</v>
      </c>
      <c r="F25" s="445" t="s">
        <v>1926</v>
      </c>
      <c r="G25" s="445" t="s">
        <v>194</v>
      </c>
      <c r="H25" s="445" t="s">
        <v>2172</v>
      </c>
      <c r="I25" s="445"/>
      <c r="J25" s="449">
        <v>80.23</v>
      </c>
      <c r="K25" s="445">
        <v>0</v>
      </c>
      <c r="L25" s="450">
        <v>6.8</v>
      </c>
      <c r="M25" s="451">
        <v>6.95</v>
      </c>
      <c r="N25" s="445">
        <v>6.875</v>
      </c>
      <c r="O25" s="445">
        <v>6.875</v>
      </c>
      <c r="P25" s="448"/>
      <c r="Q25" s="447" t="s">
        <v>1935</v>
      </c>
    </row>
    <row r="26" spans="1:17" ht="45">
      <c r="A26" s="442">
        <v>46045</v>
      </c>
      <c r="B26" s="462" t="s">
        <v>2059</v>
      </c>
      <c r="C26" s="444" t="s">
        <v>2062</v>
      </c>
      <c r="D26" s="445" t="s">
        <v>2061</v>
      </c>
      <c r="E26" s="446">
        <v>46101</v>
      </c>
      <c r="F26" s="445" t="s">
        <v>1926</v>
      </c>
      <c r="G26" s="445" t="s">
        <v>194</v>
      </c>
      <c r="H26" s="445" t="s">
        <v>2173</v>
      </c>
      <c r="I26" s="445"/>
      <c r="J26" s="449">
        <v>80.23</v>
      </c>
      <c r="K26" s="445">
        <v>9.769999999999996</v>
      </c>
      <c r="L26" s="450">
        <v>12.25</v>
      </c>
      <c r="M26" s="451">
        <v>13.7</v>
      </c>
      <c r="N26" s="445">
        <v>12.975</v>
      </c>
      <c r="O26" s="445">
        <v>12.975</v>
      </c>
      <c r="P26" s="448"/>
      <c r="Q26" s="447" t="s">
        <v>1935</v>
      </c>
    </row>
    <row r="27" spans="1:17" ht="45">
      <c r="A27" s="442">
        <v>46045</v>
      </c>
      <c r="B27" s="462" t="s">
        <v>2065</v>
      </c>
      <c r="C27" s="444" t="s">
        <v>2066</v>
      </c>
      <c r="D27" s="445" t="s">
        <v>1936</v>
      </c>
      <c r="E27" s="446">
        <v>46038</v>
      </c>
      <c r="F27" s="445" t="s">
        <v>1926</v>
      </c>
      <c r="G27" s="445" t="s">
        <v>194</v>
      </c>
      <c r="H27" s="445" t="s">
        <v>2174</v>
      </c>
      <c r="I27" s="445"/>
      <c r="J27" s="476">
        <v>36.590000000000003</v>
      </c>
      <c r="K27" s="445">
        <v>0</v>
      </c>
      <c r="L27" s="477">
        <v>0.83499999999999996</v>
      </c>
      <c r="M27" s="478">
        <v>0.83499999999999996</v>
      </c>
      <c r="N27" s="445">
        <v>0.83499999999999996</v>
      </c>
      <c r="O27" s="445">
        <v>0.83499999999999996</v>
      </c>
      <c r="P27" s="448">
        <v>0</v>
      </c>
      <c r="Q27" s="447" t="s">
        <v>1928</v>
      </c>
    </row>
    <row r="28" spans="1:17" ht="45">
      <c r="A28" s="442">
        <v>46045</v>
      </c>
      <c r="B28" s="462" t="s">
        <v>2068</v>
      </c>
      <c r="C28" s="444" t="s">
        <v>2070</v>
      </c>
      <c r="D28" s="445" t="s">
        <v>2071</v>
      </c>
      <c r="E28" s="446">
        <v>46129</v>
      </c>
      <c r="F28" s="445" t="s">
        <v>1931</v>
      </c>
      <c r="G28" s="445" t="s">
        <v>194</v>
      </c>
      <c r="H28" s="445" t="s">
        <v>2175</v>
      </c>
      <c r="I28" s="445"/>
      <c r="J28" s="449">
        <v>658.76</v>
      </c>
      <c r="K28" s="445">
        <v>0</v>
      </c>
      <c r="L28" s="450">
        <v>34.200000000000003</v>
      </c>
      <c r="M28" s="451">
        <v>34.450000000000003</v>
      </c>
      <c r="N28" s="445">
        <v>34.325000000000003</v>
      </c>
      <c r="O28" s="445">
        <v>34.325000000000003</v>
      </c>
      <c r="P28" s="448"/>
      <c r="Q28" s="447" t="s">
        <v>1935</v>
      </c>
    </row>
    <row r="29" spans="1:17">
      <c r="A29" s="442">
        <v>46045</v>
      </c>
      <c r="B29" s="443" t="s">
        <v>2067</v>
      </c>
      <c r="C29" s="444" t="s">
        <v>2072</v>
      </c>
      <c r="D29" s="445" t="s">
        <v>2071</v>
      </c>
      <c r="E29" s="446">
        <v>46129</v>
      </c>
      <c r="F29" s="445" t="s">
        <v>1931</v>
      </c>
      <c r="G29" s="445" t="s">
        <v>194</v>
      </c>
      <c r="H29" s="445" t="s">
        <v>2176</v>
      </c>
      <c r="I29" s="445"/>
      <c r="J29" s="449">
        <v>658.76</v>
      </c>
      <c r="K29" s="445">
        <v>0</v>
      </c>
      <c r="L29" s="450">
        <v>16.850000000000001</v>
      </c>
      <c r="M29" s="451">
        <v>17.149999999999999</v>
      </c>
      <c r="N29" s="445">
        <v>17</v>
      </c>
      <c r="O29" s="445">
        <v>17</v>
      </c>
      <c r="P29" s="448"/>
      <c r="Q29" s="447" t="s">
        <v>1935</v>
      </c>
    </row>
    <row r="30" spans="1:17" ht="45">
      <c r="A30" s="442">
        <v>46045</v>
      </c>
      <c r="B30" s="462" t="s">
        <v>2069</v>
      </c>
      <c r="C30" s="444" t="s">
        <v>2073</v>
      </c>
      <c r="D30" s="445" t="s">
        <v>2071</v>
      </c>
      <c r="E30" s="446">
        <v>46129</v>
      </c>
      <c r="F30" s="445" t="s">
        <v>1926</v>
      </c>
      <c r="G30" s="445" t="s">
        <v>194</v>
      </c>
      <c r="H30" s="445" t="s">
        <v>2177</v>
      </c>
      <c r="I30" s="445"/>
      <c r="J30" s="449">
        <v>658.76</v>
      </c>
      <c r="K30" s="445">
        <v>0</v>
      </c>
      <c r="L30" s="450">
        <v>16.3</v>
      </c>
      <c r="M30" s="451">
        <v>16.55</v>
      </c>
      <c r="N30" s="445">
        <v>16.425000000000001</v>
      </c>
      <c r="O30" s="445">
        <v>16.425000000000001</v>
      </c>
      <c r="P30" s="448"/>
      <c r="Q30" s="447" t="s">
        <v>1935</v>
      </c>
    </row>
    <row r="31" spans="1:17" ht="45">
      <c r="A31" s="442">
        <v>46045</v>
      </c>
      <c r="B31" s="462" t="s">
        <v>2075</v>
      </c>
      <c r="C31" s="444" t="s">
        <v>2080</v>
      </c>
      <c r="D31" s="445" t="s">
        <v>2081</v>
      </c>
      <c r="E31" s="446">
        <v>46073</v>
      </c>
      <c r="F31" s="445" t="s">
        <v>1931</v>
      </c>
      <c r="G31" s="445" t="s">
        <v>194</v>
      </c>
      <c r="H31" s="445" t="s">
        <v>2178</v>
      </c>
      <c r="I31" s="445"/>
      <c r="J31" s="449">
        <v>339.19</v>
      </c>
      <c r="K31" s="445">
        <v>0</v>
      </c>
      <c r="L31" s="450">
        <v>12.4</v>
      </c>
      <c r="M31" s="451">
        <v>14.6</v>
      </c>
      <c r="N31" s="445">
        <v>13.5</v>
      </c>
      <c r="O31" s="445">
        <v>13.5</v>
      </c>
      <c r="P31" s="448"/>
      <c r="Q31" s="447" t="s">
        <v>1935</v>
      </c>
    </row>
    <row r="32" spans="1:17" ht="45">
      <c r="A32" s="442">
        <v>46045</v>
      </c>
      <c r="B32" s="462" t="s">
        <v>2074</v>
      </c>
      <c r="C32" s="444" t="s">
        <v>2082</v>
      </c>
      <c r="D32" s="445" t="s">
        <v>2081</v>
      </c>
      <c r="E32" s="446">
        <v>46073</v>
      </c>
      <c r="F32" s="445" t="s">
        <v>1931</v>
      </c>
      <c r="G32" s="445" t="s">
        <v>194</v>
      </c>
      <c r="H32" s="445" t="s">
        <v>2179</v>
      </c>
      <c r="I32" s="445"/>
      <c r="J32" s="449">
        <v>339.19</v>
      </c>
      <c r="K32" s="445">
        <v>0</v>
      </c>
      <c r="L32" s="450">
        <v>22</v>
      </c>
      <c r="M32" s="451">
        <v>23.8</v>
      </c>
      <c r="N32" s="445">
        <v>22.9</v>
      </c>
      <c r="O32" s="445">
        <v>22.9</v>
      </c>
      <c r="P32" s="448"/>
      <c r="Q32" s="447" t="s">
        <v>1935</v>
      </c>
    </row>
    <row r="33" spans="1:17" ht="45">
      <c r="A33" s="442">
        <v>46045</v>
      </c>
      <c r="B33" s="462" t="s">
        <v>2078</v>
      </c>
      <c r="C33" s="444" t="s">
        <v>2083</v>
      </c>
      <c r="D33" s="445" t="s">
        <v>2084</v>
      </c>
      <c r="E33" s="446">
        <v>46101</v>
      </c>
      <c r="F33" s="445" t="s">
        <v>1931</v>
      </c>
      <c r="G33" s="445" t="s">
        <v>194</v>
      </c>
      <c r="H33" s="445" t="s">
        <v>2159</v>
      </c>
      <c r="I33" s="445"/>
      <c r="J33" s="449">
        <v>196.94</v>
      </c>
      <c r="K33" s="445">
        <v>0</v>
      </c>
      <c r="L33" s="450">
        <v>19.7</v>
      </c>
      <c r="M33" s="451">
        <v>20.8</v>
      </c>
      <c r="N33" s="445">
        <v>20.25</v>
      </c>
      <c r="O33" s="445">
        <v>20.25</v>
      </c>
      <c r="P33" s="448"/>
      <c r="Q33" s="447" t="s">
        <v>1935</v>
      </c>
    </row>
    <row r="34" spans="1:17" ht="45">
      <c r="A34" s="442">
        <v>46045</v>
      </c>
      <c r="B34" s="462" t="s">
        <v>2079</v>
      </c>
      <c r="C34" s="444" t="s">
        <v>2085</v>
      </c>
      <c r="D34" s="445" t="s">
        <v>2084</v>
      </c>
      <c r="E34" s="446">
        <v>46101</v>
      </c>
      <c r="F34" s="445" t="s">
        <v>1931</v>
      </c>
      <c r="G34" s="445" t="s">
        <v>194</v>
      </c>
      <c r="H34" s="445" t="s">
        <v>2158</v>
      </c>
      <c r="I34" s="445"/>
      <c r="J34" s="449">
        <v>196.94</v>
      </c>
      <c r="K34" s="445">
        <v>0</v>
      </c>
      <c r="L34" s="450">
        <v>9.1999999999999993</v>
      </c>
      <c r="M34" s="451">
        <v>10</v>
      </c>
      <c r="N34" s="445">
        <v>9.6</v>
      </c>
      <c r="O34" s="445">
        <v>9.6</v>
      </c>
      <c r="P34" s="448"/>
      <c r="Q34" s="447" t="s">
        <v>1935</v>
      </c>
    </row>
    <row r="35" spans="1:17" ht="45">
      <c r="A35" s="442">
        <v>46045</v>
      </c>
      <c r="B35" s="462" t="s">
        <v>2091</v>
      </c>
      <c r="C35" s="444" t="s">
        <v>2093</v>
      </c>
      <c r="D35" s="445" t="s">
        <v>2094</v>
      </c>
      <c r="E35" s="446">
        <v>46101</v>
      </c>
      <c r="F35" s="445" t="s">
        <v>1931</v>
      </c>
      <c r="G35" s="445" t="s">
        <v>194</v>
      </c>
      <c r="H35" s="445" t="s">
        <v>2149</v>
      </c>
      <c r="I35" s="445"/>
      <c r="J35" s="449">
        <v>86.084999999999994</v>
      </c>
      <c r="K35" s="445">
        <v>0</v>
      </c>
      <c r="L35" s="450">
        <v>0.44</v>
      </c>
      <c r="M35" s="451">
        <v>0.54</v>
      </c>
      <c r="N35" s="445">
        <v>0.49</v>
      </c>
      <c r="O35" s="445">
        <v>0.49</v>
      </c>
      <c r="P35" s="448"/>
      <c r="Q35" s="447" t="s">
        <v>1935</v>
      </c>
    </row>
    <row r="36" spans="1:17" ht="45">
      <c r="A36" s="442">
        <v>46045</v>
      </c>
      <c r="B36" s="462" t="s">
        <v>2092</v>
      </c>
      <c r="C36" s="444" t="s">
        <v>2095</v>
      </c>
      <c r="D36" s="445" t="s">
        <v>2094</v>
      </c>
      <c r="E36" s="446">
        <v>46101</v>
      </c>
      <c r="F36" s="445" t="s">
        <v>1926</v>
      </c>
      <c r="G36" s="445" t="s">
        <v>194</v>
      </c>
      <c r="H36" s="445" t="s">
        <v>2180</v>
      </c>
      <c r="I36" s="445"/>
      <c r="J36" s="449">
        <v>86.084999999999994</v>
      </c>
      <c r="K36" s="445">
        <v>0</v>
      </c>
      <c r="L36" s="450">
        <v>2.57</v>
      </c>
      <c r="M36" s="451">
        <v>2.68</v>
      </c>
      <c r="N36" s="445">
        <v>2.625</v>
      </c>
      <c r="O36" s="445">
        <v>2.625</v>
      </c>
      <c r="P36" s="448"/>
      <c r="Q36" s="447" t="s">
        <v>1935</v>
      </c>
    </row>
    <row r="37" spans="1:17" ht="45">
      <c r="A37" s="442">
        <v>46045</v>
      </c>
      <c r="B37" s="462" t="s">
        <v>2090</v>
      </c>
      <c r="C37" s="444" t="s">
        <v>2096</v>
      </c>
      <c r="D37" s="445" t="s">
        <v>2094</v>
      </c>
      <c r="E37" s="446">
        <v>46101</v>
      </c>
      <c r="F37" s="445" t="s">
        <v>1926</v>
      </c>
      <c r="G37" s="445" t="s">
        <v>194</v>
      </c>
      <c r="H37" s="445" t="s">
        <v>2181</v>
      </c>
      <c r="I37" s="445"/>
      <c r="J37" s="449">
        <v>86.084999999999994</v>
      </c>
      <c r="K37" s="445">
        <v>5.9150000000000063</v>
      </c>
      <c r="L37" s="450">
        <v>7.5</v>
      </c>
      <c r="M37" s="451">
        <v>7.7</v>
      </c>
      <c r="N37" s="445">
        <v>7.6</v>
      </c>
      <c r="O37" s="445">
        <v>7.6</v>
      </c>
      <c r="P37" s="448"/>
      <c r="Q37" s="447" t="s">
        <v>1935</v>
      </c>
    </row>
    <row r="38" spans="1:17" ht="45">
      <c r="A38" s="442">
        <v>46045</v>
      </c>
      <c r="B38" s="462" t="s">
        <v>2098</v>
      </c>
      <c r="C38" s="444" t="s">
        <v>2101</v>
      </c>
      <c r="D38" s="445" t="s">
        <v>2061</v>
      </c>
      <c r="E38" s="446">
        <v>46101</v>
      </c>
      <c r="F38" s="445" t="s">
        <v>1926</v>
      </c>
      <c r="G38" s="445" t="s">
        <v>194</v>
      </c>
      <c r="H38" s="445" t="s">
        <v>2182</v>
      </c>
      <c r="I38" s="445"/>
      <c r="J38" s="449">
        <v>80.23</v>
      </c>
      <c r="K38" s="445">
        <v>0</v>
      </c>
      <c r="L38" s="450">
        <v>4.45</v>
      </c>
      <c r="M38" s="451">
        <v>4.75</v>
      </c>
      <c r="N38" s="445">
        <v>4.5999999999999996</v>
      </c>
      <c r="O38" s="445">
        <v>4.5999999999999996</v>
      </c>
      <c r="P38" s="448"/>
      <c r="Q38" s="447" t="s">
        <v>1935</v>
      </c>
    </row>
    <row r="39" spans="1:17" ht="45">
      <c r="A39" s="442">
        <v>46045</v>
      </c>
      <c r="B39" s="462" t="s">
        <v>2097</v>
      </c>
      <c r="C39" s="444" t="s">
        <v>2102</v>
      </c>
      <c r="D39" s="445" t="s">
        <v>2061</v>
      </c>
      <c r="E39" s="446">
        <v>46101</v>
      </c>
      <c r="F39" s="445" t="s">
        <v>1926</v>
      </c>
      <c r="G39" s="445" t="s">
        <v>194</v>
      </c>
      <c r="H39" s="445" t="s">
        <v>2183</v>
      </c>
      <c r="I39" s="445"/>
      <c r="J39" s="449">
        <v>80.23</v>
      </c>
      <c r="K39" s="445">
        <v>4.769999999999996</v>
      </c>
      <c r="L39" s="450">
        <v>9.6999999999999993</v>
      </c>
      <c r="M39" s="451">
        <v>10</v>
      </c>
      <c r="N39" s="445">
        <v>9.85</v>
      </c>
      <c r="O39" s="445">
        <v>9.85</v>
      </c>
      <c r="P39" s="448"/>
      <c r="Q39" s="447" t="s">
        <v>1935</v>
      </c>
    </row>
    <row r="40" spans="1:17" ht="45">
      <c r="A40" s="442">
        <v>46045</v>
      </c>
      <c r="B40" s="462" t="s">
        <v>2105</v>
      </c>
      <c r="C40" s="444" t="s">
        <v>2111</v>
      </c>
      <c r="D40" s="445" t="s">
        <v>2112</v>
      </c>
      <c r="E40" s="446">
        <v>46191</v>
      </c>
      <c r="F40" s="445" t="s">
        <v>1931</v>
      </c>
      <c r="G40" s="445" t="s">
        <v>194</v>
      </c>
      <c r="H40" s="445" t="s">
        <v>2184</v>
      </c>
      <c r="I40" s="445"/>
      <c r="J40" s="449">
        <v>319.95499999999998</v>
      </c>
      <c r="K40" s="445">
        <v>0</v>
      </c>
      <c r="L40" s="450">
        <v>29.9</v>
      </c>
      <c r="M40" s="451">
        <v>30.25</v>
      </c>
      <c r="N40" s="445">
        <v>30.074999999999999</v>
      </c>
      <c r="O40" s="445">
        <v>30.074999999999999</v>
      </c>
      <c r="P40" s="448"/>
      <c r="Q40" s="447" t="s">
        <v>1935</v>
      </c>
    </row>
    <row r="41" spans="1:17" ht="45">
      <c r="A41" s="442">
        <v>46045</v>
      </c>
      <c r="B41" s="462" t="s">
        <v>2107</v>
      </c>
      <c r="C41" s="444" t="s">
        <v>2113</v>
      </c>
      <c r="D41" s="445" t="s">
        <v>2112</v>
      </c>
      <c r="E41" s="446">
        <v>46191</v>
      </c>
      <c r="F41" s="445" t="s">
        <v>1931</v>
      </c>
      <c r="G41" s="445" t="s">
        <v>194</v>
      </c>
      <c r="H41" s="445" t="s">
        <v>2185</v>
      </c>
      <c r="I41" s="445"/>
      <c r="J41" s="449">
        <v>319.95499999999998</v>
      </c>
      <c r="K41" s="445">
        <v>0</v>
      </c>
      <c r="L41" s="450">
        <v>14.5</v>
      </c>
      <c r="M41" s="451">
        <v>14.8</v>
      </c>
      <c r="N41" s="445">
        <v>14.65</v>
      </c>
      <c r="O41" s="445">
        <v>14.65</v>
      </c>
      <c r="P41" s="448"/>
      <c r="Q41" s="447" t="s">
        <v>1935</v>
      </c>
    </row>
    <row r="42" spans="1:17" ht="45">
      <c r="A42" s="442">
        <v>46045</v>
      </c>
      <c r="B42" s="462" t="s">
        <v>2106</v>
      </c>
      <c r="C42" s="444" t="s">
        <v>2114</v>
      </c>
      <c r="D42" s="445" t="s">
        <v>2112</v>
      </c>
      <c r="E42" s="446">
        <v>46191</v>
      </c>
      <c r="F42" s="445" t="s">
        <v>1926</v>
      </c>
      <c r="G42" s="445" t="s">
        <v>194</v>
      </c>
      <c r="H42" s="445" t="s">
        <v>2186</v>
      </c>
      <c r="I42" s="445"/>
      <c r="J42" s="449">
        <v>319.95499999999998</v>
      </c>
      <c r="K42" s="445">
        <v>0</v>
      </c>
      <c r="L42" s="450">
        <v>16.850000000000001</v>
      </c>
      <c r="M42" s="451">
        <v>17.2</v>
      </c>
      <c r="N42" s="445">
        <v>17.024999999999999</v>
      </c>
      <c r="O42" s="445">
        <v>17.024999999999999</v>
      </c>
      <c r="P42" s="448"/>
      <c r="Q42" s="447" t="s">
        <v>1935</v>
      </c>
    </row>
    <row r="43" spans="1:17" ht="45">
      <c r="A43" s="442">
        <v>46045</v>
      </c>
      <c r="B43" s="462" t="s">
        <v>2104</v>
      </c>
      <c r="C43" s="444" t="s">
        <v>2115</v>
      </c>
      <c r="D43" s="445" t="s">
        <v>2112</v>
      </c>
      <c r="E43" s="446">
        <v>46191</v>
      </c>
      <c r="F43" s="445" t="s">
        <v>1926</v>
      </c>
      <c r="G43" s="445" t="s">
        <v>194</v>
      </c>
      <c r="H43" s="445" t="s">
        <v>2156</v>
      </c>
      <c r="I43" s="445"/>
      <c r="J43" s="449">
        <v>319.95499999999998</v>
      </c>
      <c r="K43" s="445">
        <v>0</v>
      </c>
      <c r="L43" s="450">
        <v>28.05</v>
      </c>
      <c r="M43" s="451">
        <v>28.4</v>
      </c>
      <c r="N43" s="445">
        <v>28.225000000000001</v>
      </c>
      <c r="O43" s="445">
        <v>28.225000000000001</v>
      </c>
      <c r="P43" s="448"/>
      <c r="Q43" s="447" t="s">
        <v>1935</v>
      </c>
    </row>
    <row r="44" spans="1:17" ht="45">
      <c r="A44" s="442">
        <v>46045</v>
      </c>
      <c r="B44" s="462" t="s">
        <v>2108</v>
      </c>
      <c r="C44" s="444" t="s">
        <v>2116</v>
      </c>
      <c r="D44" s="445" t="s">
        <v>2071</v>
      </c>
      <c r="E44" s="446">
        <v>46129</v>
      </c>
      <c r="F44" s="445" t="s">
        <v>1926</v>
      </c>
      <c r="G44" s="445" t="s">
        <v>194</v>
      </c>
      <c r="H44" s="445" t="s">
        <v>2187</v>
      </c>
      <c r="I44" s="445"/>
      <c r="J44" s="449">
        <v>658.76</v>
      </c>
      <c r="K44" s="445">
        <v>0</v>
      </c>
      <c r="L44" s="450">
        <v>19.05</v>
      </c>
      <c r="M44" s="451">
        <v>19.3</v>
      </c>
      <c r="N44" s="445">
        <v>19.175000000000001</v>
      </c>
      <c r="O44" s="445">
        <v>19.175000000000001</v>
      </c>
      <c r="P44" s="448"/>
      <c r="Q44" s="447" t="s">
        <v>1935</v>
      </c>
    </row>
    <row r="45" spans="1:17" ht="45">
      <c r="A45" s="442">
        <v>46045</v>
      </c>
      <c r="B45" s="462" t="s">
        <v>2100</v>
      </c>
      <c r="C45" s="444" t="s">
        <v>2117</v>
      </c>
      <c r="D45" s="445" t="s">
        <v>1938</v>
      </c>
      <c r="E45" s="446">
        <v>46101</v>
      </c>
      <c r="F45" s="445" t="s">
        <v>1931</v>
      </c>
      <c r="G45" s="445" t="s">
        <v>194</v>
      </c>
      <c r="H45" s="445" t="s">
        <v>2168</v>
      </c>
      <c r="I45" s="445"/>
      <c r="J45" s="449">
        <v>334.87</v>
      </c>
      <c r="K45" s="445">
        <v>4.8700000000000045</v>
      </c>
      <c r="L45" s="450">
        <v>21.15</v>
      </c>
      <c r="M45" s="451">
        <v>22</v>
      </c>
      <c r="N45" s="445">
        <v>21.574999999999999</v>
      </c>
      <c r="O45" s="445">
        <v>21.574999999999999</v>
      </c>
      <c r="P45" s="448"/>
      <c r="Q45" s="447" t="s">
        <v>1935</v>
      </c>
    </row>
    <row r="46" spans="1:17" ht="45">
      <c r="A46" s="442">
        <v>46045</v>
      </c>
      <c r="B46" s="462" t="s">
        <v>2099</v>
      </c>
      <c r="C46" s="444" t="s">
        <v>2118</v>
      </c>
      <c r="D46" s="445" t="s">
        <v>1938</v>
      </c>
      <c r="E46" s="446">
        <v>46101</v>
      </c>
      <c r="F46" s="445" t="s">
        <v>1931</v>
      </c>
      <c r="G46" s="445" t="s">
        <v>194</v>
      </c>
      <c r="H46" s="445" t="s">
        <v>2156</v>
      </c>
      <c r="I46" s="445"/>
      <c r="J46" s="449">
        <v>334.87</v>
      </c>
      <c r="K46" s="445">
        <v>34.870000000000005</v>
      </c>
      <c r="L46" s="450">
        <v>41.15</v>
      </c>
      <c r="M46" s="451">
        <v>42.3</v>
      </c>
      <c r="N46" s="445">
        <v>41.724999999999994</v>
      </c>
      <c r="O46" s="445">
        <v>41.724999999999994</v>
      </c>
      <c r="P46" s="448"/>
      <c r="Q46" s="447" t="s">
        <v>1935</v>
      </c>
    </row>
    <row r="47" spans="1:17" ht="45">
      <c r="A47" s="442">
        <v>46045</v>
      </c>
      <c r="B47" s="462" t="s">
        <v>2109</v>
      </c>
      <c r="C47" s="444" t="s">
        <v>2119</v>
      </c>
      <c r="D47" s="445" t="s">
        <v>2071</v>
      </c>
      <c r="E47" s="446">
        <v>46129</v>
      </c>
      <c r="F47" s="445" t="s">
        <v>1926</v>
      </c>
      <c r="G47" s="445" t="s">
        <v>194</v>
      </c>
      <c r="H47" s="445" t="s">
        <v>2188</v>
      </c>
      <c r="I47" s="445"/>
      <c r="J47" s="449">
        <v>658.76</v>
      </c>
      <c r="K47" s="445">
        <v>0</v>
      </c>
      <c r="L47" s="450">
        <v>11.8</v>
      </c>
      <c r="M47" s="451">
        <v>12.05</v>
      </c>
      <c r="N47" s="445">
        <v>11.925000000000001</v>
      </c>
      <c r="O47" s="445">
        <v>11.925000000000001</v>
      </c>
      <c r="P47" s="448"/>
      <c r="Q47" s="447" t="s">
        <v>1935</v>
      </c>
    </row>
    <row r="48" spans="1:17">
      <c r="A48" s="442">
        <v>46045</v>
      </c>
      <c r="B48" s="480" t="s">
        <v>2228</v>
      </c>
      <c r="C48" s="444" t="s">
        <v>2233</v>
      </c>
      <c r="D48" s="445" t="s">
        <v>1938</v>
      </c>
      <c r="E48" s="446">
        <v>46191</v>
      </c>
      <c r="F48" s="445" t="s">
        <v>1931</v>
      </c>
      <c r="G48" s="445" t="s">
        <v>194</v>
      </c>
      <c r="H48" s="445" t="s">
        <v>2234</v>
      </c>
      <c r="I48" s="445"/>
      <c r="J48" s="449">
        <v>334.87</v>
      </c>
      <c r="K48" s="445">
        <v>0</v>
      </c>
      <c r="L48" s="450">
        <v>31.1</v>
      </c>
      <c r="M48" s="451">
        <v>32.4</v>
      </c>
      <c r="N48" s="445">
        <v>31.75</v>
      </c>
      <c r="O48" s="445">
        <v>31.75</v>
      </c>
      <c r="P48" s="448"/>
      <c r="Q48" s="447" t="s">
        <v>1935</v>
      </c>
    </row>
    <row r="49" spans="1:17">
      <c r="A49" s="442">
        <v>46045</v>
      </c>
      <c r="B49" s="480" t="s">
        <v>2229</v>
      </c>
      <c r="C49" s="444" t="s">
        <v>2235</v>
      </c>
      <c r="D49" s="445" t="s">
        <v>1938</v>
      </c>
      <c r="E49" s="446">
        <v>46191</v>
      </c>
      <c r="F49" s="445" t="s">
        <v>1931</v>
      </c>
      <c r="G49" s="445" t="s">
        <v>194</v>
      </c>
      <c r="H49" s="445" t="s">
        <v>2236</v>
      </c>
      <c r="I49" s="445"/>
      <c r="J49" s="449">
        <v>334.87</v>
      </c>
      <c r="K49" s="445">
        <v>0</v>
      </c>
      <c r="L49" s="450">
        <v>16.649999999999999</v>
      </c>
      <c r="M49" s="451">
        <v>18.399999999999999</v>
      </c>
      <c r="N49" s="445">
        <v>17.524999999999999</v>
      </c>
      <c r="O49" s="445">
        <v>17.524999999999999</v>
      </c>
      <c r="P49" s="448"/>
      <c r="Q49" s="447" t="s">
        <v>1935</v>
      </c>
    </row>
    <row r="50" spans="1:17">
      <c r="A50" s="442">
        <v>46045</v>
      </c>
      <c r="B50" s="480" t="s">
        <v>2227</v>
      </c>
      <c r="C50" s="444" t="s">
        <v>2237</v>
      </c>
      <c r="D50" s="445" t="s">
        <v>2238</v>
      </c>
      <c r="E50" s="446">
        <v>46073</v>
      </c>
      <c r="F50" s="445" t="s">
        <v>1931</v>
      </c>
      <c r="G50" s="445" t="s">
        <v>194</v>
      </c>
      <c r="H50" s="445" t="s">
        <v>2239</v>
      </c>
      <c r="I50" s="445"/>
      <c r="J50" s="476">
        <v>33.61</v>
      </c>
      <c r="K50" s="445">
        <v>0</v>
      </c>
      <c r="L50" s="477">
        <v>0.2353766985910391</v>
      </c>
      <c r="M50" s="478">
        <v>0.2353766985910391</v>
      </c>
      <c r="N50" s="445">
        <v>0.2353766985910391</v>
      </c>
      <c r="O50" s="445">
        <v>0.23729489812379725</v>
      </c>
      <c r="P50" s="448">
        <v>18.723281581453882</v>
      </c>
      <c r="Q50" s="447" t="s">
        <v>1928</v>
      </c>
    </row>
    <row r="51" spans="1:17">
      <c r="A51" s="442">
        <v>46045</v>
      </c>
      <c r="B51" s="443" t="s">
        <v>2251</v>
      </c>
      <c r="C51" s="444" t="s">
        <v>2253</v>
      </c>
      <c r="D51" s="445" t="s">
        <v>2254</v>
      </c>
      <c r="E51" s="446">
        <v>46045</v>
      </c>
      <c r="F51" s="445" t="s">
        <v>1926</v>
      </c>
      <c r="G51" s="445" t="s">
        <v>194</v>
      </c>
      <c r="H51" s="445" t="s">
        <v>2255</v>
      </c>
      <c r="I51" s="445"/>
      <c r="J51" s="476">
        <v>322.38</v>
      </c>
      <c r="K51" s="445">
        <v>0</v>
      </c>
      <c r="L51" s="477">
        <v>0</v>
      </c>
      <c r="M51" s="478">
        <v>0</v>
      </c>
      <c r="N51" s="445">
        <v>0</v>
      </c>
      <c r="O51" s="445">
        <v>3.2998646853742677E-13</v>
      </c>
      <c r="P51" s="448">
        <v>65.526592412353665</v>
      </c>
      <c r="Q51" s="447" t="s">
        <v>1928</v>
      </c>
    </row>
    <row r="52" spans="1:17">
      <c r="A52" s="442">
        <v>46045</v>
      </c>
      <c r="B52" s="443" t="s">
        <v>2250</v>
      </c>
      <c r="C52" s="444" t="s">
        <v>2256</v>
      </c>
      <c r="D52" s="445" t="s">
        <v>2254</v>
      </c>
      <c r="E52" s="446">
        <v>46045</v>
      </c>
      <c r="F52" s="445" t="s">
        <v>1926</v>
      </c>
      <c r="G52" s="445" t="s">
        <v>194</v>
      </c>
      <c r="H52" s="445" t="s">
        <v>2257</v>
      </c>
      <c r="I52" s="445"/>
      <c r="J52" s="476">
        <v>322.38</v>
      </c>
      <c r="K52" s="445">
        <v>0</v>
      </c>
      <c r="L52" s="477">
        <v>0</v>
      </c>
      <c r="M52" s="478">
        <v>0</v>
      </c>
      <c r="N52" s="445">
        <v>0</v>
      </c>
      <c r="O52" s="445">
        <v>2.5815218509018111E-19</v>
      </c>
      <c r="P52" s="448">
        <v>70.314564058977425</v>
      </c>
      <c r="Q52" s="447" t="s">
        <v>1928</v>
      </c>
    </row>
    <row r="53" spans="1:17">
      <c r="A53" s="442">
        <v>46045</v>
      </c>
      <c r="B53" s="480" t="s">
        <v>2275</v>
      </c>
      <c r="C53" s="444" t="s">
        <v>2277</v>
      </c>
      <c r="D53" s="445" t="s">
        <v>2278</v>
      </c>
      <c r="E53" s="446">
        <v>46283</v>
      </c>
      <c r="F53" s="445" t="s">
        <v>1931</v>
      </c>
      <c r="G53" s="445" t="s">
        <v>194</v>
      </c>
      <c r="H53" s="445" t="s">
        <v>2279</v>
      </c>
      <c r="I53" s="445"/>
      <c r="J53" s="449">
        <v>107.02</v>
      </c>
      <c r="K53" s="445">
        <v>0</v>
      </c>
      <c r="L53" s="450">
        <v>12.6</v>
      </c>
      <c r="M53" s="451">
        <v>14.2</v>
      </c>
      <c r="N53" s="445">
        <v>13.399999999999999</v>
      </c>
      <c r="O53" s="445">
        <v>13.399999999999999</v>
      </c>
      <c r="P53" s="448"/>
      <c r="Q53" s="447" t="s">
        <v>1935</v>
      </c>
    </row>
    <row r="54" spans="1:17">
      <c r="A54" s="442">
        <v>46045</v>
      </c>
      <c r="B54" s="480" t="s">
        <v>2274</v>
      </c>
      <c r="C54" s="444" t="s">
        <v>2280</v>
      </c>
      <c r="D54" s="445" t="s">
        <v>2278</v>
      </c>
      <c r="E54" s="446">
        <v>46283</v>
      </c>
      <c r="F54" s="445" t="s">
        <v>1931</v>
      </c>
      <c r="G54" s="445" t="s">
        <v>194</v>
      </c>
      <c r="H54" s="445" t="s">
        <v>2281</v>
      </c>
      <c r="I54" s="445"/>
      <c r="J54" s="449">
        <v>107.02</v>
      </c>
      <c r="K54" s="445">
        <v>2.019999999999996</v>
      </c>
      <c r="L54" s="450">
        <v>15.8</v>
      </c>
      <c r="M54" s="451">
        <v>17.600000000000001</v>
      </c>
      <c r="N54" s="445">
        <v>16.700000000000003</v>
      </c>
      <c r="O54" s="445">
        <v>16.700000000000003</v>
      </c>
      <c r="P54" s="448"/>
      <c r="Q54" s="447" t="s">
        <v>1935</v>
      </c>
    </row>
    <row r="55" spans="1:17">
      <c r="A55" s="442">
        <v>46045</v>
      </c>
      <c r="B55" s="480" t="s">
        <v>2286</v>
      </c>
      <c r="C55" s="444" t="s">
        <v>2294</v>
      </c>
      <c r="D55" s="445" t="s">
        <v>2295</v>
      </c>
      <c r="E55" s="446">
        <v>46073</v>
      </c>
      <c r="F55" s="445" t="s">
        <v>1931</v>
      </c>
      <c r="G55" s="445" t="s">
        <v>194</v>
      </c>
      <c r="H55" s="445" t="s">
        <v>2296</v>
      </c>
      <c r="I55" s="445"/>
      <c r="J55" s="449">
        <v>473.83</v>
      </c>
      <c r="K55" s="445">
        <v>0</v>
      </c>
      <c r="L55" s="450">
        <v>44.6</v>
      </c>
      <c r="M55" s="451">
        <v>47.6</v>
      </c>
      <c r="N55" s="445">
        <v>46.1</v>
      </c>
      <c r="O55" s="445">
        <v>46.1</v>
      </c>
      <c r="P55" s="448"/>
      <c r="Q55" s="447" t="s">
        <v>1935</v>
      </c>
    </row>
    <row r="56" spans="1:17">
      <c r="A56" s="442">
        <v>46045</v>
      </c>
      <c r="B56" s="480" t="s">
        <v>2297</v>
      </c>
      <c r="C56" s="444" t="s">
        <v>2298</v>
      </c>
      <c r="D56" s="445" t="s">
        <v>1936</v>
      </c>
      <c r="E56" s="446">
        <v>46073</v>
      </c>
      <c r="F56" s="445" t="s">
        <v>1931</v>
      </c>
      <c r="G56" s="445" t="s">
        <v>194</v>
      </c>
      <c r="H56" s="445" t="s">
        <v>2239</v>
      </c>
      <c r="I56" s="445"/>
      <c r="J56" s="449">
        <v>36.590000000000003</v>
      </c>
      <c r="K56" s="445">
        <v>1.5900000000000034</v>
      </c>
      <c r="L56" s="450">
        <v>1.98</v>
      </c>
      <c r="M56" s="451">
        <v>2.4500000000000002</v>
      </c>
      <c r="N56" s="445">
        <v>2.2149999999999999</v>
      </c>
      <c r="O56" s="445">
        <v>2.2149999999999999</v>
      </c>
      <c r="P56" s="448"/>
      <c r="Q56" s="447" t="s">
        <v>1935</v>
      </c>
    </row>
    <row r="57" spans="1:17">
      <c r="A57" s="442">
        <v>46045</v>
      </c>
      <c r="B57" t="s">
        <v>2287</v>
      </c>
      <c r="C57" s="444" t="s">
        <v>2299</v>
      </c>
      <c r="D57" s="445" t="s">
        <v>2061</v>
      </c>
      <c r="E57" s="446">
        <v>46101</v>
      </c>
      <c r="F57" s="445" t="s">
        <v>1926</v>
      </c>
      <c r="G57" s="445" t="s">
        <v>194</v>
      </c>
      <c r="H57" s="445" t="s">
        <v>2300</v>
      </c>
      <c r="I57" s="445"/>
      <c r="J57" s="449">
        <v>80.23</v>
      </c>
      <c r="K57" s="445">
        <v>0</v>
      </c>
      <c r="L57" s="450">
        <v>2.82</v>
      </c>
      <c r="M57" s="451">
        <v>2.96</v>
      </c>
      <c r="N57" s="445">
        <v>2.8899999999999997</v>
      </c>
      <c r="O57" s="445">
        <v>2.8899999999999997</v>
      </c>
      <c r="P57" s="448"/>
      <c r="Q57" s="447" t="s">
        <v>1935</v>
      </c>
    </row>
    <row r="58" spans="1:17">
      <c r="A58" s="442">
        <v>46045</v>
      </c>
      <c r="B58" t="s">
        <v>2305</v>
      </c>
      <c r="C58" s="444" t="s">
        <v>2324</v>
      </c>
      <c r="D58" s="445" t="s">
        <v>1951</v>
      </c>
      <c r="E58" s="446">
        <v>46048</v>
      </c>
      <c r="F58" s="445" t="s">
        <v>1926</v>
      </c>
      <c r="G58" s="445" t="s">
        <v>194</v>
      </c>
      <c r="H58" s="445" t="s">
        <v>2325</v>
      </c>
      <c r="I58" s="445"/>
      <c r="J58" s="449">
        <v>622.72</v>
      </c>
      <c r="K58" s="445">
        <v>0</v>
      </c>
      <c r="L58" s="450">
        <v>0.77</v>
      </c>
      <c r="M58" s="451">
        <v>0.79</v>
      </c>
      <c r="N58" s="445">
        <v>0.78</v>
      </c>
      <c r="O58" s="445">
        <v>0.78</v>
      </c>
      <c r="P58" s="448"/>
      <c r="Q58" s="447" t="s">
        <v>1935</v>
      </c>
    </row>
    <row r="59" spans="1:17">
      <c r="A59" s="442">
        <v>46045</v>
      </c>
      <c r="B59" t="s">
        <v>2302</v>
      </c>
      <c r="C59" s="444" t="s">
        <v>2326</v>
      </c>
      <c r="D59" s="445" t="s">
        <v>2295</v>
      </c>
      <c r="E59" s="446">
        <v>46073</v>
      </c>
      <c r="F59" s="445" t="s">
        <v>1931</v>
      </c>
      <c r="G59" s="445" t="s">
        <v>194</v>
      </c>
      <c r="H59" s="445" t="s">
        <v>2163</v>
      </c>
      <c r="I59" s="445"/>
      <c r="J59" s="449">
        <v>473.83</v>
      </c>
      <c r="K59" s="445">
        <v>0</v>
      </c>
      <c r="L59" s="450">
        <v>28.4</v>
      </c>
      <c r="M59" s="451">
        <v>31.5</v>
      </c>
      <c r="N59" s="445">
        <v>29.95</v>
      </c>
      <c r="O59" s="445">
        <v>29.95</v>
      </c>
      <c r="P59" s="448"/>
      <c r="Q59" s="447" t="s">
        <v>1935</v>
      </c>
    </row>
    <row r="60" spans="1:17">
      <c r="A60" s="442">
        <v>46045</v>
      </c>
      <c r="B60" t="s">
        <v>2309</v>
      </c>
      <c r="C60" s="444" t="s">
        <v>2327</v>
      </c>
      <c r="D60" s="445" t="s">
        <v>2071</v>
      </c>
      <c r="E60" s="446">
        <v>46220</v>
      </c>
      <c r="F60" s="445" t="s">
        <v>1931</v>
      </c>
      <c r="G60" s="445" t="s">
        <v>194</v>
      </c>
      <c r="H60" s="445" t="s">
        <v>2328</v>
      </c>
      <c r="I60" s="445"/>
      <c r="J60" s="449">
        <v>658.76</v>
      </c>
      <c r="K60" s="445">
        <v>0</v>
      </c>
      <c r="L60" s="450">
        <v>66.75</v>
      </c>
      <c r="M60" s="451">
        <v>67.150000000000006</v>
      </c>
      <c r="N60" s="445">
        <v>66.95</v>
      </c>
      <c r="O60" s="445">
        <v>66.95</v>
      </c>
      <c r="P60" s="448"/>
      <c r="Q60" s="447" t="s">
        <v>1935</v>
      </c>
    </row>
    <row r="61" spans="1:17">
      <c r="A61" s="442">
        <v>46045</v>
      </c>
      <c r="B61" t="s">
        <v>2308</v>
      </c>
      <c r="C61" s="444" t="s">
        <v>2329</v>
      </c>
      <c r="D61" s="445" t="s">
        <v>2033</v>
      </c>
      <c r="E61" s="446">
        <v>46220</v>
      </c>
      <c r="F61" s="445" t="s">
        <v>1931</v>
      </c>
      <c r="G61" s="445" t="s">
        <v>194</v>
      </c>
      <c r="H61" s="445" t="s">
        <v>2330</v>
      </c>
      <c r="I61" s="445"/>
      <c r="J61" s="449">
        <v>239.167</v>
      </c>
      <c r="K61" s="445">
        <v>0</v>
      </c>
      <c r="L61" s="450">
        <v>21.7</v>
      </c>
      <c r="M61" s="451">
        <v>22.4</v>
      </c>
      <c r="N61" s="445">
        <v>22.049999999999997</v>
      </c>
      <c r="O61" s="445">
        <v>22.049999999999997</v>
      </c>
      <c r="P61" s="448"/>
      <c r="Q61" s="447" t="s">
        <v>1935</v>
      </c>
    </row>
    <row r="62" spans="1:17">
      <c r="A62" s="442">
        <v>46045</v>
      </c>
      <c r="B62" s="448" t="s">
        <v>2331</v>
      </c>
      <c r="C62" s="444" t="s">
        <v>2332</v>
      </c>
      <c r="D62" s="445" t="s">
        <v>2333</v>
      </c>
      <c r="E62" s="446">
        <v>46366</v>
      </c>
      <c r="F62" s="445" t="s">
        <v>1931</v>
      </c>
      <c r="G62" s="445" t="s">
        <v>2110</v>
      </c>
      <c r="H62" s="445" t="s">
        <v>2334</v>
      </c>
      <c r="I62" s="445"/>
      <c r="J62" s="476">
        <v>727.29</v>
      </c>
      <c r="K62" s="445">
        <v>0</v>
      </c>
      <c r="L62" s="477">
        <v>12.442942432918363</v>
      </c>
      <c r="M62" s="478">
        <v>12.442942432918363</v>
      </c>
      <c r="N62" s="445">
        <v>12.442942432918363</v>
      </c>
      <c r="O62" s="445">
        <v>12.456321372592962</v>
      </c>
      <c r="P62" s="448">
        <v>27.410760507396603</v>
      </c>
      <c r="Q62" s="447" t="s">
        <v>1928</v>
      </c>
    </row>
    <row r="63" spans="1:17">
      <c r="A63" s="442">
        <v>46045</v>
      </c>
      <c r="B63" t="s">
        <v>2306</v>
      </c>
      <c r="C63" s="444" t="s">
        <v>2335</v>
      </c>
      <c r="D63" s="445" t="s">
        <v>2081</v>
      </c>
      <c r="E63" s="446">
        <v>46101</v>
      </c>
      <c r="F63" s="445" t="s">
        <v>1931</v>
      </c>
      <c r="G63" s="445" t="s">
        <v>194</v>
      </c>
      <c r="H63" s="445" t="s">
        <v>2336</v>
      </c>
      <c r="I63" s="445"/>
      <c r="J63" s="449">
        <v>339.19</v>
      </c>
      <c r="K63" s="445">
        <v>0</v>
      </c>
      <c r="L63" s="450">
        <v>29.3</v>
      </c>
      <c r="M63" s="451">
        <v>32.6</v>
      </c>
      <c r="N63" s="445">
        <v>30.950000000000003</v>
      </c>
      <c r="O63" s="445">
        <v>30.950000000000003</v>
      </c>
      <c r="P63" s="448"/>
      <c r="Q63" s="447" t="s">
        <v>1935</v>
      </c>
    </row>
    <row r="64" spans="1:17">
      <c r="A64" s="442">
        <v>46045</v>
      </c>
      <c r="B64" t="s">
        <v>2311</v>
      </c>
      <c r="C64" s="444" t="s">
        <v>2337</v>
      </c>
      <c r="D64" s="445" t="s">
        <v>1937</v>
      </c>
      <c r="E64" s="446">
        <v>46220</v>
      </c>
      <c r="F64" s="445" t="s">
        <v>1931</v>
      </c>
      <c r="G64" s="445" t="s">
        <v>194</v>
      </c>
      <c r="H64" s="445" t="s">
        <v>2171</v>
      </c>
      <c r="I64" s="445"/>
      <c r="J64" s="449">
        <v>465.95</v>
      </c>
      <c r="K64" s="445">
        <v>0.94999999999998863</v>
      </c>
      <c r="L64" s="450">
        <v>39.85</v>
      </c>
      <c r="M64" s="451">
        <v>40.1</v>
      </c>
      <c r="N64" s="445">
        <v>39.975000000000001</v>
      </c>
      <c r="O64" s="445">
        <v>39.975000000000001</v>
      </c>
      <c r="P64" s="448"/>
      <c r="Q64" s="447" t="s">
        <v>1935</v>
      </c>
    </row>
    <row r="65" spans="1:17">
      <c r="A65" s="442">
        <v>46045</v>
      </c>
      <c r="B65" t="s">
        <v>2321</v>
      </c>
      <c r="C65" s="444" t="s">
        <v>2338</v>
      </c>
      <c r="D65" s="445" t="s">
        <v>1951</v>
      </c>
      <c r="E65" s="446">
        <v>46059</v>
      </c>
      <c r="F65" s="445" t="s">
        <v>1931</v>
      </c>
      <c r="G65" s="445" t="s">
        <v>194</v>
      </c>
      <c r="H65" s="445" t="s">
        <v>2339</v>
      </c>
      <c r="I65" s="445"/>
      <c r="J65" s="449">
        <v>622.72</v>
      </c>
      <c r="K65" s="445">
        <v>0</v>
      </c>
      <c r="L65" s="450">
        <v>5.33</v>
      </c>
      <c r="M65" s="451">
        <v>5.37</v>
      </c>
      <c r="N65" s="445">
        <v>5.35</v>
      </c>
      <c r="O65" s="445">
        <v>5.35</v>
      </c>
      <c r="P65" s="448"/>
      <c r="Q65" s="447" t="s">
        <v>1935</v>
      </c>
    </row>
    <row r="66" spans="1:17">
      <c r="A66" s="442">
        <v>46045</v>
      </c>
      <c r="B66" s="443" t="s">
        <v>2361</v>
      </c>
      <c r="C66" s="444" t="s">
        <v>2362</v>
      </c>
      <c r="D66" s="445" t="s">
        <v>1936</v>
      </c>
      <c r="E66" s="446">
        <v>46073</v>
      </c>
      <c r="F66" s="445" t="s">
        <v>1931</v>
      </c>
      <c r="G66" s="445" t="s">
        <v>194</v>
      </c>
      <c r="H66" s="445" t="s">
        <v>2363</v>
      </c>
      <c r="I66" s="445"/>
      <c r="J66" s="449">
        <v>36.590000000000003</v>
      </c>
      <c r="K66" s="445">
        <v>0</v>
      </c>
      <c r="L66" s="450">
        <v>0.83</v>
      </c>
      <c r="M66" s="451">
        <v>1.1100000000000001</v>
      </c>
      <c r="N66" s="445">
        <v>0.97</v>
      </c>
      <c r="O66" s="445">
        <v>0.97</v>
      </c>
      <c r="P66" s="448"/>
      <c r="Q66" s="447" t="s">
        <v>1935</v>
      </c>
    </row>
    <row r="67" spans="1:17">
      <c r="A67" s="442">
        <v>46045</v>
      </c>
      <c r="B67" s="443" t="s">
        <v>2358</v>
      </c>
      <c r="C67" s="444" t="s">
        <v>2364</v>
      </c>
      <c r="D67" s="445" t="s">
        <v>2365</v>
      </c>
      <c r="E67" s="446">
        <v>46220</v>
      </c>
      <c r="F67" s="445" t="s">
        <v>1931</v>
      </c>
      <c r="G67" s="445" t="s">
        <v>194</v>
      </c>
      <c r="H67" s="445" t="s">
        <v>2366</v>
      </c>
      <c r="I67" s="445"/>
      <c r="J67" s="449">
        <v>45.07</v>
      </c>
      <c r="K67" s="445">
        <v>0</v>
      </c>
      <c r="L67" s="450">
        <v>5.3</v>
      </c>
      <c r="M67" s="451">
        <v>5.6</v>
      </c>
      <c r="N67" s="445">
        <v>5.4499999999999993</v>
      </c>
      <c r="O67" s="445">
        <v>5.4499999999999993</v>
      </c>
      <c r="P67" s="448"/>
      <c r="Q67" s="447" t="s">
        <v>1935</v>
      </c>
    </row>
    <row r="68" spans="1:17">
      <c r="A68" s="442">
        <v>46045</v>
      </c>
      <c r="B68" s="443" t="s">
        <v>2359</v>
      </c>
      <c r="C68" s="444" t="s">
        <v>2367</v>
      </c>
      <c r="D68" s="445" t="s">
        <v>2365</v>
      </c>
      <c r="E68" s="446">
        <v>46220</v>
      </c>
      <c r="F68" s="445" t="s">
        <v>1931</v>
      </c>
      <c r="G68" s="445" t="s">
        <v>194</v>
      </c>
      <c r="H68" s="445" t="s">
        <v>2368</v>
      </c>
      <c r="I68" s="445"/>
      <c r="J68" s="449">
        <v>45.07</v>
      </c>
      <c r="K68" s="445">
        <v>0</v>
      </c>
      <c r="L68" s="450">
        <v>3.05</v>
      </c>
      <c r="M68" s="451">
        <v>3.2</v>
      </c>
      <c r="N68" s="445">
        <v>3.125</v>
      </c>
      <c r="O68" s="445">
        <v>3.125</v>
      </c>
      <c r="P68" s="448"/>
      <c r="Q68" s="447" t="s">
        <v>1935</v>
      </c>
    </row>
    <row r="69" spans="1:17">
      <c r="A69" s="442">
        <v>46045</v>
      </c>
      <c r="B69" s="443" t="s">
        <v>2357</v>
      </c>
      <c r="C69" s="444" t="s">
        <v>2369</v>
      </c>
      <c r="D69" s="445" t="s">
        <v>2365</v>
      </c>
      <c r="E69" s="446">
        <v>46220</v>
      </c>
      <c r="F69" s="445" t="s">
        <v>1926</v>
      </c>
      <c r="G69" s="445" t="s">
        <v>194</v>
      </c>
      <c r="H69" s="445" t="s">
        <v>2370</v>
      </c>
      <c r="I69" s="445"/>
      <c r="J69" s="449">
        <v>45.07</v>
      </c>
      <c r="K69" s="445">
        <v>0</v>
      </c>
      <c r="L69" s="450">
        <v>3.75</v>
      </c>
      <c r="M69" s="451">
        <v>4</v>
      </c>
      <c r="N69" s="445">
        <v>3.875</v>
      </c>
      <c r="O69" s="445">
        <v>3.875</v>
      </c>
      <c r="P69" s="448"/>
      <c r="Q69" s="447" t="s">
        <v>1935</v>
      </c>
    </row>
    <row r="70" spans="1:17">
      <c r="A70" s="442">
        <v>46045</v>
      </c>
      <c r="B70" s="443" t="s">
        <v>2360</v>
      </c>
      <c r="C70" s="444" t="s">
        <v>2371</v>
      </c>
      <c r="D70" s="445" t="s">
        <v>1937</v>
      </c>
      <c r="E70" s="446">
        <v>46220</v>
      </c>
      <c r="F70" s="445" t="s">
        <v>1931</v>
      </c>
      <c r="G70" s="445" t="s">
        <v>194</v>
      </c>
      <c r="H70" s="445" t="s">
        <v>2372</v>
      </c>
      <c r="I70" s="445"/>
      <c r="J70" s="449">
        <v>465.95</v>
      </c>
      <c r="K70" s="445">
        <v>0</v>
      </c>
      <c r="L70" s="450">
        <v>34.950000000000003</v>
      </c>
      <c r="M70" s="451">
        <v>35.15</v>
      </c>
      <c r="N70" s="445">
        <v>35.049999999999997</v>
      </c>
      <c r="O70" s="445">
        <v>35.049999999999997</v>
      </c>
      <c r="P70" s="448"/>
      <c r="Q70" s="447" t="s">
        <v>1935</v>
      </c>
    </row>
    <row r="71" spans="1:17">
      <c r="A71" s="442">
        <v>46045</v>
      </c>
      <c r="B71" s="448" t="s">
        <v>2041</v>
      </c>
      <c r="C71" s="444" t="s">
        <v>2041</v>
      </c>
      <c r="D71" s="445" t="s">
        <v>1952</v>
      </c>
      <c r="E71" s="446">
        <v>46073</v>
      </c>
      <c r="F71" s="445" t="s">
        <v>1931</v>
      </c>
      <c r="G71" s="445" t="s">
        <v>194</v>
      </c>
      <c r="H71" s="445" t="s">
        <v>2189</v>
      </c>
      <c r="I71" s="445" t="s">
        <v>1927</v>
      </c>
      <c r="J71" s="449">
        <v>0.05</v>
      </c>
      <c r="K71" s="445">
        <v>0</v>
      </c>
      <c r="L71" s="450">
        <v>0</v>
      </c>
      <c r="M71" s="451">
        <v>0</v>
      </c>
      <c r="N71" s="445">
        <v>0</v>
      </c>
      <c r="O71" s="445">
        <v>3.0034855371028355E-4</v>
      </c>
      <c r="P71" s="448">
        <v>25.154867214975003</v>
      </c>
      <c r="Q71" s="447" t="s">
        <v>1953</v>
      </c>
    </row>
    <row r="72" spans="1:17">
      <c r="A72" s="442">
        <v>46045</v>
      </c>
      <c r="B72" s="448" t="s">
        <v>2042</v>
      </c>
      <c r="C72" s="444" t="s">
        <v>2042</v>
      </c>
      <c r="D72" s="445" t="s">
        <v>1952</v>
      </c>
      <c r="E72" s="446">
        <v>46073</v>
      </c>
      <c r="F72" s="445" t="s">
        <v>1926</v>
      </c>
      <c r="G72" s="445" t="s">
        <v>194</v>
      </c>
      <c r="H72" s="445" t="s">
        <v>2190</v>
      </c>
      <c r="I72" s="445" t="s">
        <v>1927</v>
      </c>
      <c r="J72" s="449">
        <v>0.41</v>
      </c>
      <c r="K72" s="445">
        <v>21.16</v>
      </c>
      <c r="L72" s="450">
        <v>0</v>
      </c>
      <c r="M72" s="451">
        <v>0</v>
      </c>
      <c r="N72" s="445">
        <v>0</v>
      </c>
      <c r="O72" s="445">
        <v>4.4127057705165784E-2</v>
      </c>
      <c r="P72" s="448">
        <v>33.664196094912498</v>
      </c>
      <c r="Q72" s="447" t="s">
        <v>1953</v>
      </c>
    </row>
    <row r="73" spans="1:17">
      <c r="A73" s="442">
        <v>46045</v>
      </c>
      <c r="B73" s="448" t="s">
        <v>2043</v>
      </c>
      <c r="C73" s="444" t="s">
        <v>2043</v>
      </c>
      <c r="D73" s="445" t="s">
        <v>1952</v>
      </c>
      <c r="E73" s="446">
        <v>46073</v>
      </c>
      <c r="F73" s="445" t="s">
        <v>1926</v>
      </c>
      <c r="G73" s="445" t="s">
        <v>194</v>
      </c>
      <c r="H73" s="445" t="s">
        <v>2191</v>
      </c>
      <c r="I73" s="445" t="s">
        <v>1927</v>
      </c>
      <c r="J73" s="449">
        <v>1.42</v>
      </c>
      <c r="K73" s="445">
        <v>22.65</v>
      </c>
      <c r="L73" s="450">
        <v>0</v>
      </c>
      <c r="M73" s="451">
        <v>0</v>
      </c>
      <c r="N73" s="445">
        <v>0</v>
      </c>
      <c r="O73" s="445">
        <v>0.2437822226790762</v>
      </c>
      <c r="P73" s="448">
        <v>29.465760498403899</v>
      </c>
      <c r="Q73" s="447" t="s">
        <v>1953</v>
      </c>
    </row>
    <row r="74" spans="1:17">
      <c r="A74" s="442">
        <v>46045</v>
      </c>
      <c r="B74" s="448" t="s">
        <v>2044</v>
      </c>
      <c r="C74" s="444" t="s">
        <v>2044</v>
      </c>
      <c r="D74" s="445" t="s">
        <v>1952</v>
      </c>
      <c r="E74" s="446">
        <v>46073</v>
      </c>
      <c r="F74" s="445" t="s">
        <v>1931</v>
      </c>
      <c r="G74" s="445" t="s">
        <v>194</v>
      </c>
      <c r="H74" s="445" t="s">
        <v>2192</v>
      </c>
      <c r="I74" s="445" t="s">
        <v>1927</v>
      </c>
      <c r="J74" s="449">
        <v>0.04</v>
      </c>
      <c r="K74" s="445">
        <v>0</v>
      </c>
      <c r="L74" s="450">
        <v>0</v>
      </c>
      <c r="M74" s="451">
        <v>0</v>
      </c>
      <c r="N74" s="445">
        <v>0</v>
      </c>
      <c r="O74" s="445">
        <v>4.9069422510661624E-5</v>
      </c>
      <c r="P74" s="448">
        <v>24.506928035980501</v>
      </c>
      <c r="Q74" s="447" t="s">
        <v>1953</v>
      </c>
    </row>
    <row r="75" spans="1:17">
      <c r="A75" s="442">
        <v>46045</v>
      </c>
      <c r="B75" s="448" t="s">
        <v>2045</v>
      </c>
      <c r="C75" s="444" t="s">
        <v>2045</v>
      </c>
      <c r="D75" s="445" t="s">
        <v>1952</v>
      </c>
      <c r="E75" s="446">
        <v>46073</v>
      </c>
      <c r="F75" s="445" t="s">
        <v>1926</v>
      </c>
      <c r="G75" s="445" t="s">
        <v>194</v>
      </c>
      <c r="H75" s="445" t="s">
        <v>2193</v>
      </c>
      <c r="I75" s="445" t="s">
        <v>1927</v>
      </c>
      <c r="J75" s="449">
        <v>1.1000000000000001</v>
      </c>
      <c r="K75" s="445">
        <v>22.72</v>
      </c>
      <c r="L75" s="450">
        <v>0</v>
      </c>
      <c r="M75" s="451">
        <v>0</v>
      </c>
      <c r="N75" s="445">
        <v>0</v>
      </c>
      <c r="O75" s="445">
        <v>0.21284340261711354</v>
      </c>
      <c r="P75" s="448">
        <v>29.858498696061901</v>
      </c>
      <c r="Q75" s="447" t="s">
        <v>1953</v>
      </c>
    </row>
    <row r="76" spans="1:17">
      <c r="A76" s="442">
        <v>46045</v>
      </c>
      <c r="B76" s="448" t="s">
        <v>2046</v>
      </c>
      <c r="C76" s="444" t="s">
        <v>2046</v>
      </c>
      <c r="D76" s="445" t="s">
        <v>1952</v>
      </c>
      <c r="E76" s="446">
        <v>46073</v>
      </c>
      <c r="F76" s="445" t="s">
        <v>1926</v>
      </c>
      <c r="G76" s="445" t="s">
        <v>194</v>
      </c>
      <c r="H76" s="445" t="s">
        <v>2194</v>
      </c>
      <c r="I76" s="445" t="s">
        <v>1927</v>
      </c>
      <c r="J76" s="449">
        <v>3.55</v>
      </c>
      <c r="K76" s="445">
        <v>22.77</v>
      </c>
      <c r="L76" s="450">
        <v>0</v>
      </c>
      <c r="M76" s="451">
        <v>0</v>
      </c>
      <c r="N76" s="445">
        <v>0</v>
      </c>
      <c r="O76" s="445">
        <v>0.60634720179121571</v>
      </c>
      <c r="P76" s="448">
        <v>26.4355949989029</v>
      </c>
      <c r="Q76" s="447" t="s">
        <v>1953</v>
      </c>
    </row>
    <row r="77" spans="1:17">
      <c r="A77" s="442">
        <v>46045</v>
      </c>
      <c r="B77" s="448" t="s">
        <v>2055</v>
      </c>
      <c r="C77" s="444" t="s">
        <v>2055</v>
      </c>
      <c r="D77" s="445" t="s">
        <v>2056</v>
      </c>
      <c r="E77" s="446">
        <v>46073</v>
      </c>
      <c r="F77" s="445" t="s">
        <v>1926</v>
      </c>
      <c r="G77" s="445" t="s">
        <v>194</v>
      </c>
      <c r="H77" s="445" t="s">
        <v>2195</v>
      </c>
      <c r="I77" s="445" t="s">
        <v>1927</v>
      </c>
      <c r="J77" s="449">
        <v>0.1</v>
      </c>
      <c r="K77" s="445">
        <v>18.899999999999999</v>
      </c>
      <c r="L77" s="450">
        <v>0</v>
      </c>
      <c r="M77" s="451">
        <v>0</v>
      </c>
      <c r="N77" s="445">
        <v>0</v>
      </c>
      <c r="O77" s="445">
        <v>3.1674389087141756E-2</v>
      </c>
      <c r="P77" s="448">
        <v>55.237977734013498</v>
      </c>
      <c r="Q77" s="447" t="s">
        <v>1953</v>
      </c>
    </row>
    <row r="78" spans="1:17">
      <c r="A78" s="442">
        <v>46045</v>
      </c>
      <c r="B78" s="448" t="s">
        <v>2057</v>
      </c>
      <c r="C78" s="444" t="s">
        <v>2057</v>
      </c>
      <c r="D78" s="445" t="s">
        <v>2056</v>
      </c>
      <c r="E78" s="446">
        <v>46073</v>
      </c>
      <c r="F78" s="445" t="s">
        <v>1926</v>
      </c>
      <c r="G78" s="445" t="s">
        <v>194</v>
      </c>
      <c r="H78" s="445" t="s">
        <v>2196</v>
      </c>
      <c r="I78" s="445" t="s">
        <v>1927</v>
      </c>
      <c r="J78" s="449">
        <v>0.23</v>
      </c>
      <c r="K78" s="445">
        <v>20.27</v>
      </c>
      <c r="L78" s="450">
        <v>0</v>
      </c>
      <c r="M78" s="451">
        <v>0</v>
      </c>
      <c r="N78" s="445">
        <v>0</v>
      </c>
      <c r="O78" s="445">
        <v>7.8483949464979649E-2</v>
      </c>
      <c r="P78" s="448">
        <v>52.946089259980106</v>
      </c>
      <c r="Q78" s="447" t="s">
        <v>1953</v>
      </c>
    </row>
    <row r="79" spans="1:17">
      <c r="A79" s="442">
        <v>46045</v>
      </c>
      <c r="B79" s="448" t="s">
        <v>2076</v>
      </c>
      <c r="C79" s="444" t="s">
        <v>2076</v>
      </c>
      <c r="D79" s="445" t="s">
        <v>1954</v>
      </c>
      <c r="E79" s="446">
        <v>46073</v>
      </c>
      <c r="F79" s="445" t="s">
        <v>1926</v>
      </c>
      <c r="G79" s="445" t="s">
        <v>194</v>
      </c>
      <c r="H79" s="445" t="s">
        <v>2197</v>
      </c>
      <c r="I79" s="445" t="s">
        <v>1927</v>
      </c>
      <c r="J79" s="449">
        <v>0.01</v>
      </c>
      <c r="K79" s="445">
        <v>12.1</v>
      </c>
      <c r="L79" s="450">
        <v>0</v>
      </c>
      <c r="M79" s="451">
        <v>0</v>
      </c>
      <c r="N79" s="445">
        <v>0</v>
      </c>
      <c r="O79" s="445">
        <v>1.5910001051866161E-3</v>
      </c>
      <c r="P79" s="448">
        <v>46.547441558920305</v>
      </c>
      <c r="Q79" s="447" t="s">
        <v>1953</v>
      </c>
    </row>
    <row r="80" spans="1:17">
      <c r="A80" s="442">
        <v>46045</v>
      </c>
      <c r="B80" s="448" t="s">
        <v>2077</v>
      </c>
      <c r="C80" s="444" t="s">
        <v>2077</v>
      </c>
      <c r="D80" s="445" t="s">
        <v>1954</v>
      </c>
      <c r="E80" s="446">
        <v>46073</v>
      </c>
      <c r="F80" s="445" t="s">
        <v>1926</v>
      </c>
      <c r="G80" s="445" t="s">
        <v>194</v>
      </c>
      <c r="H80" s="445" t="s">
        <v>2198</v>
      </c>
      <c r="I80" s="445" t="s">
        <v>1927</v>
      </c>
      <c r="J80" s="449">
        <v>0.03</v>
      </c>
      <c r="K80" s="445">
        <v>13.33</v>
      </c>
      <c r="L80" s="450">
        <v>0</v>
      </c>
      <c r="M80" s="451">
        <v>0</v>
      </c>
      <c r="N80" s="445">
        <v>0</v>
      </c>
      <c r="O80" s="445">
        <v>6.8917512618900754E-3</v>
      </c>
      <c r="P80" s="448">
        <v>39.840043636940301</v>
      </c>
      <c r="Q80" s="447" t="s">
        <v>1953</v>
      </c>
    </row>
    <row r="81" spans="1:17">
      <c r="A81" s="442">
        <v>46045</v>
      </c>
      <c r="B81" s="448" t="s">
        <v>2120</v>
      </c>
      <c r="C81" s="444" t="s">
        <v>2120</v>
      </c>
      <c r="D81" s="445" t="s">
        <v>2121</v>
      </c>
      <c r="E81" s="446">
        <v>46073</v>
      </c>
      <c r="F81" s="445" t="s">
        <v>1931</v>
      </c>
      <c r="G81" s="445" t="s">
        <v>194</v>
      </c>
      <c r="H81" s="445" t="s">
        <v>2199</v>
      </c>
      <c r="I81" s="445" t="s">
        <v>1927</v>
      </c>
      <c r="J81" s="449">
        <v>4.04</v>
      </c>
      <c r="K81" s="445">
        <v>0</v>
      </c>
      <c r="L81" s="450">
        <v>0</v>
      </c>
      <c r="M81" s="451">
        <v>0</v>
      </c>
      <c r="N81" s="445">
        <v>0</v>
      </c>
      <c r="O81" s="445">
        <v>0.69551778315273349</v>
      </c>
      <c r="P81" s="448">
        <v>36.2239011785244</v>
      </c>
      <c r="Q81" s="447" t="s">
        <v>1953</v>
      </c>
    </row>
    <row r="82" spans="1:17">
      <c r="A82" s="442">
        <v>46045</v>
      </c>
      <c r="B82" s="448" t="s">
        <v>2122</v>
      </c>
      <c r="C82" s="444" t="s">
        <v>2122</v>
      </c>
      <c r="D82" s="445" t="s">
        <v>2121</v>
      </c>
      <c r="E82" s="446">
        <v>46073</v>
      </c>
      <c r="F82" s="445" t="s">
        <v>1926</v>
      </c>
      <c r="G82" s="445" t="s">
        <v>194</v>
      </c>
      <c r="H82" s="445" t="s">
        <v>2200</v>
      </c>
      <c r="I82" s="445" t="s">
        <v>1927</v>
      </c>
      <c r="J82" s="449">
        <v>0.1</v>
      </c>
      <c r="K82" s="445">
        <v>47.72</v>
      </c>
      <c r="L82" s="450">
        <v>0</v>
      </c>
      <c r="M82" s="451">
        <v>0</v>
      </c>
      <c r="N82" s="445">
        <v>0</v>
      </c>
      <c r="O82" s="445">
        <v>2.5974745104254991E-2</v>
      </c>
      <c r="P82" s="448">
        <v>50.103944576045194</v>
      </c>
      <c r="Q82" s="447" t="s">
        <v>1953</v>
      </c>
    </row>
    <row r="83" spans="1:17">
      <c r="A83" s="442">
        <v>46045</v>
      </c>
      <c r="B83" s="448" t="s">
        <v>2123</v>
      </c>
      <c r="C83" s="444" t="s">
        <v>2123</v>
      </c>
      <c r="D83" s="445" t="s">
        <v>2121</v>
      </c>
      <c r="E83" s="446">
        <v>46073</v>
      </c>
      <c r="F83" s="445" t="s">
        <v>1926</v>
      </c>
      <c r="G83" s="445" t="s">
        <v>194</v>
      </c>
      <c r="H83" s="445" t="s">
        <v>2201</v>
      </c>
      <c r="I83" s="445" t="s">
        <v>1927</v>
      </c>
      <c r="J83" s="449">
        <v>0.2</v>
      </c>
      <c r="K83" s="445">
        <v>51.62</v>
      </c>
      <c r="L83" s="450">
        <v>0</v>
      </c>
      <c r="M83" s="451">
        <v>0</v>
      </c>
      <c r="N83" s="445">
        <v>0</v>
      </c>
      <c r="O83" s="445">
        <v>5.9398129257416714E-2</v>
      </c>
      <c r="P83" s="448">
        <v>42.813328767830001</v>
      </c>
      <c r="Q83" s="447" t="s">
        <v>1953</v>
      </c>
    </row>
    <row r="84" spans="1:17">
      <c r="A84" s="442">
        <v>46045</v>
      </c>
      <c r="B84" s="448" t="s">
        <v>2129</v>
      </c>
      <c r="C84" s="444" t="s">
        <v>2129</v>
      </c>
      <c r="D84" s="445" t="s">
        <v>2086</v>
      </c>
      <c r="E84" s="446">
        <v>46073</v>
      </c>
      <c r="F84" s="445" t="s">
        <v>1926</v>
      </c>
      <c r="G84" s="445" t="s">
        <v>194</v>
      </c>
      <c r="H84" s="445" t="s">
        <v>2202</v>
      </c>
      <c r="I84" s="445" t="s">
        <v>1927</v>
      </c>
      <c r="J84" s="449">
        <v>0.1</v>
      </c>
      <c r="K84" s="445">
        <v>42.9</v>
      </c>
      <c r="L84" s="450">
        <v>0</v>
      </c>
      <c r="M84" s="451">
        <v>0</v>
      </c>
      <c r="N84" s="445">
        <v>0</v>
      </c>
      <c r="O84" s="445">
        <v>7.1285251534478262E-4</v>
      </c>
      <c r="P84" s="448">
        <v>33.204358250089705</v>
      </c>
      <c r="Q84" s="447" t="s">
        <v>1953</v>
      </c>
    </row>
    <row r="85" spans="1:17">
      <c r="A85" s="442">
        <v>46045</v>
      </c>
      <c r="B85" s="448" t="s">
        <v>2130</v>
      </c>
      <c r="C85" s="444" t="s">
        <v>2130</v>
      </c>
      <c r="D85" s="445" t="s">
        <v>2086</v>
      </c>
      <c r="E85" s="446">
        <v>46073</v>
      </c>
      <c r="F85" s="445" t="s">
        <v>1926</v>
      </c>
      <c r="G85" s="445" t="s">
        <v>194</v>
      </c>
      <c r="H85" s="445" t="s">
        <v>2203</v>
      </c>
      <c r="I85" s="445" t="s">
        <v>1927</v>
      </c>
      <c r="J85" s="449">
        <v>0.17</v>
      </c>
      <c r="K85" s="445">
        <v>47.83</v>
      </c>
      <c r="L85" s="450">
        <v>0</v>
      </c>
      <c r="M85" s="451">
        <v>0</v>
      </c>
      <c r="N85" s="445">
        <v>0</v>
      </c>
      <c r="O85" s="445">
        <v>1.5797485333399246E-2</v>
      </c>
      <c r="P85" s="448">
        <v>30.362879215479801</v>
      </c>
      <c r="Q85" s="447" t="s">
        <v>1953</v>
      </c>
    </row>
    <row r="86" spans="1:17">
      <c r="A86" s="442">
        <v>46045</v>
      </c>
      <c r="B86" s="443" t="s">
        <v>2135</v>
      </c>
      <c r="C86" s="443" t="s">
        <v>2135</v>
      </c>
      <c r="D86" s="445" t="s">
        <v>2136</v>
      </c>
      <c r="E86" s="446">
        <v>46073</v>
      </c>
      <c r="F86" s="445" t="s">
        <v>1926</v>
      </c>
      <c r="G86" s="445" t="s">
        <v>194</v>
      </c>
      <c r="H86" s="445" t="s">
        <v>2204</v>
      </c>
      <c r="I86" s="445" t="s">
        <v>1927</v>
      </c>
      <c r="J86" s="449">
        <v>0.49</v>
      </c>
      <c r="K86" s="445">
        <v>49.89</v>
      </c>
      <c r="L86" s="450">
        <v>0</v>
      </c>
      <c r="M86" s="451">
        <v>0</v>
      </c>
      <c r="N86" s="445">
        <v>0</v>
      </c>
      <c r="O86" s="445">
        <v>0.11637426084590356</v>
      </c>
      <c r="P86" s="448">
        <v>27.799345386401601</v>
      </c>
      <c r="Q86" s="447" t="s">
        <v>1953</v>
      </c>
    </row>
    <row r="87" spans="1:17">
      <c r="A87" s="442">
        <v>46045</v>
      </c>
      <c r="B87" s="443" t="s">
        <v>2142</v>
      </c>
      <c r="C87" s="443" t="s">
        <v>2142</v>
      </c>
      <c r="D87" s="445" t="s">
        <v>1954</v>
      </c>
      <c r="E87" s="446">
        <v>46073</v>
      </c>
      <c r="F87" s="445" t="s">
        <v>1926</v>
      </c>
      <c r="G87" s="445" t="s">
        <v>194</v>
      </c>
      <c r="H87" s="445" t="s">
        <v>2205</v>
      </c>
      <c r="I87" s="445" t="s">
        <v>1927</v>
      </c>
      <c r="J87" s="449">
        <v>0.01</v>
      </c>
      <c r="K87" s="445">
        <v>11.41</v>
      </c>
      <c r="L87" s="450">
        <v>0</v>
      </c>
      <c r="M87" s="451">
        <v>0</v>
      </c>
      <c r="N87" s="445">
        <v>0</v>
      </c>
      <c r="O87" s="445">
        <v>1.5910001051866161E-3</v>
      </c>
      <c r="P87" s="448">
        <v>46.547441558920305</v>
      </c>
      <c r="Q87" s="447" t="s">
        <v>1953</v>
      </c>
    </row>
    <row r="88" spans="1:17">
      <c r="A88" s="442">
        <v>46045</v>
      </c>
      <c r="B88" s="443" t="s">
        <v>2143</v>
      </c>
      <c r="C88" s="443" t="s">
        <v>2143</v>
      </c>
      <c r="D88" s="445" t="s">
        <v>1954</v>
      </c>
      <c r="E88" s="446">
        <v>46073</v>
      </c>
      <c r="F88" s="445" t="s">
        <v>1926</v>
      </c>
      <c r="G88" s="445" t="s">
        <v>194</v>
      </c>
      <c r="H88" s="445" t="s">
        <v>2206</v>
      </c>
      <c r="I88" s="445" t="s">
        <v>1927</v>
      </c>
      <c r="J88" s="449">
        <v>0.03</v>
      </c>
      <c r="K88" s="445">
        <v>12.64</v>
      </c>
      <c r="L88" s="450">
        <v>0</v>
      </c>
      <c r="M88" s="451">
        <v>0</v>
      </c>
      <c r="N88" s="445">
        <v>0</v>
      </c>
      <c r="O88" s="445">
        <v>6.8917512618900754E-3</v>
      </c>
      <c r="P88" s="448">
        <v>39.840043636940301</v>
      </c>
      <c r="Q88" s="447" t="s">
        <v>1953</v>
      </c>
    </row>
    <row r="89" spans="1:17">
      <c r="A89" s="442">
        <v>46045</v>
      </c>
      <c r="B89" s="443" t="s">
        <v>2144</v>
      </c>
      <c r="C89" s="443" t="s">
        <v>2144</v>
      </c>
      <c r="D89" s="445" t="s">
        <v>1954</v>
      </c>
      <c r="E89" s="446">
        <v>46073</v>
      </c>
      <c r="F89" s="445" t="s">
        <v>1926</v>
      </c>
      <c r="G89" s="445" t="s">
        <v>194</v>
      </c>
      <c r="H89" s="445" t="s">
        <v>2207</v>
      </c>
      <c r="I89" s="445" t="s">
        <v>1927</v>
      </c>
      <c r="J89" s="449">
        <v>0.09</v>
      </c>
      <c r="K89" s="445">
        <v>13.58</v>
      </c>
      <c r="L89" s="450">
        <v>0</v>
      </c>
      <c r="M89" s="451">
        <v>0</v>
      </c>
      <c r="N89" s="445">
        <v>0</v>
      </c>
      <c r="O89" s="445">
        <v>2.0580175412269263E-2</v>
      </c>
      <c r="P89" s="448">
        <v>34.1787811729141</v>
      </c>
      <c r="Q89" s="447" t="s">
        <v>1953</v>
      </c>
    </row>
    <row r="90" spans="1:17">
      <c r="A90" s="442">
        <v>46045</v>
      </c>
      <c r="B90" s="443" t="s">
        <v>2145</v>
      </c>
      <c r="C90" s="443" t="s">
        <v>2145</v>
      </c>
      <c r="D90" s="445" t="s">
        <v>2146</v>
      </c>
      <c r="E90" s="446">
        <v>46073</v>
      </c>
      <c r="F90" s="445" t="s">
        <v>1926</v>
      </c>
      <c r="G90" s="445" t="s">
        <v>194</v>
      </c>
      <c r="H90" s="445" t="s">
        <v>2208</v>
      </c>
      <c r="I90" s="445" t="s">
        <v>1927</v>
      </c>
      <c r="J90" s="449">
        <v>0.03</v>
      </c>
      <c r="K90" s="445">
        <v>12.01</v>
      </c>
      <c r="L90" s="450">
        <v>0</v>
      </c>
      <c r="M90" s="451">
        <v>0</v>
      </c>
      <c r="N90" s="445">
        <v>0</v>
      </c>
      <c r="O90" s="445">
        <v>6.363585173664651E-3</v>
      </c>
      <c r="P90" s="448">
        <v>49.011643352198199</v>
      </c>
      <c r="Q90" s="447" t="s">
        <v>1953</v>
      </c>
    </row>
    <row r="91" spans="1:17">
      <c r="A91" s="442">
        <v>46045</v>
      </c>
      <c r="B91" s="443" t="s">
        <v>2147</v>
      </c>
      <c r="C91" s="443" t="s">
        <v>2147</v>
      </c>
      <c r="D91" s="445" t="s">
        <v>2146</v>
      </c>
      <c r="E91" s="446">
        <v>46073</v>
      </c>
      <c r="F91" s="445" t="s">
        <v>1926</v>
      </c>
      <c r="G91" s="445" t="s">
        <v>194</v>
      </c>
      <c r="H91" s="445" t="s">
        <v>2209</v>
      </c>
      <c r="I91" s="445" t="s">
        <v>1927</v>
      </c>
      <c r="J91" s="449">
        <v>0.08</v>
      </c>
      <c r="K91" s="445">
        <v>12.959999999999999</v>
      </c>
      <c r="L91" s="450">
        <v>0</v>
      </c>
      <c r="M91" s="451">
        <v>0</v>
      </c>
      <c r="N91" s="445">
        <v>0</v>
      </c>
      <c r="O91" s="445">
        <v>2.1352955272994953E-2</v>
      </c>
      <c r="P91" s="448">
        <v>46.605185625462006</v>
      </c>
      <c r="Q91" s="447" t="s">
        <v>1953</v>
      </c>
    </row>
    <row r="92" spans="1:17">
      <c r="A92" s="442">
        <v>46045</v>
      </c>
      <c r="B92" s="444" t="s">
        <v>2210</v>
      </c>
      <c r="C92" s="444" t="s">
        <v>2210</v>
      </c>
      <c r="D92" s="445" t="s">
        <v>2086</v>
      </c>
      <c r="E92" s="446">
        <v>46073</v>
      </c>
      <c r="F92" s="445" t="s">
        <v>1931</v>
      </c>
      <c r="G92" s="445" t="s">
        <v>194</v>
      </c>
      <c r="H92" s="445" t="s">
        <v>2211</v>
      </c>
      <c r="I92" s="445" t="s">
        <v>1927</v>
      </c>
      <c r="J92" s="449">
        <v>1.8</v>
      </c>
      <c r="K92" s="445">
        <v>0</v>
      </c>
      <c r="L92" s="450">
        <v>0</v>
      </c>
      <c r="M92" s="451">
        <v>0</v>
      </c>
      <c r="N92" s="445">
        <v>0</v>
      </c>
      <c r="O92" s="445">
        <v>0.32286877552651427</v>
      </c>
      <c r="P92" s="448">
        <v>25.910645219839502</v>
      </c>
      <c r="Q92" s="447" t="s">
        <v>1953</v>
      </c>
    </row>
    <row r="93" spans="1:17">
      <c r="A93" s="442">
        <v>46045</v>
      </c>
      <c r="B93" s="444" t="s">
        <v>2212</v>
      </c>
      <c r="C93" s="444" t="s">
        <v>2212</v>
      </c>
      <c r="D93" s="445" t="s">
        <v>2086</v>
      </c>
      <c r="E93" s="446">
        <v>46073</v>
      </c>
      <c r="F93" s="445" t="s">
        <v>1926</v>
      </c>
      <c r="G93" s="445" t="s">
        <v>194</v>
      </c>
      <c r="H93" s="445" t="s">
        <v>2213</v>
      </c>
      <c r="I93" s="445" t="s">
        <v>1927</v>
      </c>
      <c r="J93" s="449">
        <v>0.11</v>
      </c>
      <c r="K93" s="445">
        <v>46.89</v>
      </c>
      <c r="L93" s="450">
        <v>0</v>
      </c>
      <c r="M93" s="451">
        <v>0</v>
      </c>
      <c r="N93" s="445">
        <v>0</v>
      </c>
      <c r="O93" s="445">
        <v>9.207891778691947E-3</v>
      </c>
      <c r="P93" s="448">
        <v>30.990181237661901</v>
      </c>
      <c r="Q93" s="447" t="s">
        <v>1953</v>
      </c>
    </row>
    <row r="94" spans="1:17">
      <c r="A94" s="442">
        <v>46045</v>
      </c>
      <c r="B94" s="444" t="s">
        <v>2214</v>
      </c>
      <c r="C94" s="444" t="s">
        <v>2214</v>
      </c>
      <c r="D94" s="445" t="s">
        <v>2086</v>
      </c>
      <c r="E94" s="446">
        <v>46073</v>
      </c>
      <c r="F94" s="445" t="s">
        <v>1926</v>
      </c>
      <c r="G94" s="445" t="s">
        <v>194</v>
      </c>
      <c r="H94" s="445" t="s">
        <v>2215</v>
      </c>
      <c r="I94" s="445" t="s">
        <v>1927</v>
      </c>
      <c r="J94" s="449">
        <v>0.49</v>
      </c>
      <c r="K94" s="445">
        <v>50.01</v>
      </c>
      <c r="L94" s="450">
        <v>0</v>
      </c>
      <c r="M94" s="451">
        <v>0</v>
      </c>
      <c r="N94" s="445">
        <v>0</v>
      </c>
      <c r="O94" s="445">
        <v>5.2699037995496259E-2</v>
      </c>
      <c r="P94" s="448">
        <v>28.695567270793401</v>
      </c>
      <c r="Q94" s="447" t="s">
        <v>1953</v>
      </c>
    </row>
    <row r="95" spans="1:17">
      <c r="A95" s="442">
        <v>46045</v>
      </c>
      <c r="B95" s="443" t="s">
        <v>2216</v>
      </c>
      <c r="C95" s="443" t="s">
        <v>2216</v>
      </c>
      <c r="D95" s="445" t="s">
        <v>1952</v>
      </c>
      <c r="E95" s="446">
        <v>46101</v>
      </c>
      <c r="F95" s="445" t="s">
        <v>1931</v>
      </c>
      <c r="G95" s="445" t="s">
        <v>194</v>
      </c>
      <c r="H95" s="445" t="s">
        <v>2217</v>
      </c>
      <c r="I95" s="445" t="s">
        <v>1927</v>
      </c>
      <c r="J95" s="449">
        <v>0.82</v>
      </c>
      <c r="K95" s="445">
        <v>0</v>
      </c>
      <c r="L95" s="450">
        <v>0</v>
      </c>
      <c r="M95" s="451">
        <v>0</v>
      </c>
      <c r="N95" s="445">
        <v>0</v>
      </c>
      <c r="O95" s="445">
        <v>3.3603764701664006E-2</v>
      </c>
      <c r="P95" s="448">
        <v>27.976644331715999</v>
      </c>
      <c r="Q95" s="447" t="s">
        <v>1953</v>
      </c>
    </row>
    <row r="96" spans="1:17">
      <c r="A96" s="442">
        <v>46045</v>
      </c>
      <c r="B96" s="443" t="s">
        <v>2218</v>
      </c>
      <c r="C96" s="443" t="s">
        <v>2218</v>
      </c>
      <c r="D96" s="445" t="s">
        <v>1952</v>
      </c>
      <c r="E96" s="446">
        <v>46101</v>
      </c>
      <c r="F96" s="445" t="s">
        <v>1926</v>
      </c>
      <c r="G96" s="445" t="s">
        <v>194</v>
      </c>
      <c r="H96" s="445" t="s">
        <v>2219</v>
      </c>
      <c r="I96" s="445" t="s">
        <v>1927</v>
      </c>
      <c r="J96" s="449">
        <v>0.87</v>
      </c>
      <c r="K96" s="445">
        <v>20.439999999999998</v>
      </c>
      <c r="L96" s="450">
        <v>0</v>
      </c>
      <c r="M96" s="451">
        <v>0</v>
      </c>
      <c r="N96" s="445">
        <v>0</v>
      </c>
      <c r="O96" s="445">
        <v>0.11155309471017634</v>
      </c>
      <c r="P96" s="448">
        <v>32.262974706409302</v>
      </c>
      <c r="Q96" s="447" t="s">
        <v>1953</v>
      </c>
    </row>
    <row r="97" spans="1:17">
      <c r="A97" s="442">
        <v>46045</v>
      </c>
      <c r="B97" s="443" t="s">
        <v>2220</v>
      </c>
      <c r="C97" s="443" t="s">
        <v>2220</v>
      </c>
      <c r="D97" s="445" t="s">
        <v>1952</v>
      </c>
      <c r="E97" s="446">
        <v>46101</v>
      </c>
      <c r="F97" s="445" t="s">
        <v>1926</v>
      </c>
      <c r="G97" s="445" t="s">
        <v>194</v>
      </c>
      <c r="H97" s="445" t="s">
        <v>2221</v>
      </c>
      <c r="I97" s="445" t="s">
        <v>1927</v>
      </c>
      <c r="J97" s="449">
        <v>1.76</v>
      </c>
      <c r="K97" s="445">
        <v>21.549999999999997</v>
      </c>
      <c r="L97" s="450">
        <v>0</v>
      </c>
      <c r="M97" s="451">
        <v>0</v>
      </c>
      <c r="N97" s="445">
        <v>0</v>
      </c>
      <c r="O97" s="445">
        <v>0.28153268211724541</v>
      </c>
      <c r="P97" s="448">
        <v>29.965084842185799</v>
      </c>
      <c r="Q97" s="447" t="s">
        <v>1953</v>
      </c>
    </row>
    <row r="98" spans="1:17">
      <c r="A98" s="442">
        <v>46045</v>
      </c>
      <c r="B98" s="443" t="s">
        <v>2222</v>
      </c>
      <c r="C98" s="443" t="s">
        <v>2222</v>
      </c>
      <c r="D98" s="445" t="s">
        <v>2223</v>
      </c>
      <c r="E98" s="446">
        <v>46073</v>
      </c>
      <c r="F98" s="445" t="s">
        <v>1931</v>
      </c>
      <c r="G98" s="445" t="s">
        <v>194</v>
      </c>
      <c r="H98" s="445" t="s">
        <v>2224</v>
      </c>
      <c r="I98" s="445" t="s">
        <v>1927</v>
      </c>
      <c r="J98" s="449">
        <v>10</v>
      </c>
      <c r="K98" s="445">
        <v>0</v>
      </c>
      <c r="L98" s="450">
        <v>0</v>
      </c>
      <c r="M98" s="451">
        <v>0</v>
      </c>
      <c r="N98" s="445">
        <v>0</v>
      </c>
      <c r="O98" s="445">
        <v>1.9380517864687339</v>
      </c>
      <c r="P98" s="448">
        <v>36.654042388198704</v>
      </c>
      <c r="Q98" s="447" t="s">
        <v>1953</v>
      </c>
    </row>
    <row r="99" spans="1:17">
      <c r="A99" s="442">
        <v>46045</v>
      </c>
      <c r="B99" s="443" t="s">
        <v>2225</v>
      </c>
      <c r="C99" s="443" t="s">
        <v>2225</v>
      </c>
      <c r="D99" s="445" t="s">
        <v>2223</v>
      </c>
      <c r="E99" s="446">
        <v>46073</v>
      </c>
      <c r="F99" s="445" t="s">
        <v>1931</v>
      </c>
      <c r="G99" s="445" t="s">
        <v>194</v>
      </c>
      <c r="H99" s="445" t="s">
        <v>2226</v>
      </c>
      <c r="I99" s="445" t="s">
        <v>1927</v>
      </c>
      <c r="J99" s="449">
        <v>5.9</v>
      </c>
      <c r="K99" s="445">
        <v>0</v>
      </c>
      <c r="L99" s="450">
        <v>0</v>
      </c>
      <c r="M99" s="451">
        <v>0</v>
      </c>
      <c r="N99" s="445">
        <v>0</v>
      </c>
      <c r="O99" s="445">
        <v>1.1096806302217106</v>
      </c>
      <c r="P99" s="448">
        <v>31.146482590065101</v>
      </c>
      <c r="Q99" s="447" t="s">
        <v>1953</v>
      </c>
    </row>
    <row r="100" spans="1:17">
      <c r="A100" s="442">
        <v>46045</v>
      </c>
      <c r="B100" s="454" t="s">
        <v>2240</v>
      </c>
      <c r="C100" s="454" t="s">
        <v>2240</v>
      </c>
      <c r="D100" s="445" t="s">
        <v>1954</v>
      </c>
      <c r="E100" s="446">
        <v>46073</v>
      </c>
      <c r="F100" s="445" t="s">
        <v>1931</v>
      </c>
      <c r="G100" s="445" t="s">
        <v>194</v>
      </c>
      <c r="H100" s="445" t="s">
        <v>2241</v>
      </c>
      <c r="I100" s="445" t="s">
        <v>1927</v>
      </c>
      <c r="J100" s="449">
        <v>0.5</v>
      </c>
      <c r="K100" s="445">
        <v>0</v>
      </c>
      <c r="L100" s="450">
        <v>0</v>
      </c>
      <c r="M100" s="451">
        <v>0</v>
      </c>
      <c r="N100" s="445">
        <v>0</v>
      </c>
      <c r="O100" s="445">
        <v>9.3187259922279678E-2</v>
      </c>
      <c r="P100" s="448">
        <v>29.664837891249601</v>
      </c>
      <c r="Q100" s="447" t="s">
        <v>1953</v>
      </c>
    </row>
    <row r="101" spans="1:17">
      <c r="A101" s="442">
        <v>46045</v>
      </c>
      <c r="B101" s="454" t="s">
        <v>2242</v>
      </c>
      <c r="C101" s="454" t="s">
        <v>2242</v>
      </c>
      <c r="D101" s="445" t="s">
        <v>2015</v>
      </c>
      <c r="E101" s="446">
        <v>46071</v>
      </c>
      <c r="F101" s="445" t="s">
        <v>1926</v>
      </c>
      <c r="G101" s="445" t="s">
        <v>194</v>
      </c>
      <c r="H101" s="445" t="s">
        <v>2243</v>
      </c>
      <c r="I101" s="445" t="s">
        <v>1927</v>
      </c>
      <c r="J101" s="449">
        <v>185</v>
      </c>
      <c r="K101" s="445">
        <v>160815</v>
      </c>
      <c r="L101" s="450">
        <v>0</v>
      </c>
      <c r="M101" s="451">
        <v>0</v>
      </c>
      <c r="N101" s="445">
        <v>0</v>
      </c>
      <c r="O101" s="445">
        <v>36.704170637288499</v>
      </c>
      <c r="P101" s="448">
        <v>26.268484165526299</v>
      </c>
      <c r="Q101" s="447" t="s">
        <v>1953</v>
      </c>
    </row>
    <row r="102" spans="1:17">
      <c r="A102" s="442">
        <v>46045</v>
      </c>
      <c r="B102" s="454" t="s">
        <v>2244</v>
      </c>
      <c r="C102" s="454" t="s">
        <v>2244</v>
      </c>
      <c r="D102" s="445" t="s">
        <v>2103</v>
      </c>
      <c r="E102" s="446">
        <v>46073</v>
      </c>
      <c r="F102" s="445" t="s">
        <v>1926</v>
      </c>
      <c r="G102" s="445" t="s">
        <v>194</v>
      </c>
      <c r="H102" s="445" t="s">
        <v>2245</v>
      </c>
      <c r="I102" s="445" t="s">
        <v>1927</v>
      </c>
      <c r="J102" s="449">
        <v>0.26</v>
      </c>
      <c r="K102" s="445">
        <v>107.74</v>
      </c>
      <c r="L102" s="450">
        <v>0</v>
      </c>
      <c r="M102" s="451">
        <v>0</v>
      </c>
      <c r="N102" s="445">
        <v>0</v>
      </c>
      <c r="O102" s="445">
        <v>4.9035120311981761E-2</v>
      </c>
      <c r="P102" s="448">
        <v>31.343555082582501</v>
      </c>
      <c r="Q102" s="447" t="s">
        <v>1953</v>
      </c>
    </row>
    <row r="103" spans="1:17">
      <c r="A103" s="442">
        <v>46045</v>
      </c>
      <c r="B103" s="454" t="s">
        <v>2246</v>
      </c>
      <c r="C103" s="454" t="s">
        <v>2246</v>
      </c>
      <c r="D103" s="445" t="s">
        <v>2103</v>
      </c>
      <c r="E103" s="446">
        <v>46073</v>
      </c>
      <c r="F103" s="445" t="s">
        <v>1926</v>
      </c>
      <c r="G103" s="445" t="s">
        <v>194</v>
      </c>
      <c r="H103" s="445" t="s">
        <v>2247</v>
      </c>
      <c r="I103" s="445" t="s">
        <v>1927</v>
      </c>
      <c r="J103" s="449">
        <v>0.56999999999999995</v>
      </c>
      <c r="K103" s="445">
        <v>112.43</v>
      </c>
      <c r="L103" s="450">
        <v>0</v>
      </c>
      <c r="M103" s="451">
        <v>0</v>
      </c>
      <c r="N103" s="445">
        <v>0</v>
      </c>
      <c r="O103" s="445">
        <v>0.12257122545059582</v>
      </c>
      <c r="P103" s="448">
        <v>28.920866803349497</v>
      </c>
      <c r="Q103" s="447" t="s">
        <v>1953</v>
      </c>
    </row>
    <row r="104" spans="1:17">
      <c r="A104" s="442">
        <v>46045</v>
      </c>
      <c r="B104" s="443" t="s">
        <v>2264</v>
      </c>
      <c r="C104" s="443" t="s">
        <v>2264</v>
      </c>
      <c r="D104" s="445" t="s">
        <v>2103</v>
      </c>
      <c r="E104" s="446">
        <v>46073</v>
      </c>
      <c r="F104" s="445" t="s">
        <v>1926</v>
      </c>
      <c r="G104" s="445" t="s">
        <v>194</v>
      </c>
      <c r="H104" s="445" t="s">
        <v>2265</v>
      </c>
      <c r="I104" s="445" t="s">
        <v>1927</v>
      </c>
      <c r="J104" s="449">
        <v>0.74</v>
      </c>
      <c r="K104" s="445">
        <v>113.26</v>
      </c>
      <c r="L104" s="450">
        <v>0</v>
      </c>
      <c r="M104" s="451">
        <v>0</v>
      </c>
      <c r="N104" s="445">
        <v>0</v>
      </c>
      <c r="O104" s="445">
        <v>0.14492128527103365</v>
      </c>
      <c r="P104" s="448">
        <v>28.358499888547399</v>
      </c>
      <c r="Q104" s="447" t="s">
        <v>1953</v>
      </c>
    </row>
    <row r="105" spans="1:17">
      <c r="A105" s="442">
        <v>46045</v>
      </c>
      <c r="B105" s="443" t="s">
        <v>2266</v>
      </c>
      <c r="C105" s="443" t="s">
        <v>2266</v>
      </c>
      <c r="D105" s="445" t="s">
        <v>2267</v>
      </c>
      <c r="E105" s="446">
        <v>46073</v>
      </c>
      <c r="F105" s="445" t="s">
        <v>1931</v>
      </c>
      <c r="G105" s="445" t="s">
        <v>194</v>
      </c>
      <c r="H105" s="445" t="s">
        <v>2268</v>
      </c>
      <c r="I105" s="445" t="s">
        <v>1927</v>
      </c>
      <c r="J105" s="449">
        <v>0.73</v>
      </c>
      <c r="K105" s="445">
        <v>0</v>
      </c>
      <c r="L105" s="450">
        <v>0</v>
      </c>
      <c r="M105" s="451">
        <v>0</v>
      </c>
      <c r="N105" s="445">
        <v>0</v>
      </c>
      <c r="O105" s="445">
        <v>7.5079367394533858E-2</v>
      </c>
      <c r="P105" s="448">
        <v>31.167512164763</v>
      </c>
      <c r="Q105" s="447" t="s">
        <v>1953</v>
      </c>
    </row>
    <row r="106" spans="1:17">
      <c r="A106" s="442">
        <v>46045</v>
      </c>
      <c r="B106" s="443" t="s">
        <v>2269</v>
      </c>
      <c r="C106" s="443" t="s">
        <v>2269</v>
      </c>
      <c r="D106" s="445" t="s">
        <v>2267</v>
      </c>
      <c r="E106" s="446">
        <v>46073</v>
      </c>
      <c r="F106" s="445" t="s">
        <v>1926</v>
      </c>
      <c r="G106" s="445" t="s">
        <v>194</v>
      </c>
      <c r="H106" s="445" t="s">
        <v>2270</v>
      </c>
      <c r="I106" s="445" t="s">
        <v>1927</v>
      </c>
      <c r="J106" s="449">
        <v>0.23</v>
      </c>
      <c r="K106" s="445">
        <v>25.66</v>
      </c>
      <c r="L106" s="450">
        <v>0</v>
      </c>
      <c r="M106" s="451">
        <v>0</v>
      </c>
      <c r="N106" s="445">
        <v>0</v>
      </c>
      <c r="O106" s="445">
        <v>3.9609060155243611E-2</v>
      </c>
      <c r="P106" s="448">
        <v>36.693604302172304</v>
      </c>
      <c r="Q106" s="447" t="s">
        <v>1953</v>
      </c>
    </row>
    <row r="107" spans="1:17">
      <c r="A107" s="442">
        <v>46045</v>
      </c>
      <c r="B107" s="443" t="s">
        <v>2271</v>
      </c>
      <c r="C107" s="443" t="s">
        <v>2271</v>
      </c>
      <c r="D107" s="445" t="s">
        <v>2267</v>
      </c>
      <c r="E107" s="446">
        <v>46073</v>
      </c>
      <c r="F107" s="445" t="s">
        <v>1926</v>
      </c>
      <c r="G107" s="445" t="s">
        <v>194</v>
      </c>
      <c r="H107" s="445" t="s">
        <v>2272</v>
      </c>
      <c r="I107" s="445" t="s">
        <v>1927</v>
      </c>
      <c r="J107" s="449">
        <v>0.89</v>
      </c>
      <c r="K107" s="445">
        <v>27.25</v>
      </c>
      <c r="L107" s="450">
        <v>0</v>
      </c>
      <c r="M107" s="451">
        <v>0</v>
      </c>
      <c r="N107" s="445">
        <v>0</v>
      </c>
      <c r="O107" s="445">
        <v>0.14848492987689135</v>
      </c>
      <c r="P107" s="448">
        <v>33.697645808170101</v>
      </c>
      <c r="Q107" s="447" t="s">
        <v>1953</v>
      </c>
    </row>
    <row r="108" spans="1:17">
      <c r="A108" s="442">
        <v>46045</v>
      </c>
      <c r="B108" s="454" t="s">
        <v>2282</v>
      </c>
      <c r="C108" s="454" t="s">
        <v>2282</v>
      </c>
      <c r="D108" s="445" t="s">
        <v>2015</v>
      </c>
      <c r="E108" s="446">
        <v>46071</v>
      </c>
      <c r="F108" s="445" t="s">
        <v>1926</v>
      </c>
      <c r="G108" s="445" t="s">
        <v>194</v>
      </c>
      <c r="H108" s="445" t="s">
        <v>2301</v>
      </c>
      <c r="I108" s="445" t="s">
        <v>1927</v>
      </c>
      <c r="J108" s="449">
        <v>270</v>
      </c>
      <c r="K108" s="445">
        <v>162730</v>
      </c>
      <c r="L108" s="450">
        <v>0</v>
      </c>
      <c r="M108" s="451">
        <v>0</v>
      </c>
      <c r="N108" s="445">
        <v>0</v>
      </c>
      <c r="O108" s="445">
        <v>52.719567163950515</v>
      </c>
      <c r="P108" s="448">
        <v>25.7699052528857</v>
      </c>
      <c r="Q108" s="447" t="s">
        <v>1953</v>
      </c>
    </row>
    <row r="109" spans="1:17">
      <c r="A109" s="442">
        <v>46045</v>
      </c>
      <c r="B109" s="443" t="s">
        <v>2340</v>
      </c>
      <c r="C109" s="443" t="s">
        <v>2340</v>
      </c>
      <c r="D109" s="445" t="s">
        <v>2140</v>
      </c>
      <c r="E109" s="446">
        <v>46073</v>
      </c>
      <c r="F109" s="445" t="s">
        <v>1926</v>
      </c>
      <c r="G109" s="445" t="s">
        <v>194</v>
      </c>
      <c r="H109" s="445" t="s">
        <v>2341</v>
      </c>
      <c r="I109" s="445" t="s">
        <v>1927</v>
      </c>
      <c r="J109" s="449">
        <v>0.5</v>
      </c>
      <c r="K109" s="445">
        <v>33.65</v>
      </c>
      <c r="L109" s="450">
        <v>0</v>
      </c>
      <c r="M109" s="451">
        <v>0</v>
      </c>
      <c r="N109" s="445">
        <v>0</v>
      </c>
      <c r="O109" s="445">
        <v>9.8294116177526883E-2</v>
      </c>
      <c r="P109" s="448">
        <v>27.7309257743652</v>
      </c>
      <c r="Q109" s="447" t="s">
        <v>1953</v>
      </c>
    </row>
    <row r="110" spans="1:17">
      <c r="A110" s="442">
        <v>46045</v>
      </c>
      <c r="B110" s="443" t="s">
        <v>2342</v>
      </c>
      <c r="C110" s="443" t="s">
        <v>2342</v>
      </c>
      <c r="D110" s="445" t="s">
        <v>2343</v>
      </c>
      <c r="E110" s="446">
        <v>46073</v>
      </c>
      <c r="F110" s="445" t="s">
        <v>1926</v>
      </c>
      <c r="G110" s="445" t="s">
        <v>194</v>
      </c>
      <c r="H110" s="445" t="s">
        <v>2344</v>
      </c>
      <c r="I110" s="445" t="s">
        <v>1927</v>
      </c>
      <c r="J110" s="449">
        <v>0.21</v>
      </c>
      <c r="K110" s="445">
        <v>43.04</v>
      </c>
      <c r="L110" s="450">
        <v>0</v>
      </c>
      <c r="M110" s="451">
        <v>0</v>
      </c>
      <c r="N110" s="445">
        <v>0</v>
      </c>
      <c r="O110" s="445">
        <v>3.8092746581322723E-2</v>
      </c>
      <c r="P110" s="448">
        <v>36.049217835286299</v>
      </c>
      <c r="Q110" s="447" t="s">
        <v>1953</v>
      </c>
    </row>
    <row r="111" spans="1:17">
      <c r="A111" s="442">
        <v>46045</v>
      </c>
      <c r="B111" s="443" t="s">
        <v>2345</v>
      </c>
      <c r="C111" s="443" t="s">
        <v>2345</v>
      </c>
      <c r="D111" s="445" t="s">
        <v>2343</v>
      </c>
      <c r="E111" s="446">
        <v>46073</v>
      </c>
      <c r="F111" s="445" t="s">
        <v>1926</v>
      </c>
      <c r="G111" s="445" t="s">
        <v>194</v>
      </c>
      <c r="H111" s="445" t="s">
        <v>2346</v>
      </c>
      <c r="I111" s="445" t="s">
        <v>1927</v>
      </c>
      <c r="J111" s="449">
        <v>0.55000000000000004</v>
      </c>
      <c r="K111" s="445">
        <v>45.7</v>
      </c>
      <c r="L111" s="450">
        <v>0</v>
      </c>
      <c r="M111" s="451">
        <v>0</v>
      </c>
      <c r="N111" s="445">
        <v>0</v>
      </c>
      <c r="O111" s="445">
        <v>0.12043693289834588</v>
      </c>
      <c r="P111" s="448">
        <v>32.930514485636905</v>
      </c>
      <c r="Q111" s="447" t="s">
        <v>1953</v>
      </c>
    </row>
    <row r="112" spans="1:17">
      <c r="A112" s="442">
        <v>46045</v>
      </c>
      <c r="B112" s="443" t="s">
        <v>2347</v>
      </c>
      <c r="C112" s="443" t="s">
        <v>2347</v>
      </c>
      <c r="D112" s="445" t="s">
        <v>2343</v>
      </c>
      <c r="E112" s="446">
        <v>46101</v>
      </c>
      <c r="F112" s="445" t="s">
        <v>1931</v>
      </c>
      <c r="G112" s="445" t="s">
        <v>194</v>
      </c>
      <c r="H112" s="445" t="s">
        <v>2215</v>
      </c>
      <c r="I112" s="445" t="s">
        <v>1927</v>
      </c>
      <c r="J112" s="449">
        <v>2.0499999999999998</v>
      </c>
      <c r="K112" s="445">
        <v>0</v>
      </c>
      <c r="L112" s="450">
        <v>0</v>
      </c>
      <c r="M112" s="451">
        <v>0</v>
      </c>
      <c r="N112" s="445">
        <v>0</v>
      </c>
      <c r="O112" s="445">
        <v>0.36094128878201603</v>
      </c>
      <c r="P112" s="448">
        <v>30.9768583136822</v>
      </c>
      <c r="Q112" s="447" t="s">
        <v>1953</v>
      </c>
    </row>
    <row r="113" spans="1:17">
      <c r="A113" s="442">
        <v>46045</v>
      </c>
      <c r="B113" s="443" t="s">
        <v>2348</v>
      </c>
      <c r="C113" s="443" t="s">
        <v>2348</v>
      </c>
      <c r="D113" s="445" t="s">
        <v>2343</v>
      </c>
      <c r="E113" s="446">
        <v>46101</v>
      </c>
      <c r="F113" s="445" t="s">
        <v>1926</v>
      </c>
      <c r="G113" s="445" t="s">
        <v>194</v>
      </c>
      <c r="H113" s="445" t="s">
        <v>2349</v>
      </c>
      <c r="I113" s="445" t="s">
        <v>1927</v>
      </c>
      <c r="J113" s="449">
        <v>0.36</v>
      </c>
      <c r="K113" s="445">
        <v>42.14</v>
      </c>
      <c r="L113" s="450">
        <v>0</v>
      </c>
      <c r="M113" s="451">
        <v>0</v>
      </c>
      <c r="N113" s="445">
        <v>0</v>
      </c>
      <c r="O113" s="445">
        <v>7.4581290011302467E-2</v>
      </c>
      <c r="P113" s="448">
        <v>34.9616174570385</v>
      </c>
      <c r="Q113" s="447" t="s">
        <v>1953</v>
      </c>
    </row>
    <row r="114" spans="1:17">
      <c r="A114" s="442">
        <v>46045</v>
      </c>
      <c r="B114" s="443" t="s">
        <v>2350</v>
      </c>
      <c r="C114" s="443" t="s">
        <v>2350</v>
      </c>
      <c r="D114" s="445" t="s">
        <v>2343</v>
      </c>
      <c r="E114" s="446">
        <v>46101</v>
      </c>
      <c r="F114" s="445" t="s">
        <v>1926</v>
      </c>
      <c r="G114" s="445" t="s">
        <v>194</v>
      </c>
      <c r="H114" s="445" t="s">
        <v>2351</v>
      </c>
      <c r="I114" s="445" t="s">
        <v>1927</v>
      </c>
      <c r="J114" s="449">
        <v>1.04</v>
      </c>
      <c r="K114" s="445">
        <v>45.46</v>
      </c>
      <c r="L114" s="450">
        <v>0</v>
      </c>
      <c r="M114" s="451">
        <v>0</v>
      </c>
      <c r="N114" s="445">
        <v>0</v>
      </c>
      <c r="O114" s="445">
        <v>0.21575673099040893</v>
      </c>
      <c r="P114" s="448">
        <v>32.071417397338699</v>
      </c>
      <c r="Q114" s="447" t="s">
        <v>1953</v>
      </c>
    </row>
    <row r="115" spans="1:17">
      <c r="A115" s="442">
        <v>46045</v>
      </c>
      <c r="B115" s="443" t="s">
        <v>2373</v>
      </c>
      <c r="C115" s="443" t="s">
        <v>2373</v>
      </c>
      <c r="D115" s="445" t="s">
        <v>2374</v>
      </c>
      <c r="E115" s="446">
        <v>46073</v>
      </c>
      <c r="F115" s="445" t="s">
        <v>1926</v>
      </c>
      <c r="G115" s="445" t="s">
        <v>194</v>
      </c>
      <c r="H115" s="445" t="s">
        <v>2375</v>
      </c>
      <c r="I115" s="445" t="s">
        <v>1927</v>
      </c>
      <c r="J115" s="449">
        <v>0.28999999999999998</v>
      </c>
      <c r="K115" s="445">
        <v>40.65</v>
      </c>
      <c r="L115" s="450">
        <v>0</v>
      </c>
      <c r="M115" s="451">
        <v>0</v>
      </c>
      <c r="N115" s="445">
        <v>0</v>
      </c>
      <c r="O115" s="445">
        <v>6.1685236235459247E-2</v>
      </c>
      <c r="P115" s="448">
        <v>29.5935684827115</v>
      </c>
      <c r="Q115" s="447" t="s">
        <v>1953</v>
      </c>
    </row>
    <row r="116" spans="1:17">
      <c r="A116" s="442">
        <v>46045</v>
      </c>
      <c r="B116" s="443" t="s">
        <v>2376</v>
      </c>
      <c r="C116" s="443" t="s">
        <v>2376</v>
      </c>
      <c r="D116" s="445" t="s">
        <v>2374</v>
      </c>
      <c r="E116" s="446">
        <v>46073</v>
      </c>
      <c r="F116" s="445" t="s">
        <v>1926</v>
      </c>
      <c r="G116" s="445" t="s">
        <v>194</v>
      </c>
      <c r="H116" s="445" t="s">
        <v>2377</v>
      </c>
      <c r="I116" s="445" t="s">
        <v>1927</v>
      </c>
      <c r="J116" s="449">
        <v>0.79</v>
      </c>
      <c r="K116" s="445">
        <v>42.09</v>
      </c>
      <c r="L116" s="450">
        <v>0</v>
      </c>
      <c r="M116" s="451">
        <v>0</v>
      </c>
      <c r="N116" s="445">
        <v>0</v>
      </c>
      <c r="O116" s="445">
        <v>0.14845347047364388</v>
      </c>
      <c r="P116" s="448">
        <v>27.571234887779699</v>
      </c>
      <c r="Q116" s="447" t="s">
        <v>1953</v>
      </c>
    </row>
  </sheetData>
  <conditionalFormatting sqref="T2:T3">
    <cfRule type="cellIs" dxfId="43" priority="41" operator="equal">
      <formula>0</formula>
    </cfRule>
  </conditionalFormatting>
  <conditionalFormatting sqref="W2:W3">
    <cfRule type="cellIs" dxfId="42" priority="40" operator="equal">
      <formula>0</formula>
    </cfRule>
  </conditionalFormatting>
  <conditionalFormatting sqref="B71:B85">
    <cfRule type="duplicateValues" dxfId="41" priority="38" stopIfTrue="1"/>
    <cfRule type="duplicateValues" dxfId="40" priority="38"/>
  </conditionalFormatting>
  <conditionalFormatting sqref="B92:B94">
    <cfRule type="duplicateValues" dxfId="39" priority="37"/>
  </conditionalFormatting>
  <conditionalFormatting sqref="B95:B99 B1 B104:B107 B109:B116 B48:B65 B71:B91">
    <cfRule type="duplicateValues" dxfId="38" priority="35" stopIfTrue="1"/>
    <cfRule type="duplicateValues" dxfId="37" priority="35"/>
  </conditionalFormatting>
  <conditionalFormatting sqref="B95:B99 B1:B17 B104:B107 B109:B116 B48:B65 B71:B91">
    <cfRule type="duplicateValues" dxfId="36" priority="34"/>
  </conditionalFormatting>
  <conditionalFormatting sqref="B95:B99 B104:B107 B109:B116 B1:B65 B71:B91">
    <cfRule type="duplicateValues" dxfId="35" priority="33"/>
  </conditionalFormatting>
  <conditionalFormatting sqref="C2:C85">
    <cfRule type="duplicateValues" dxfId="34" priority="39"/>
  </conditionalFormatting>
  <conditionalFormatting sqref="C6:C70">
    <cfRule type="duplicateValues" dxfId="33" priority="42"/>
  </conditionalFormatting>
  <conditionalFormatting sqref="C71:C85">
    <cfRule type="duplicateValues" dxfId="32" priority="36" stopIfTrue="1"/>
    <cfRule type="duplicateValues" dxfId="31" priority="43"/>
  </conditionalFormatting>
  <conditionalFormatting sqref="C74:C76">
    <cfRule type="duplicateValues" dxfId="30" priority="32" stopIfTrue="1"/>
    <cfRule type="duplicateValues" dxfId="29" priority="44"/>
  </conditionalFormatting>
  <conditionalFormatting sqref="C77:C80">
    <cfRule type="duplicateValues" dxfId="28" priority="30"/>
    <cfRule type="duplicateValues" dxfId="27" priority="31" stopIfTrue="1"/>
  </conditionalFormatting>
  <conditionalFormatting sqref="C86">
    <cfRule type="duplicateValues" dxfId="26" priority="28"/>
    <cfRule type="duplicateValues" dxfId="25" priority="29" stopIfTrue="1"/>
  </conditionalFormatting>
  <conditionalFormatting sqref="C87:C91">
    <cfRule type="duplicateValues" dxfId="24" priority="19"/>
    <cfRule type="duplicateValues" dxfId="23" priority="20" stopIfTrue="1"/>
    <cfRule type="duplicateValues" dxfId="22" priority="21"/>
    <cfRule type="duplicateValues" dxfId="21" priority="22"/>
  </conditionalFormatting>
  <conditionalFormatting sqref="C92:C94 C1:C85">
    <cfRule type="duplicateValues" dxfId="20" priority="24"/>
  </conditionalFormatting>
  <conditionalFormatting sqref="C95:C99">
    <cfRule type="duplicateValues" dxfId="19" priority="14"/>
    <cfRule type="duplicateValues" dxfId="18" priority="15" stopIfTrue="1"/>
    <cfRule type="duplicateValues" dxfId="17" priority="16"/>
    <cfRule type="duplicateValues" dxfId="16" priority="17"/>
  </conditionalFormatting>
  <conditionalFormatting sqref="C104:C107">
    <cfRule type="duplicateValues" dxfId="15" priority="10"/>
    <cfRule type="duplicateValues" dxfId="14" priority="11" stopIfTrue="1"/>
    <cfRule type="duplicateValues" dxfId="13" priority="12"/>
    <cfRule type="duplicateValues" dxfId="12" priority="13"/>
  </conditionalFormatting>
  <conditionalFormatting sqref="C109:C114">
    <cfRule type="duplicateValues" dxfId="11" priority="6"/>
    <cfRule type="duplicateValues" dxfId="10" priority="7" stopIfTrue="1"/>
    <cfRule type="duplicateValues" dxfId="9" priority="8"/>
    <cfRule type="duplicateValues" dxfId="8" priority="9"/>
  </conditionalFormatting>
  <conditionalFormatting sqref="C115:C116">
    <cfRule type="duplicateValues" dxfId="7" priority="2"/>
    <cfRule type="duplicateValues" dxfId="6" priority="2" stopIfTrue="1"/>
    <cfRule type="duplicateValues" dxfId="5" priority="3"/>
    <cfRule type="duplicateValues" dxfId="4" priority="4"/>
  </conditionalFormatting>
  <conditionalFormatting sqref="L1:M116">
    <cfRule type="cellIs" dxfId="3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2026-01-26T21:08:22Z</dcterms:modified>
  <cp:category/>
  <cp:contentStatus/>
</cp:coreProperties>
</file>