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65618634-16FA-446F-9385-A17C669359A6}" xr6:coauthVersionLast="47" xr6:coauthVersionMax="47" xr10:uidLastSave="{00000000-0000-0000-0000-000000000000}"/>
  <bookViews>
    <workbookView xWindow="28680" yWindow="-120" windowWidth="29040" windowHeight="15720" tabRatio="881" firstSheet="6" activeTab="7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DS" sheetId="54" r:id="rId11"/>
    <sheet name="Check" sheetId="385" r:id="rId12"/>
    <sheet name="Input_APM" sheetId="384" r:id="rId13"/>
    <sheet name="Input_APM (Zenith)" sheetId="414" r:id="rId14"/>
    <sheet name="Check (Zenith)" sheetId="415" state="hidden" r:id="rId15"/>
    <sheet name="Auxiliar" sheetId="383" r:id="rId16"/>
    <sheet name="Posições Custódia" sheetId="425" r:id="rId17"/>
    <sheet name="Check result" sheetId="444" r:id="rId18"/>
    <sheet name="Precificação" sheetId="527" r:id="rId19"/>
  </sheets>
  <functionGroups builtInGroupCount="19"/>
  <definedNames>
    <definedName name="_xlnm._FilterDatabase" localSheetId="11" hidden="1">Check!$A$4:$V$190</definedName>
    <definedName name="_xlnm._FilterDatabase" localSheetId="14" hidden="1">'Check (Zenith)'!$B$4:$E$151</definedName>
    <definedName name="_xlnm._FilterDatabase" localSheetId="12" hidden="1">Input_APM!$K$1:$O$397</definedName>
    <definedName name="_xlnm._FilterDatabase" localSheetId="7" hidden="1">'Master P&amp;L'!$A$11:$AD$49</definedName>
    <definedName name="_xlnm._FilterDatabase" localSheetId="8" hidden="1">Options!$A$3:$BD$29</definedName>
    <definedName name="_xlnm._FilterDatabase" localSheetId="16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P&amp;L'!$B$2:$AC$49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iterate="1" iterateCount="10000"/>
  <pivotCaches>
    <pivotCache cacheId="5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24" i="2" l="1" a="1"/>
  <c r="L24" i="2" a="1"/>
  <c r="AF24" i="2" l="1"/>
  <c r="L24" i="2"/>
  <c r="AR24" i="2" a="1"/>
  <c r="AR24" i="2" l="1"/>
  <c r="F24" i="2" a="1"/>
  <c r="F24" i="2"/>
  <c r="C24" i="2" a="1"/>
  <c r="C24" i="2"/>
  <c r="E24" i="2" a="1"/>
  <c r="E24" i="2"/>
  <c r="AN24" i="2" a="1"/>
  <c r="AN24" i="2"/>
  <c r="BA24" i="2"/>
  <c r="BB24" i="2"/>
  <c r="BC24" i="2" s="1"/>
  <c r="BD24" i="2" s="1"/>
  <c r="Q24" i="2" a="1"/>
  <c r="AD24" i="2" a="1"/>
  <c r="P24" i="2" a="1"/>
  <c r="AA24" i="2" a="1"/>
  <c r="D24" i="2" a="1"/>
  <c r="G24" i="2" a="1"/>
  <c r="T24" i="2" a="1"/>
  <c r="AC17" i="1"/>
  <c r="AI17" i="1"/>
  <c r="AG17" i="1"/>
  <c r="I17" i="1" a="1"/>
  <c r="T24" i="2" l="1"/>
  <c r="G24" i="2"/>
  <c r="D24" i="2"/>
  <c r="AA24" i="2"/>
  <c r="P24" i="2"/>
  <c r="AD24" i="2"/>
  <c r="Q24" i="2"/>
  <c r="I17" i="1"/>
  <c r="AC24" i="2" a="1"/>
  <c r="S24" i="2" a="1"/>
  <c r="K17" i="1" a="1"/>
  <c r="L17" i="1" a="1"/>
  <c r="AF17" i="1"/>
  <c r="AB17" i="1"/>
  <c r="R24" i="2" l="1"/>
  <c r="AC24" i="2"/>
  <c r="S24" i="2"/>
  <c r="U24" i="2" s="1"/>
  <c r="V24" i="2" s="1"/>
  <c r="AP24" i="2"/>
  <c r="AK24" i="2" s="1"/>
  <c r="O24" i="2"/>
  <c r="AO24" i="2"/>
  <c r="AI24" i="2" s="1"/>
  <c r="L17" i="1"/>
  <c r="K17" i="1"/>
  <c r="BA6" i="2"/>
  <c r="AQ24" i="2" a="1"/>
  <c r="Z24" i="2"/>
  <c r="AV24" i="2" a="1"/>
  <c r="T6" i="2" a="1"/>
  <c r="P6" i="2" a="1"/>
  <c r="L6" i="2" a="1"/>
  <c r="AN6" i="2" a="1"/>
  <c r="F6" i="2" a="1"/>
  <c r="E6" i="2" a="1"/>
  <c r="D6" i="2" a="1"/>
  <c r="Q6" i="2" a="1"/>
  <c r="AD6" i="2" a="1"/>
  <c r="G6" i="2" a="1"/>
  <c r="C6" i="2" a="1"/>
  <c r="AF6" i="2" a="1"/>
  <c r="AR6" i="2" a="1"/>
  <c r="AA6" i="2" a="1"/>
  <c r="AI15" i="1"/>
  <c r="L15" i="1" a="1"/>
  <c r="AF15" i="1"/>
  <c r="AB15" i="1"/>
  <c r="I15" i="1" a="1"/>
  <c r="AC15" i="1"/>
  <c r="AG15" i="1"/>
  <c r="O81" i="89" a="1"/>
  <c r="AV24" i="2" l="1"/>
  <c r="AS24" i="2"/>
  <c r="M24" i="2"/>
  <c r="AL24" i="2"/>
  <c r="AG24" i="2" s="1"/>
  <c r="AT24" i="2"/>
  <c r="AM24" i="2"/>
  <c r="AH24" i="2" s="1"/>
  <c r="X24" i="2"/>
  <c r="Y24" i="2" s="1"/>
  <c r="W24" i="2" s="1"/>
  <c r="AB24" i="2"/>
  <c r="AQ24" i="2"/>
  <c r="AE24" i="2"/>
  <c r="W17" i="1"/>
  <c r="J17" i="1"/>
  <c r="N17" i="1"/>
  <c r="AA6" i="2"/>
  <c r="AR6" i="2"/>
  <c r="AF6" i="2"/>
  <c r="C6" i="2"/>
  <c r="G6" i="2"/>
  <c r="AD6" i="2"/>
  <c r="Q6" i="2"/>
  <c r="D6" i="2"/>
  <c r="E6" i="2"/>
  <c r="F6" i="2"/>
  <c r="AN6" i="2"/>
  <c r="L6" i="2"/>
  <c r="P6" i="2"/>
  <c r="T6" i="2"/>
  <c r="BB6" i="2"/>
  <c r="BC6" i="2" s="1"/>
  <c r="I15" i="1"/>
  <c r="L15" i="1"/>
  <c r="O81" i="89"/>
  <c r="S6" i="2" a="1"/>
  <c r="C81" i="89" a="1"/>
  <c r="P17" i="1" l="1"/>
  <c r="O17" i="1"/>
  <c r="S6" i="2"/>
  <c r="U6" i="2"/>
  <c r="O6" i="2"/>
  <c r="AP6" i="2"/>
  <c r="AO6" i="2"/>
  <c r="R6" i="2"/>
  <c r="J15" i="1"/>
  <c r="N15" i="1"/>
  <c r="C81" i="89"/>
  <c r="AQ6" i="2" a="1"/>
  <c r="AC6" i="2" a="1"/>
  <c r="Z6" i="2"/>
  <c r="T81" i="89" a="1"/>
  <c r="AV6" i="2" a="1"/>
  <c r="AD17" i="1" l="1"/>
  <c r="AV6" i="2"/>
  <c r="AS6" i="2"/>
  <c r="AL6" i="2"/>
  <c r="AT6" i="2"/>
  <c r="AB6" i="2"/>
  <c r="M6" i="2"/>
  <c r="X6" i="2"/>
  <c r="Y6" i="2" s="1"/>
  <c r="AM6" i="2"/>
  <c r="AC6" i="2"/>
  <c r="AE6" i="2" s="1"/>
  <c r="AQ6" i="2"/>
  <c r="T15" i="1"/>
  <c r="T81" i="89"/>
  <c r="V81" i="89" a="1"/>
  <c r="F15" i="1" l="1"/>
  <c r="V81" i="89"/>
  <c r="E81" i="89" a="1"/>
  <c r="E81" i="89" l="1"/>
  <c r="D81" i="89" a="1"/>
  <c r="D81" i="89"/>
  <c r="L81" i="89"/>
  <c r="K81" i="89"/>
  <c r="W81" i="89"/>
  <c r="F81" i="89"/>
  <c r="D82" i="89" a="1"/>
  <c r="D82" i="89"/>
  <c r="V82" i="89" a="1"/>
  <c r="V82" i="89"/>
  <c r="E82" i="89" a="1"/>
  <c r="E82" i="89"/>
  <c r="T82" i="89" a="1"/>
  <c r="T82" i="89"/>
  <c r="O82" i="89" a="1"/>
  <c r="O82" i="89"/>
  <c r="C82" i="89" a="1"/>
  <c r="C82" i="89" l="1"/>
  <c r="W82" i="89" a="1"/>
  <c r="W82" i="89"/>
  <c r="L82" i="89" a="1"/>
  <c r="L82" i="89"/>
  <c r="K82" i="89" a="1"/>
  <c r="K82" i="89"/>
  <c r="AB27" i="89" a="1"/>
  <c r="AB27" i="89"/>
  <c r="AB26" i="89" a="1"/>
  <c r="AB26" i="89"/>
  <c r="AB235" i="89" a="1"/>
  <c r="AB235" i="89"/>
  <c r="AB39" i="89" a="1"/>
  <c r="AB39" i="89"/>
  <c r="AB197" i="89" a="1"/>
  <c r="AB197" i="89"/>
  <c r="AB196" i="89" a="1"/>
  <c r="AB196" i="89"/>
  <c r="AB195" i="89" a="1"/>
  <c r="AB195" i="89"/>
  <c r="AB8" i="89" a="1"/>
  <c r="AB8" i="89"/>
  <c r="AB7" i="89" a="1"/>
  <c r="AB7" i="89"/>
  <c r="AB20" i="89" a="1"/>
  <c r="AB20" i="89"/>
  <c r="AB19" i="89" a="1"/>
  <c r="AB19" i="89"/>
  <c r="AB14" i="89" a="1"/>
  <c r="AB14" i="89"/>
  <c r="AB13" i="89" a="1"/>
  <c r="AB13" i="89"/>
  <c r="AB234" i="89" a="1"/>
  <c r="AB234" i="89"/>
  <c r="AB225" i="89" a="1"/>
  <c r="AB225" i="89"/>
  <c r="AB224" i="89" a="1"/>
  <c r="AB224" i="89"/>
  <c r="AB223" i="89" a="1"/>
  <c r="AB223" i="89"/>
  <c r="AB222" i="89" a="1"/>
  <c r="AB222" i="89"/>
  <c r="AB233" i="89" a="1"/>
  <c r="AB233" i="89"/>
  <c r="AB180" i="89" a="1"/>
  <c r="AB180" i="89"/>
  <c r="AB171" i="89" a="1"/>
  <c r="AB171" i="89"/>
  <c r="AB170" i="89" a="1"/>
  <c r="AB170" i="89"/>
  <c r="AB169" i="89" a="1"/>
  <c r="AB169" i="89"/>
  <c r="AB63" i="89" a="1"/>
  <c r="AB63" i="89"/>
  <c r="AB62" i="89" a="1"/>
  <c r="AB62" i="89"/>
  <c r="AB237" i="89" a="1"/>
  <c r="AB237" i="89"/>
  <c r="AB138" i="89" a="1"/>
  <c r="AB138" i="89"/>
  <c r="AB137" i="89" a="1"/>
  <c r="AB137" i="89"/>
  <c r="AB136" i="89" a="1"/>
  <c r="AB136" i="89"/>
  <c r="AB96" i="89" a="1"/>
  <c r="AB96" i="89"/>
  <c r="AB95" i="89" a="1"/>
  <c r="AB95" i="89"/>
  <c r="AB102" i="89" a="1"/>
  <c r="AB102" i="89"/>
  <c r="AB101" i="89" a="1"/>
  <c r="AB101" i="89"/>
  <c r="AB40" i="89" a="1"/>
  <c r="AB40" i="89"/>
  <c r="AB145" i="89" a="1"/>
  <c r="AB145" i="89"/>
  <c r="AB144" i="89" a="1"/>
  <c r="AB144" i="89"/>
  <c r="AB236" i="89" a="1"/>
  <c r="AB236" i="89"/>
  <c r="AB109" i="89" a="1"/>
  <c r="AB109" i="89"/>
  <c r="AB108" i="89" a="1"/>
  <c r="AB108" i="89"/>
  <c r="AB116" i="89" a="1"/>
  <c r="AB116" i="89"/>
  <c r="AB115" i="89" a="1"/>
  <c r="AB115" i="89"/>
  <c r="AB123" i="89" a="1"/>
  <c r="AB123" i="89"/>
  <c r="AB122" i="89" a="1"/>
  <c r="AB122" i="89"/>
  <c r="AB129" i="89" a="1"/>
  <c r="AB129" i="89"/>
  <c r="AB56" i="89" a="1"/>
  <c r="AB56" i="89"/>
  <c r="AB55" i="89" a="1"/>
  <c r="AB55" i="89"/>
  <c r="AB34" i="89" a="1"/>
  <c r="AB34" i="89"/>
  <c r="AB33" i="89" a="1"/>
  <c r="AB33" i="89"/>
  <c r="AB76" i="89" a="1"/>
  <c r="AB76" i="89"/>
  <c r="AB75" i="89" a="1"/>
  <c r="AB75" i="89"/>
  <c r="AB69" i="89" a="1"/>
  <c r="AB69" i="89"/>
  <c r="AB68" i="89" a="1"/>
  <c r="AB68" i="89"/>
  <c r="AB213" i="89" a="1"/>
  <c r="AB213" i="89"/>
  <c r="AB212" i="89" a="1"/>
  <c r="AB212" i="89"/>
  <c r="AB211" i="89" a="1"/>
  <c r="AB211" i="89"/>
  <c r="AB205" i="89" a="1"/>
  <c r="AB205" i="89"/>
  <c r="AB204" i="89" a="1"/>
  <c r="AB204" i="89"/>
  <c r="AB203" i="89" a="1"/>
  <c r="AB203" i="89"/>
  <c r="AB90" i="89" a="1"/>
  <c r="AB90" i="89"/>
  <c r="AB89" i="89" a="1"/>
  <c r="AB89" i="89"/>
  <c r="AB160" i="89" a="1"/>
  <c r="AB160" i="89"/>
  <c r="AB154" i="89" a="1"/>
  <c r="AB154" i="89"/>
  <c r="AB153" i="89" a="1"/>
  <c r="AB153" i="89"/>
  <c r="AB50" i="89" a="1"/>
  <c r="AB50" i="89"/>
  <c r="AB49" i="89" a="1"/>
  <c r="AB49" i="89"/>
  <c r="AB188" i="89" a="1"/>
  <c r="AB188" i="89"/>
  <c r="AB187" i="89" a="1"/>
  <c r="AB187" i="89"/>
  <c r="AB186" i="89" a="1"/>
  <c r="AB186" i="89"/>
  <c r="S8" i="89" a="1"/>
  <c r="S8" i="89" l="1"/>
  <c r="R8" i="89" a="1"/>
  <c r="S20" i="89" a="1"/>
  <c r="R8" i="89" l="1"/>
  <c r="S20" i="89"/>
  <c r="R20" i="89" a="1"/>
  <c r="S34" i="89"/>
  <c r="R34" i="89" s="1" a="1"/>
  <c r="S40" i="89" a="1"/>
  <c r="R34" i="89" l="1"/>
  <c r="R20" i="89"/>
  <c r="S40" i="89"/>
  <c r="R40" i="89" a="1"/>
  <c r="S50" i="89" a="1"/>
  <c r="R40" i="89" l="1"/>
  <c r="S50" i="89"/>
  <c r="R50" i="89" a="1"/>
  <c r="S56" i="89" a="1"/>
  <c r="R50" i="89" l="1"/>
  <c r="S56" i="89"/>
  <c r="R56" i="89" a="1"/>
  <c r="S63" i="89" a="1"/>
  <c r="R56" i="89" l="1"/>
  <c r="S63" i="89"/>
  <c r="R63" i="89" a="1"/>
  <c r="S90" i="89" a="1"/>
  <c r="R63" i="89" l="1"/>
  <c r="S90" i="89"/>
  <c r="R90" i="89" a="1"/>
  <c r="S102" i="89" a="1"/>
  <c r="R90" i="89" l="1"/>
  <c r="S102" i="89"/>
  <c r="R102" i="89" a="1"/>
  <c r="S108" i="89" a="1"/>
  <c r="R102" i="89" l="1"/>
  <c r="S108" i="89"/>
  <c r="R108" i="89" a="1"/>
  <c r="S109" i="89" a="1"/>
  <c r="R108" i="89" l="1"/>
  <c r="S109" i="89"/>
  <c r="R109" i="89" a="1"/>
  <c r="S116" i="89" a="1"/>
  <c r="R109" i="89" l="1"/>
  <c r="S116" i="89"/>
  <c r="R116" i="89" a="1"/>
  <c r="S123" i="89" a="1"/>
  <c r="R116" i="89" l="1"/>
  <c r="S123" i="89"/>
  <c r="R123" i="89" a="1"/>
  <c r="S129" i="89" a="1"/>
  <c r="R123" i="89" l="1"/>
  <c r="S129" i="89"/>
  <c r="R129" i="89" a="1"/>
  <c r="S138" i="89" a="1"/>
  <c r="R129" i="89" l="1"/>
  <c r="S138" i="89"/>
  <c r="R138" i="89" a="1"/>
  <c r="S145" i="89" a="1"/>
  <c r="R138" i="89" l="1"/>
  <c r="S145" i="89"/>
  <c r="R145" i="89" a="1"/>
  <c r="S154" i="89" a="1"/>
  <c r="R145" i="89" l="1"/>
  <c r="S154" i="89"/>
  <c r="R154" i="89" a="1"/>
  <c r="S160" i="89" a="1"/>
  <c r="R154" i="89" l="1"/>
  <c r="S160" i="89"/>
  <c r="R160" i="89" a="1"/>
  <c r="S188" i="89" a="1"/>
  <c r="R160" i="89" l="1"/>
  <c r="S188" i="89"/>
  <c r="R188" i="89" a="1"/>
  <c r="S197" i="89" a="1"/>
  <c r="R188" i="89" l="1"/>
  <c r="S197" i="89"/>
  <c r="R197" i="89" a="1"/>
  <c r="S213" i="89" a="1"/>
  <c r="R197" i="89" l="1"/>
  <c r="S213" i="89"/>
  <c r="R213" i="89" a="1"/>
  <c r="S225" i="89" a="1"/>
  <c r="R213" i="89" l="1"/>
  <c r="S225" i="89"/>
  <c r="R225" i="89" a="1"/>
  <c r="S233" i="89" a="1"/>
  <c r="R225" i="89" l="1"/>
  <c r="S233" i="89"/>
  <c r="R233" i="89" a="1"/>
  <c r="S234" i="89" a="1"/>
  <c r="R233" i="89" l="1"/>
  <c r="S234" i="89"/>
  <c r="R234" i="89" a="1"/>
  <c r="S235" i="89" a="1"/>
  <c r="R234" i="89" l="1"/>
  <c r="S235" i="89"/>
  <c r="R235" i="89" a="1"/>
  <c r="S236" i="89" a="1"/>
  <c r="R235" i="89" l="1"/>
  <c r="S236" i="89"/>
  <c r="R236" i="89" a="1"/>
  <c r="S237" i="89" a="1"/>
  <c r="R236" i="89" l="1"/>
  <c r="S237" i="89"/>
  <c r="R237" i="89" a="1"/>
  <c r="D69" i="89" a="1"/>
  <c r="R237" i="89" l="1"/>
  <c r="D69" i="89"/>
  <c r="D76" i="89" a="1"/>
  <c r="D76" i="89"/>
  <c r="AA69" i="89" a="1"/>
  <c r="AA69" i="89"/>
  <c r="E76" i="89" a="1"/>
  <c r="E76" i="89"/>
  <c r="V69" i="89" a="1"/>
  <c r="V69" i="89"/>
  <c r="C76" i="89" a="1"/>
  <c r="C76" i="89"/>
  <c r="T69" i="89" a="1"/>
  <c r="T69" i="89"/>
  <c r="T76" i="89" a="1"/>
  <c r="T76" i="89"/>
  <c r="AB82" i="89" a="1"/>
  <c r="AA76" i="89" a="1"/>
  <c r="AB82" i="89" l="1"/>
  <c r="AA76" i="89"/>
  <c r="V76" i="89" a="1"/>
  <c r="V76" i="89"/>
  <c r="O69" i="89" a="1"/>
  <c r="O69" i="89"/>
  <c r="Z69" i="89" a="1"/>
  <c r="O76" i="89" a="1"/>
  <c r="Z69" i="89" l="1"/>
  <c r="O76" i="89"/>
  <c r="E69" i="89" a="1"/>
  <c r="E69" i="89"/>
  <c r="C69" i="89" a="1"/>
  <c r="C69" i="89"/>
  <c r="V96" i="89" a="1"/>
  <c r="V96" i="89"/>
  <c r="D160" i="89" a="1"/>
  <c r="D160" i="89"/>
  <c r="E102" i="89" a="1"/>
  <c r="E102" i="89"/>
  <c r="T154" i="89" a="1"/>
  <c r="T154" i="89"/>
  <c r="T153" i="89" a="1"/>
  <c r="T153" i="89"/>
  <c r="T129" i="89" a="1"/>
  <c r="T129" i="89"/>
  <c r="C129" i="89" a="1"/>
  <c r="C129" i="89"/>
  <c r="V115" i="89" a="1"/>
  <c r="V115" i="89"/>
  <c r="E108" i="89" a="1"/>
  <c r="E108" i="89"/>
  <c r="C115" i="89" a="1"/>
  <c r="C115" i="89"/>
  <c r="V154" i="89" a="1"/>
  <c r="V154" i="89"/>
  <c r="V153" i="89" a="1"/>
  <c r="V153" i="89"/>
  <c r="Z116" i="89" a="1"/>
  <c r="Z116" i="89"/>
  <c r="AA116" i="89" a="1"/>
  <c r="AA116" i="89"/>
  <c r="E137" i="89" a="1"/>
  <c r="E137" i="89"/>
  <c r="C154" i="89" a="1"/>
  <c r="C154" i="89"/>
  <c r="C153" i="89" a="1"/>
  <c r="C153" i="89"/>
  <c r="V102" i="89" a="1"/>
  <c r="V102" i="89"/>
  <c r="Z96" i="89" a="1"/>
  <c r="Z96" i="89"/>
  <c r="AA96" i="89" a="1"/>
  <c r="AA96" i="89"/>
  <c r="C137" i="89" a="1"/>
  <c r="C137" i="89"/>
  <c r="E160" i="89" a="1"/>
  <c r="E160" i="89"/>
  <c r="D102" i="89" a="1"/>
  <c r="D102" i="89"/>
  <c r="T160" i="89" a="1"/>
  <c r="T160" i="89"/>
  <c r="D116" i="89" a="1"/>
  <c r="D116" i="89"/>
  <c r="D115" i="89" a="1"/>
  <c r="D115" i="89"/>
  <c r="C160" i="89" a="1"/>
  <c r="C160" i="89"/>
  <c r="E122" i="89" a="1"/>
  <c r="E122" i="89"/>
  <c r="V137" i="89" a="1"/>
  <c r="V137" i="89"/>
  <c r="T102" i="89" a="1"/>
  <c r="T102" i="89"/>
  <c r="E116" i="89" a="1"/>
  <c r="E116" i="89"/>
  <c r="E96" i="89" a="1"/>
  <c r="E96" i="89"/>
  <c r="Z137" i="89" a="1"/>
  <c r="Z137" i="89"/>
  <c r="AA137" i="89" a="1"/>
  <c r="AA137" i="89"/>
  <c r="E129" i="89" a="1"/>
  <c r="E129" i="89"/>
  <c r="T108" i="89" a="1"/>
  <c r="T108" i="89"/>
  <c r="Z154" i="89" a="1"/>
  <c r="Z154" i="89"/>
  <c r="Z153" i="89" a="1"/>
  <c r="Z153" i="89"/>
  <c r="AA153" i="89" a="1"/>
  <c r="AA153" i="89"/>
  <c r="C116" i="89" a="1"/>
  <c r="C116" i="89"/>
  <c r="T96" i="89" a="1"/>
  <c r="T96" i="89"/>
  <c r="D108" i="89" a="1"/>
  <c r="D108" i="89"/>
  <c r="Z129" i="89" a="1"/>
  <c r="Z129" i="89"/>
  <c r="AA129" i="89" a="1"/>
  <c r="AA129" i="89"/>
  <c r="T122" i="89" a="1"/>
  <c r="T122" i="89"/>
  <c r="D137" i="89" a="1"/>
  <c r="D137" i="89"/>
  <c r="E115" i="89" a="1"/>
  <c r="E115" i="89"/>
  <c r="V116" i="89" a="1"/>
  <c r="V116" i="89"/>
  <c r="V129" i="89" a="1"/>
  <c r="V129" i="89"/>
  <c r="V108" i="89" a="1"/>
  <c r="V108" i="89"/>
  <c r="C102" i="89" a="1"/>
  <c r="C102" i="89"/>
  <c r="C96" i="89" a="1"/>
  <c r="C96" i="89"/>
  <c r="Z115" i="89" a="1"/>
  <c r="Z115" i="89"/>
  <c r="AA115" i="89" a="1"/>
  <c r="AA115" i="89"/>
  <c r="Z122" i="89" a="1"/>
  <c r="Z122" i="89"/>
  <c r="AA122" i="89" a="1"/>
  <c r="AA122" i="89"/>
  <c r="C108" i="89" a="1"/>
  <c r="C108" i="89"/>
  <c r="V122" i="89" a="1"/>
  <c r="V122" i="89"/>
  <c r="E154" i="89" a="1"/>
  <c r="E154" i="89"/>
  <c r="E153" i="89" a="1"/>
  <c r="E153" i="89"/>
  <c r="V160" i="89" a="1"/>
  <c r="V160" i="89"/>
  <c r="T115" i="89" a="1"/>
  <c r="T115" i="89"/>
  <c r="D96" i="89" a="1"/>
  <c r="D96" i="89"/>
  <c r="T137" i="89" a="1"/>
  <c r="T137" i="89"/>
  <c r="C122" i="89" a="1"/>
  <c r="C122" i="89"/>
  <c r="D154" i="89" a="1"/>
  <c r="D154" i="89"/>
  <c r="D153" i="89" a="1"/>
  <c r="D153" i="89"/>
  <c r="AA102" i="89" a="1"/>
  <c r="AA102" i="89"/>
  <c r="D129" i="89" a="1"/>
  <c r="D129" i="89"/>
  <c r="AA160" i="89" a="1"/>
  <c r="AA160" i="89"/>
  <c r="D122" i="89" a="1"/>
  <c r="D122" i="89"/>
  <c r="T116" i="89" a="1"/>
  <c r="T116" i="89"/>
  <c r="Z108" i="89" a="1"/>
  <c r="Z108" i="89"/>
  <c r="AA108" i="89" a="1"/>
  <c r="AA108" i="89"/>
  <c r="F19" i="2" a="1"/>
  <c r="F19" i="2"/>
  <c r="AR4" i="2" a="1"/>
  <c r="AR4" i="2"/>
  <c r="C14" i="2" a="1"/>
  <c r="C14" i="2"/>
  <c r="AD18" i="2" a="1"/>
  <c r="AD18" i="2"/>
  <c r="AD17" i="2" a="1"/>
  <c r="AD17" i="2"/>
  <c r="D13" i="2" a="1"/>
  <c r="D13" i="2"/>
  <c r="AQ13" i="2" a="1"/>
  <c r="AC13" i="2" a="1"/>
  <c r="F13" i="2" a="1"/>
  <c r="AC13" i="2" l="1"/>
  <c r="AQ13" i="2"/>
  <c r="F13" i="2"/>
  <c r="AR19" i="2" a="1"/>
  <c r="AR19" i="2"/>
  <c r="AD13" i="2" a="1"/>
  <c r="AD13" i="2"/>
  <c r="E12" i="2" a="1"/>
  <c r="E12" i="2"/>
  <c r="F8" i="2" a="1"/>
  <c r="F8" i="2"/>
  <c r="C5" i="2" a="1"/>
  <c r="C5" i="2"/>
  <c r="AD20" i="2" a="1"/>
  <c r="AD20" i="2"/>
  <c r="F20" i="2" a="1"/>
  <c r="F20" i="2"/>
  <c r="D4" i="2" a="1"/>
  <c r="D4" i="2"/>
  <c r="AC4" i="2" a="1"/>
  <c r="AQ4" i="2" a="1"/>
  <c r="AD8" i="2" a="1"/>
  <c r="AQ4" i="2" l="1"/>
  <c r="AC4" i="2"/>
  <c r="AD8" i="2"/>
  <c r="AA12" i="2" a="1"/>
  <c r="AA12" i="2"/>
  <c r="AD14" i="2" a="1"/>
  <c r="AD14" i="2"/>
  <c r="C13" i="2" a="1"/>
  <c r="C13" i="2"/>
  <c r="F14" i="2" a="1"/>
  <c r="F14" i="2"/>
  <c r="D19" i="2" a="1"/>
  <c r="D19" i="2"/>
  <c r="AC19" i="2" a="1"/>
  <c r="AQ19" i="2" a="1"/>
  <c r="F9" i="2" a="1"/>
  <c r="AQ19" i="2" l="1"/>
  <c r="AC19" i="2"/>
  <c r="F9" i="2"/>
  <c r="T4" i="2" a="1"/>
  <c r="T4" i="2"/>
  <c r="AA5" i="2" a="1"/>
  <c r="AA5" i="2"/>
  <c r="AA4" i="2" a="1"/>
  <c r="AA4" i="2"/>
  <c r="E13" i="2" a="1"/>
  <c r="E13" i="2"/>
  <c r="C12" i="2" a="1"/>
  <c r="C12" i="2"/>
  <c r="T20" i="2" a="1"/>
  <c r="T20" i="2"/>
  <c r="D12" i="2" a="1"/>
  <c r="D12" i="2"/>
  <c r="AC12" i="2" a="1"/>
  <c r="AQ12" i="2" a="1"/>
  <c r="E5" i="2" a="1"/>
  <c r="AQ12" i="2" l="1"/>
  <c r="AC12" i="2"/>
  <c r="E5" i="2"/>
  <c r="C4" i="2" a="1"/>
  <c r="C4" i="2"/>
  <c r="E19" i="2" a="1"/>
  <c r="E19" i="2"/>
  <c r="F5" i="2" a="1"/>
  <c r="F5" i="2"/>
  <c r="E14" i="2" a="1"/>
  <c r="E14" i="2"/>
  <c r="F12" i="2" a="1"/>
  <c r="F12" i="2"/>
  <c r="AA18" i="2" a="1"/>
  <c r="AA18" i="2"/>
  <c r="AA17" i="2" a="1"/>
  <c r="AA17" i="2"/>
  <c r="C18" i="2" a="1"/>
  <c r="C18" i="2"/>
  <c r="C17" i="2" a="1"/>
  <c r="C17" i="2"/>
  <c r="T8" i="2" a="1"/>
  <c r="T8" i="2"/>
  <c r="D18" i="2" a="1"/>
  <c r="D18" i="2"/>
  <c r="AC18" i="2" a="1"/>
  <c r="AQ18" i="2" a="1"/>
  <c r="D17" i="2" a="1"/>
  <c r="AQ18" i="2" l="1"/>
  <c r="AC18" i="2"/>
  <c r="D17" i="2"/>
  <c r="AC17" i="2" a="1"/>
  <c r="AQ17" i="2" a="1"/>
  <c r="E18" i="2" a="1"/>
  <c r="AQ17" i="2" l="1"/>
  <c r="AC17" i="2"/>
  <c r="E18" i="2"/>
  <c r="E17" i="2" a="1"/>
  <c r="E17" i="2"/>
  <c r="E4" i="2" a="1"/>
  <c r="E4" i="2"/>
  <c r="D8" i="2" a="1"/>
  <c r="D8" i="2"/>
  <c r="AQ8" i="2" a="1"/>
  <c r="AC8" i="2" a="1"/>
  <c r="C9" i="2" a="1"/>
  <c r="AC8" i="2" l="1"/>
  <c r="AQ8" i="2"/>
  <c r="C9" i="2"/>
  <c r="F4" i="2" a="1"/>
  <c r="F4" i="2"/>
  <c r="AR9" i="2" a="1"/>
  <c r="AR9" i="2"/>
  <c r="AD9" i="2" a="1"/>
  <c r="AD9" i="2"/>
  <c r="D14" i="2" a="1"/>
  <c r="D14" i="2"/>
  <c r="AQ14" i="2" a="1"/>
  <c r="AC14" i="2" a="1"/>
  <c r="T14" i="2" a="1"/>
  <c r="AC14" i="2" l="1"/>
  <c r="AQ14" i="2"/>
  <c r="T14" i="2"/>
  <c r="T5" i="2" a="1"/>
  <c r="T5" i="2"/>
  <c r="AA14" i="2" a="1"/>
  <c r="AA14" i="2"/>
  <c r="AR20" i="2" a="1"/>
  <c r="AR20" i="2"/>
  <c r="F18" i="2" a="1"/>
  <c r="F18" i="2"/>
  <c r="F17" i="2" a="1"/>
  <c r="F17" i="2"/>
  <c r="C20" i="2" a="1"/>
  <c r="C20" i="2"/>
  <c r="AR12" i="2" a="1"/>
  <c r="AR12" i="2"/>
  <c r="D20" i="2" a="1"/>
  <c r="D20" i="2"/>
  <c r="AC20" i="2" a="1"/>
  <c r="AQ20" i="2" a="1"/>
  <c r="AD5" i="2" a="1"/>
  <c r="AQ20" i="2" l="1"/>
  <c r="AC20" i="2"/>
  <c r="AD5" i="2"/>
  <c r="AR13" i="2" a="1"/>
  <c r="AR13" i="2"/>
  <c r="E8" i="2" a="1"/>
  <c r="E8" i="2"/>
  <c r="C8" i="2" a="1"/>
  <c r="C8" i="2"/>
  <c r="AD12" i="2" a="1"/>
  <c r="AD12" i="2"/>
  <c r="T12" i="2" a="1"/>
  <c r="T12" i="2"/>
  <c r="AA8" i="2" a="1"/>
  <c r="AA8" i="2"/>
  <c r="T19" i="2" a="1"/>
  <c r="T19" i="2"/>
  <c r="E20" i="2" a="1"/>
  <c r="E20" i="2"/>
  <c r="AR5" i="2" a="1"/>
  <c r="AR5" i="2"/>
  <c r="AA9" i="2" a="1"/>
  <c r="AA9" i="2"/>
  <c r="T18" i="2" a="1"/>
  <c r="T18" i="2"/>
  <c r="T17" i="2" a="1"/>
  <c r="T17" i="2"/>
  <c r="E9" i="2" a="1"/>
  <c r="E9" i="2"/>
  <c r="AA20" i="2" a="1"/>
  <c r="AA20" i="2"/>
  <c r="D5" i="2" a="1"/>
  <c r="D5" i="2"/>
  <c r="Z5" i="2"/>
  <c r="AV5" i="2" s="1" a="1"/>
  <c r="AC5" i="2" a="1"/>
  <c r="AQ5" i="2" a="1"/>
  <c r="AR8" i="2" a="1"/>
  <c r="AQ5" i="2" l="1"/>
  <c r="AC5" i="2"/>
  <c r="AV5" i="2"/>
  <c r="AR8" i="2"/>
  <c r="AA19" i="2" a="1"/>
  <c r="AA19" i="2"/>
  <c r="C19" i="2" a="1"/>
  <c r="C19" i="2"/>
  <c r="T9" i="2" a="1"/>
  <c r="T9" i="2"/>
  <c r="AR14" i="2" a="1"/>
  <c r="AR14" i="2"/>
  <c r="AD4" i="2" a="1"/>
  <c r="AD4" i="2"/>
  <c r="AA13" i="2" a="1"/>
  <c r="AA13" i="2"/>
  <c r="T13" i="2" a="1"/>
  <c r="T13" i="2"/>
  <c r="AD19" i="2" a="1"/>
  <c r="AD19" i="2"/>
  <c r="D9" i="2" a="1"/>
  <c r="D9" i="2"/>
  <c r="Z9" i="2"/>
  <c r="AV9" i="2" s="1" a="1"/>
  <c r="AQ9" i="2" a="1"/>
  <c r="AC9" i="2" a="1"/>
  <c r="AR18" i="2" a="1"/>
  <c r="AC9" i="2" l="1"/>
  <c r="AQ9" i="2"/>
  <c r="AV9" i="2"/>
  <c r="AR18" i="2"/>
  <c r="AR17" i="2" a="1"/>
  <c r="AR17" i="2"/>
  <c r="T224" i="89" a="1"/>
  <c r="T224" i="89"/>
  <c r="AA212" i="89" a="1"/>
  <c r="AA212" i="89"/>
  <c r="C50" i="89" a="1"/>
  <c r="C50" i="89"/>
  <c r="V204" i="89" a="1"/>
  <c r="V204" i="89"/>
  <c r="V169" i="89" a="1"/>
  <c r="V169" i="89"/>
  <c r="T233" i="89" a="1"/>
  <c r="T233" i="89"/>
  <c r="T204" i="89" a="1"/>
  <c r="T204" i="89"/>
  <c r="C34" i="89" a="1"/>
  <c r="C34" i="89"/>
  <c r="AA56" i="89" a="1"/>
  <c r="AA56" i="89"/>
  <c r="C40" i="89" a="1"/>
  <c r="C40" i="89"/>
  <c r="T20" i="89" a="1"/>
  <c r="T20" i="89"/>
  <c r="O33" i="89" a="1"/>
  <c r="O33" i="89"/>
  <c r="O56" i="89" a="1"/>
  <c r="O56" i="89"/>
  <c r="Z56" i="89" a="1"/>
  <c r="V33" i="89" a="1"/>
  <c r="Z56" i="89" l="1"/>
  <c r="V33" i="89"/>
  <c r="V224" i="89" a="1"/>
  <c r="V224" i="89"/>
  <c r="V237" i="89" a="1"/>
  <c r="V237" i="89"/>
  <c r="V68" i="89" a="1"/>
  <c r="V68" i="89"/>
  <c r="O212" i="89" a="1"/>
  <c r="O212" i="89"/>
  <c r="Z212" i="89" a="1"/>
  <c r="O171" i="89" a="1"/>
  <c r="Z212" i="89" l="1"/>
  <c r="O171" i="89"/>
  <c r="V203" i="89" a="1"/>
  <c r="V203" i="89"/>
  <c r="V171" i="89" a="1"/>
  <c r="V171" i="89"/>
  <c r="T222" i="89" a="1"/>
  <c r="T222" i="89"/>
  <c r="O222" i="89" a="1"/>
  <c r="O222" i="89"/>
  <c r="AB81" i="89" a="1"/>
  <c r="AA50" i="89" a="1"/>
  <c r="AB81" i="89" l="1"/>
  <c r="AA50" i="89"/>
  <c r="AA204" i="89" a="1"/>
  <c r="AA204" i="89"/>
  <c r="C203" i="89" a="1"/>
  <c r="C203" i="89"/>
  <c r="T234" i="89" a="1"/>
  <c r="T234" i="89"/>
  <c r="C187" i="89" a="1"/>
  <c r="C187" i="89"/>
  <c r="C68" i="89" a="1"/>
  <c r="C68" i="89"/>
  <c r="C169" i="89" a="1"/>
  <c r="C169" i="89"/>
  <c r="T40" i="89" a="1"/>
  <c r="T40" i="89"/>
  <c r="V40" i="89" a="1"/>
  <c r="V40" i="89"/>
  <c r="V222" i="89" a="1"/>
  <c r="V222" i="89"/>
  <c r="C212" i="89" a="1"/>
  <c r="C212" i="89"/>
  <c r="O203" i="89" a="1"/>
  <c r="O203" i="89"/>
  <c r="C56" i="89" a="1"/>
  <c r="C56" i="89"/>
  <c r="V20" i="89" a="1"/>
  <c r="V20" i="89"/>
  <c r="Z171" i="89" a="1"/>
  <c r="Z171" i="89"/>
  <c r="C188" i="89" a="1"/>
  <c r="C188" i="89"/>
  <c r="C20" i="89" a="1"/>
  <c r="C20" i="89"/>
  <c r="T34" i="89" a="1"/>
  <c r="T34" i="89"/>
  <c r="O234" i="89" a="1"/>
  <c r="O234" i="89"/>
  <c r="Z234" i="89" a="1"/>
  <c r="O20" i="89" a="1"/>
  <c r="Z234" i="89" l="1"/>
  <c r="O20" i="89"/>
  <c r="C233" i="89" a="1"/>
  <c r="C233" i="89"/>
  <c r="T68" i="89" a="1"/>
  <c r="T68" i="89"/>
  <c r="T33" i="89" a="1"/>
  <c r="T33" i="89"/>
  <c r="C204" i="89" a="1"/>
  <c r="C204" i="89"/>
  <c r="T237" i="89" a="1"/>
  <c r="T237" i="89"/>
  <c r="O50" i="89" a="1"/>
  <c r="O50" i="89"/>
  <c r="Z50" i="89" a="1"/>
  <c r="T203" i="89" a="1"/>
  <c r="Z50" i="89" l="1"/>
  <c r="T203" i="89"/>
  <c r="O233" i="89" a="1"/>
  <c r="O233" i="89"/>
  <c r="V233" i="89" a="1"/>
  <c r="V233" i="89"/>
  <c r="C224" i="89" a="1"/>
  <c r="C224" i="89"/>
  <c r="V50" i="89" a="1"/>
  <c r="V50" i="89"/>
  <c r="T188" i="89" a="1"/>
  <c r="T188" i="89"/>
  <c r="V234" i="89" a="1"/>
  <c r="V234" i="89"/>
  <c r="O40" i="89" a="1"/>
  <c r="O40" i="89"/>
  <c r="Z40" i="89" a="1"/>
  <c r="O68" i="89" a="1"/>
  <c r="Z40" i="89" l="1"/>
  <c r="O68" i="89"/>
  <c r="C33" i="89" a="1"/>
  <c r="C33" i="89"/>
  <c r="Z33" i="89" a="1"/>
  <c r="Z33" i="89"/>
  <c r="T187" i="89" a="1"/>
  <c r="T187" i="89"/>
  <c r="Z222" i="89" a="1"/>
  <c r="Z222" i="89"/>
  <c r="Z233" i="89" a="1"/>
  <c r="Z233" i="89"/>
  <c r="Z203" i="89" a="1"/>
  <c r="Z203" i="89"/>
  <c r="AA203" i="89" a="1"/>
  <c r="AA203" i="89"/>
  <c r="T50" i="89" a="1"/>
  <c r="T50" i="89"/>
  <c r="O187" i="89" a="1"/>
  <c r="O187" i="89"/>
  <c r="Z187" i="89" a="1"/>
  <c r="T56" i="89" a="1"/>
  <c r="Z187" i="89" l="1"/>
  <c r="T56" i="89"/>
  <c r="O169" i="89" a="1"/>
  <c r="O169" i="89"/>
  <c r="Z169" i="89" a="1"/>
  <c r="V34" i="89" a="1"/>
  <c r="Z169" i="89" l="1"/>
  <c r="V34" i="89"/>
  <c r="C171" i="89" a="1"/>
  <c r="C171" i="89"/>
  <c r="O34" i="89" a="1"/>
  <c r="O34" i="89"/>
  <c r="Z34" i="89" a="1"/>
  <c r="Z34" i="89"/>
  <c r="O204" i="89" a="1"/>
  <c r="O204" i="89"/>
  <c r="Z204" i="89" a="1"/>
  <c r="C237" i="89" a="1"/>
  <c r="Z204" i="89" l="1"/>
  <c r="C237" i="89"/>
  <c r="C222" i="89" a="1"/>
  <c r="C222" i="89"/>
  <c r="T171" i="89" a="1"/>
  <c r="T171" i="89"/>
  <c r="V212" i="89" a="1"/>
  <c r="V212" i="89"/>
  <c r="Z20" i="89" a="1"/>
  <c r="Z20" i="89"/>
  <c r="O188" i="89" a="1"/>
  <c r="O188" i="89"/>
  <c r="Z188" i="89" a="1"/>
  <c r="V187" i="89" a="1"/>
  <c r="Z188" i="89" l="1"/>
  <c r="V187" i="89"/>
  <c r="O237" i="89" a="1"/>
  <c r="O237" i="89"/>
  <c r="V188" i="89" a="1"/>
  <c r="V188" i="89"/>
  <c r="Z237" i="89" a="1"/>
  <c r="Z237" i="89"/>
  <c r="T212" i="89" a="1"/>
  <c r="T212" i="89"/>
  <c r="O224" i="89" a="1"/>
  <c r="O224" i="89"/>
  <c r="Z224" i="89" a="1"/>
  <c r="Z68" i="89" a="1"/>
  <c r="Z224" i="89" l="1"/>
  <c r="Z68" i="89"/>
  <c r="AA68" i="89" a="1"/>
  <c r="AA68" i="89"/>
  <c r="C234" i="89" a="1"/>
  <c r="C234" i="89"/>
  <c r="V56" i="89" a="1"/>
  <c r="V56" i="89"/>
  <c r="T169" i="89" a="1"/>
  <c r="T169" i="89"/>
  <c r="X13" i="338" a="1"/>
  <c r="X13" i="338"/>
  <c r="X35" i="338" a="1"/>
  <c r="X35" i="338"/>
  <c r="P13" i="338" a="1"/>
  <c r="P13" i="338"/>
  <c r="T54" i="338" a="1"/>
  <c r="T54" i="338"/>
  <c r="T37" i="338" a="1"/>
  <c r="T37" i="338"/>
  <c r="X17" i="338" a="1"/>
  <c r="X17" i="338"/>
  <c r="P35" i="338" a="1"/>
  <c r="P35" i="338"/>
  <c r="S53" i="338" a="1"/>
  <c r="S53" i="338"/>
  <c r="P54" i="338" a="1"/>
  <c r="P54" i="338"/>
  <c r="S54" i="338" a="1"/>
  <c r="S54" i="338"/>
  <c r="P51" i="338" a="1"/>
  <c r="P51" i="338"/>
  <c r="T40" i="338" a="1"/>
  <c r="T40" i="338"/>
  <c r="T35" i="338" a="1"/>
  <c r="T35" i="338"/>
  <c r="X38" i="338" a="1"/>
  <c r="X38" i="338"/>
  <c r="X16" i="338" a="1"/>
  <c r="X16" i="338"/>
  <c r="T13" i="338" a="1"/>
  <c r="T13" i="338"/>
  <c r="P38" i="338" a="1"/>
  <c r="P38" i="338"/>
  <c r="P16" i="338" a="1"/>
  <c r="P16" i="338"/>
  <c r="P40" i="338" a="1"/>
  <c r="P40" i="338"/>
  <c r="T53" i="338" a="1"/>
  <c r="T53" i="338"/>
  <c r="S17" i="338" a="1"/>
  <c r="S17" i="338"/>
  <c r="T51" i="338" a="1"/>
  <c r="T51" i="338"/>
  <c r="T17" i="338" a="1"/>
  <c r="T17" i="338"/>
  <c r="X53" i="338" a="1"/>
  <c r="X53" i="338"/>
  <c r="S10" i="338" a="1"/>
  <c r="S10" i="338"/>
  <c r="S51" i="338" a="1"/>
  <c r="S51" i="338"/>
  <c r="P10" i="338" a="1"/>
  <c r="P10" i="338"/>
  <c r="S40" i="338" a="1"/>
  <c r="S40" i="338"/>
  <c r="T38" i="338" a="1"/>
  <c r="T38" i="338"/>
  <c r="T16" i="338" a="1"/>
  <c r="T16" i="338"/>
  <c r="X54" i="338" a="1"/>
  <c r="X54" i="338"/>
  <c r="S13" i="338" a="1"/>
  <c r="S13" i="338"/>
  <c r="T10" i="338" a="1"/>
  <c r="T10" i="338"/>
  <c r="S35" i="338" a="1"/>
  <c r="S35" i="338"/>
  <c r="P37" i="338" a="1"/>
  <c r="P37" i="338"/>
  <c r="P17" i="338" a="1"/>
  <c r="P17" i="338"/>
  <c r="X37" i="338" a="1"/>
  <c r="X37" i="338"/>
  <c r="X40" i="338" a="1"/>
  <c r="X40" i="338"/>
  <c r="X10" i="338" a="1"/>
  <c r="X10" i="338"/>
  <c r="S38" i="338" a="1"/>
  <c r="S38" i="338"/>
  <c r="S16" i="338" a="1"/>
  <c r="S16" i="338"/>
  <c r="X51" i="338" a="1"/>
  <c r="X51" i="338"/>
  <c r="P53" i="338" a="1"/>
  <c r="P53" i="338"/>
  <c r="S37" i="338" a="1"/>
  <c r="S37" i="338"/>
  <c r="E204" i="89" a="1"/>
  <c r="E204" i="89"/>
  <c r="D196" i="89" a="1"/>
  <c r="D196" i="89"/>
  <c r="E224" i="89" a="1"/>
  <c r="E224" i="89"/>
  <c r="E50" i="89" a="1"/>
  <c r="E50" i="89"/>
  <c r="D26" i="89" a="1"/>
  <c r="D26" i="89"/>
  <c r="E68" i="89"/>
  <c r="E55" i="89" a="1"/>
  <c r="E55" i="89"/>
  <c r="E195" i="89" a="1"/>
  <c r="E195" i="89"/>
  <c r="D195" i="89" a="1"/>
  <c r="D195" i="89"/>
  <c r="E26" i="89" a="1"/>
  <c r="E26" i="89"/>
  <c r="E196" i="89" a="1"/>
  <c r="E196" i="89"/>
  <c r="E49" i="89" a="1"/>
  <c r="E49" i="89"/>
  <c r="D204" i="89" a="1"/>
  <c r="D204" i="89"/>
  <c r="D224" i="89" a="1"/>
  <c r="D224" i="89"/>
  <c r="E225" i="89" a="1"/>
  <c r="E225" i="89"/>
  <c r="D49" i="89" a="1"/>
  <c r="D49" i="89"/>
  <c r="D225" i="89" a="1"/>
  <c r="D225" i="89"/>
  <c r="D68" i="89"/>
  <c r="D50" i="89" a="1"/>
  <c r="D50" i="89"/>
  <c r="D55" i="89" a="1"/>
  <c r="D55" i="89"/>
  <c r="AA205" i="89" a="1"/>
  <c r="AA205" i="89"/>
  <c r="V205" i="89" a="1"/>
  <c r="V205" i="89"/>
  <c r="O55" i="89" a="1"/>
  <c r="O55" i="89"/>
  <c r="T205" i="89" a="1"/>
  <c r="T205" i="89"/>
  <c r="C180" i="89" a="1"/>
  <c r="C180" i="89"/>
  <c r="V180" i="89" a="1"/>
  <c r="V180" i="89"/>
  <c r="O235" i="89" a="1"/>
  <c r="O235" i="89"/>
  <c r="V26" i="89" a="1"/>
  <c r="V26" i="89"/>
  <c r="C26" i="89" a="1"/>
  <c r="C26" i="89"/>
  <c r="C55" i="89" a="1"/>
  <c r="C55" i="89"/>
  <c r="T180" i="89" a="1"/>
  <c r="T180" i="89"/>
  <c r="Z235" i="89" a="1"/>
  <c r="Z235" i="89"/>
  <c r="O225" i="89" a="1"/>
  <c r="O225" i="89"/>
  <c r="T55" i="89" a="1"/>
  <c r="T55" i="89"/>
  <c r="O205" i="89" a="1"/>
  <c r="O205" i="89"/>
  <c r="Z205" i="89" a="1"/>
  <c r="V235" i="89" a="1"/>
  <c r="Z205" i="89" l="1"/>
  <c r="V235" i="89"/>
  <c r="O180" i="89" a="1"/>
  <c r="O180" i="89"/>
  <c r="C225" i="89" a="1"/>
  <c r="C225" i="89"/>
  <c r="V225" i="89" a="1"/>
  <c r="V225" i="89"/>
  <c r="O26" i="89" a="1"/>
  <c r="O26" i="89"/>
  <c r="Z225" i="89" a="1"/>
  <c r="Z225" i="89"/>
  <c r="Z26" i="89" a="1"/>
  <c r="Z26" i="89"/>
  <c r="T225" i="89" a="1"/>
  <c r="T225" i="89"/>
  <c r="C205" i="89" a="1"/>
  <c r="C205" i="89"/>
  <c r="V55" i="89" a="1"/>
  <c r="V55" i="89"/>
  <c r="Z180" i="89" a="1"/>
  <c r="Z180" i="89"/>
  <c r="T26" i="89" a="1"/>
  <c r="T26" i="89"/>
  <c r="T235" i="89" a="1"/>
  <c r="T235" i="89"/>
  <c r="Z55" i="89" a="1"/>
  <c r="Z55" i="89"/>
  <c r="AA55" i="89" a="1"/>
  <c r="AA55" i="89"/>
  <c r="C235" i="89" a="1"/>
  <c r="C235" i="89"/>
  <c r="D223" i="89" a="1"/>
  <c r="D223" i="89"/>
  <c r="E40" i="89" a="1"/>
  <c r="E40" i="89"/>
  <c r="E33" i="89" a="1"/>
  <c r="E33" i="89"/>
  <c r="E62" i="89" a="1"/>
  <c r="E62" i="89"/>
  <c r="D63" i="89" a="1"/>
  <c r="D63" i="89"/>
  <c r="D20" i="89" a="1"/>
  <c r="D20" i="89"/>
  <c r="E8" i="89" a="1"/>
  <c r="E8" i="89"/>
  <c r="D75" i="89" a="1"/>
  <c r="D75" i="89"/>
  <c r="E75" i="89" a="1"/>
  <c r="E75" i="89"/>
  <c r="E27" i="89" a="1"/>
  <c r="E27" i="89"/>
  <c r="AG47" i="1"/>
  <c r="D8" i="89" a="1"/>
  <c r="D8" i="89"/>
  <c r="AG30" i="1"/>
  <c r="D33" i="89" a="1"/>
  <c r="D33" i="89"/>
  <c r="AG22" i="1"/>
  <c r="AG21" i="1"/>
  <c r="D27" i="89" a="1"/>
  <c r="D27" i="89"/>
  <c r="AG13" i="1"/>
  <c r="E20" i="89" a="1"/>
  <c r="E20" i="89"/>
  <c r="AG42" i="1"/>
  <c r="AG44" i="1"/>
  <c r="D40" i="89" a="1"/>
  <c r="D40" i="89"/>
  <c r="AG46" i="1"/>
  <c r="E63" i="89" a="1"/>
  <c r="E63" i="89"/>
  <c r="AG34" i="1"/>
  <c r="AG33" i="1"/>
  <c r="D62" i="89" a="1"/>
  <c r="D62" i="89"/>
  <c r="AG26" i="1"/>
  <c r="AG20" i="1"/>
  <c r="E223" i="89" a="1"/>
  <c r="E223" i="89"/>
  <c r="AG49" i="1"/>
  <c r="K9" i="1" a="1"/>
  <c r="K9" i="1"/>
  <c r="E8" i="1" a="1"/>
  <c r="E8" i="1"/>
  <c r="E4" i="1" a="1"/>
  <c r="E4" i="1"/>
  <c r="AK13" i="338" a="1"/>
  <c r="AK13" i="338"/>
  <c r="AG54" i="338"/>
  <c r="F16" i="446" a="1"/>
  <c r="F16" i="446"/>
  <c r="AI54" i="338" a="1"/>
  <c r="AI54" i="338"/>
  <c r="F17" i="446" a="1"/>
  <c r="F17" i="446"/>
  <c r="AI13" i="338" a="1"/>
  <c r="AI13" i="338"/>
  <c r="AG13" i="338"/>
  <c r="AK54" i="338" a="1"/>
  <c r="AK54" i="338"/>
  <c r="G16" i="446" a="1"/>
  <c r="G16" i="446"/>
  <c r="G17" i="446" a="1"/>
  <c r="G17" i="446"/>
  <c r="AA23" i="2" a="1"/>
  <c r="AA23" i="2"/>
  <c r="T197" i="89" a="1"/>
  <c r="T197" i="89"/>
  <c r="AA15" i="2" a="1"/>
  <c r="AA15" i="2"/>
  <c r="T62" i="89" a="1"/>
  <c r="T62" i="89"/>
  <c r="AR22" i="2" a="1"/>
  <c r="AR22" i="2"/>
  <c r="E10" i="2" a="1"/>
  <c r="E10" i="2"/>
  <c r="C21" i="2" a="1"/>
  <c r="C21" i="2"/>
  <c r="T25" i="2" a="1"/>
  <c r="T25" i="2"/>
  <c r="O13" i="89" a="1"/>
  <c r="O13" i="89"/>
  <c r="C22" i="2" a="1"/>
  <c r="C22" i="2"/>
  <c r="T15" i="2" a="1"/>
  <c r="T15" i="2"/>
  <c r="O62" i="89" a="1"/>
  <c r="O62" i="89"/>
  <c r="F23" i="2" a="1"/>
  <c r="F23" i="2"/>
  <c r="AA21" i="2" a="1"/>
  <c r="AA21" i="2"/>
  <c r="T195" i="89" a="1"/>
  <c r="T195" i="89"/>
  <c r="D22" i="2" a="1"/>
  <c r="D22" i="2"/>
  <c r="AQ22" i="2" a="1"/>
  <c r="AC22" i="2" a="1"/>
  <c r="C196" i="89" a="1"/>
  <c r="AC22" i="2" l="1"/>
  <c r="AQ22" i="2"/>
  <c r="C196" i="89"/>
  <c r="AA16" i="2" a="1"/>
  <c r="AA16" i="2"/>
  <c r="T63" i="89" a="1"/>
  <c r="T63" i="89"/>
  <c r="AD15" i="2" a="1"/>
  <c r="AD15" i="2"/>
  <c r="V62" i="89" a="1"/>
  <c r="V62" i="89"/>
  <c r="AR25" i="2" a="1"/>
  <c r="AR25" i="2"/>
  <c r="C15" i="2" a="1"/>
  <c r="C15" i="2"/>
  <c r="AR11" i="2" a="1"/>
  <c r="AR11" i="2"/>
  <c r="AR15" i="2" a="1"/>
  <c r="AR15" i="2"/>
  <c r="D11" i="2" a="1"/>
  <c r="D11" i="2"/>
  <c r="AC11" i="2" a="1"/>
  <c r="AQ11" i="2" a="1"/>
  <c r="C170" i="89" a="1"/>
  <c r="AQ11" i="2" l="1"/>
  <c r="AC11" i="2"/>
  <c r="C170" i="89"/>
  <c r="F7" i="2" a="1"/>
  <c r="F7" i="2"/>
  <c r="AD26" i="2" a="1"/>
  <c r="AD26" i="2"/>
  <c r="V14" i="89" a="1"/>
  <c r="V14" i="89"/>
  <c r="D16" i="2" a="1"/>
  <c r="D16" i="2"/>
  <c r="AQ16" i="2" a="1"/>
  <c r="AC16" i="2" a="1"/>
  <c r="C63" i="89" a="1"/>
  <c r="AC16" i="2" l="1"/>
  <c r="AQ16" i="2"/>
  <c r="C63" i="89"/>
  <c r="AA11" i="2" a="1"/>
  <c r="AA11" i="2"/>
  <c r="T170" i="89" a="1"/>
  <c r="T170" i="89"/>
  <c r="C23" i="2" a="1"/>
  <c r="C23" i="2"/>
  <c r="AR26" i="2" a="1"/>
  <c r="AR26" i="2"/>
  <c r="AA10" i="2" a="1"/>
  <c r="AA10" i="2"/>
  <c r="T8" i="89" a="1"/>
  <c r="T8" i="89"/>
  <c r="F10" i="2" a="1"/>
  <c r="F10" i="2"/>
  <c r="T11" i="2" a="1"/>
  <c r="T11" i="2"/>
  <c r="O170" i="89" a="1"/>
  <c r="O170" i="89"/>
  <c r="E21" i="2" a="1"/>
  <c r="E21" i="2"/>
  <c r="Z13" i="89" a="1"/>
  <c r="Z13" i="89"/>
  <c r="AR10" i="2" a="1"/>
  <c r="AR10" i="2"/>
  <c r="AD21" i="2" a="1"/>
  <c r="AD21" i="2"/>
  <c r="V195" i="89" a="1"/>
  <c r="V195" i="89"/>
  <c r="AR23" i="2" a="1"/>
  <c r="AR23" i="2"/>
  <c r="C26" i="2" a="1"/>
  <c r="C26" i="2"/>
  <c r="E7" i="2" a="1"/>
  <c r="E7" i="2"/>
  <c r="T7" i="2" a="1"/>
  <c r="T7" i="2"/>
  <c r="O223" i="89" a="1"/>
  <c r="O223" i="89"/>
  <c r="T10" i="2" a="1"/>
  <c r="T10" i="2"/>
  <c r="O8" i="89" a="1"/>
  <c r="O8" i="89"/>
  <c r="Z8" i="89" a="1"/>
  <c r="E15" i="2" a="1"/>
  <c r="Z8" i="89" l="1"/>
  <c r="E15" i="2"/>
  <c r="F16" i="2" a="1"/>
  <c r="F16" i="2"/>
  <c r="AD25" i="2" a="1"/>
  <c r="AD25" i="2"/>
  <c r="V13" i="89" a="1"/>
  <c r="V13" i="89"/>
  <c r="E26" i="2" a="1"/>
  <c r="E26" i="2"/>
  <c r="C11" i="2" a="1"/>
  <c r="C11" i="2"/>
  <c r="AA22" i="2" a="1"/>
  <c r="AA22" i="2"/>
  <c r="T196" i="89" a="1"/>
  <c r="T196" i="89"/>
  <c r="E16" i="2" a="1"/>
  <c r="E16" i="2"/>
  <c r="F15" i="2" a="1"/>
  <c r="F15" i="2"/>
  <c r="AD23" i="2" a="1"/>
  <c r="AD23" i="2"/>
  <c r="V197" i="89" a="1"/>
  <c r="V197" i="89"/>
  <c r="D21" i="2" a="1"/>
  <c r="D21" i="2"/>
  <c r="AQ21" i="2" a="1"/>
  <c r="AC21" i="2" a="1"/>
  <c r="C195" i="89" a="1"/>
  <c r="AC21" i="2" l="1"/>
  <c r="AQ21" i="2"/>
  <c r="C195" i="89"/>
  <c r="C25" i="2" a="1"/>
  <c r="C25" i="2"/>
  <c r="E25" i="2" a="1"/>
  <c r="E25" i="2"/>
  <c r="AD7" i="2" a="1"/>
  <c r="AD7" i="2"/>
  <c r="V223" i="89" a="1"/>
  <c r="V223" i="89"/>
  <c r="E22" i="2" a="1"/>
  <c r="E22" i="2"/>
  <c r="AA7" i="2" a="1"/>
  <c r="AA7" i="2"/>
  <c r="T223" i="89" a="1"/>
  <c r="T223" i="89"/>
  <c r="AR7" i="2" a="1"/>
  <c r="AR7" i="2"/>
  <c r="D15" i="2" a="1"/>
  <c r="D15" i="2"/>
  <c r="AQ15" i="2" a="1"/>
  <c r="AC15" i="2" a="1"/>
  <c r="C62" i="89" a="1"/>
  <c r="AC15" i="2" l="1"/>
  <c r="AQ15" i="2"/>
  <c r="C62" i="89"/>
  <c r="F21" i="2" a="1"/>
  <c r="F21" i="2"/>
  <c r="D26" i="2" a="1"/>
  <c r="D26" i="2"/>
  <c r="AQ26" i="2" a="1"/>
  <c r="AC26" i="2" a="1"/>
  <c r="C14" i="89" a="1"/>
  <c r="AC26" i="2" l="1"/>
  <c r="AQ26" i="2"/>
  <c r="C14" i="89"/>
  <c r="AA25" i="2" a="1"/>
  <c r="AA25" i="2"/>
  <c r="T13" i="89" a="1"/>
  <c r="T13" i="89"/>
  <c r="F26" i="2" a="1"/>
  <c r="F26" i="2"/>
  <c r="AD16" i="2" a="1"/>
  <c r="AD16" i="2"/>
  <c r="V63" i="89" a="1"/>
  <c r="V63" i="89"/>
  <c r="AD11" i="2" a="1"/>
  <c r="AD11" i="2"/>
  <c r="V170" i="89" a="1"/>
  <c r="V170" i="89"/>
  <c r="D7" i="2" a="1"/>
  <c r="D7" i="2"/>
  <c r="AQ7" i="2" a="1"/>
  <c r="AC7" i="2" a="1"/>
  <c r="C223" i="89" a="1"/>
  <c r="AC7" i="2" l="1"/>
  <c r="AQ7" i="2"/>
  <c r="C223" i="89"/>
  <c r="T23" i="2" a="1"/>
  <c r="T23" i="2"/>
  <c r="O197" i="89" a="1"/>
  <c r="O197" i="89"/>
  <c r="Z197" i="89" a="1"/>
  <c r="AR16" i="2" a="1"/>
  <c r="Z197" i="89" l="1"/>
  <c r="AR16" i="2"/>
  <c r="C10" i="2" a="1"/>
  <c r="C10" i="2"/>
  <c r="AR21" i="2" a="1"/>
  <c r="AR21" i="2"/>
  <c r="E23" i="2" a="1"/>
  <c r="E23" i="2"/>
  <c r="Z170" i="89" a="1"/>
  <c r="Z170" i="89"/>
  <c r="T22" i="2" a="1"/>
  <c r="T22" i="2"/>
  <c r="O196" i="89" a="1"/>
  <c r="O196" i="89"/>
  <c r="Z196" i="89" a="1"/>
  <c r="AA26" i="2" a="1"/>
  <c r="Z196" i="89" l="1"/>
  <c r="AA26" i="2"/>
  <c r="T14" i="89" a="1"/>
  <c r="T14" i="89"/>
  <c r="C7" i="2" a="1"/>
  <c r="C7" i="2"/>
  <c r="F22" i="2" a="1"/>
  <c r="F22" i="2"/>
  <c r="E11" i="2" a="1"/>
  <c r="E11" i="2"/>
  <c r="T21" i="2" a="1"/>
  <c r="T21" i="2"/>
  <c r="O195" i="89" a="1"/>
  <c r="O195" i="89"/>
  <c r="Z195" i="89" a="1"/>
  <c r="C16" i="2" a="1"/>
  <c r="Z195" i="89" l="1"/>
  <c r="C16" i="2"/>
  <c r="F25" i="2" a="1"/>
  <c r="F25" i="2"/>
  <c r="AD22" i="2" a="1"/>
  <c r="AD22" i="2"/>
  <c r="V196" i="89" a="1"/>
  <c r="V196" i="89"/>
  <c r="D10" i="2" a="1"/>
  <c r="D10" i="2"/>
  <c r="AC10" i="2" a="1"/>
  <c r="AQ10" i="2" a="1"/>
  <c r="C8" i="89" a="1"/>
  <c r="AQ10" i="2" l="1"/>
  <c r="AC10" i="2"/>
  <c r="C8" i="89"/>
  <c r="T26" i="2" a="1"/>
  <c r="T26" i="2"/>
  <c r="O14" i="89" a="1"/>
  <c r="O14" i="89"/>
  <c r="Z14" i="89" a="1"/>
  <c r="AD10" i="2" a="1"/>
  <c r="Z14" i="89" l="1"/>
  <c r="AD10" i="2"/>
  <c r="V8" i="89" a="1"/>
  <c r="V8" i="89"/>
  <c r="D25" i="2" a="1"/>
  <c r="D25" i="2"/>
  <c r="AQ25" i="2" a="1"/>
  <c r="AC25" i="2" a="1"/>
  <c r="C13" i="89" a="1"/>
  <c r="AC25" i="2" l="1"/>
  <c r="AQ25" i="2"/>
  <c r="C13" i="89"/>
  <c r="Z62" i="89" a="1"/>
  <c r="Z62" i="89"/>
  <c r="F11" i="2" a="1"/>
  <c r="F11" i="2"/>
  <c r="T16" i="2" a="1"/>
  <c r="T16" i="2"/>
  <c r="O63" i="89" a="1"/>
  <c r="O63" i="89"/>
  <c r="Z63" i="89" a="1"/>
  <c r="D23" i="2" a="1"/>
  <c r="Z63" i="89" l="1"/>
  <c r="D23" i="2"/>
  <c r="AQ23" i="2" a="1"/>
  <c r="AC23" i="2" a="1"/>
  <c r="C197" i="89" a="1"/>
  <c r="S17" i="1" l="1"/>
  <c r="V17" i="1" s="1"/>
  <c r="Q17" i="1"/>
  <c r="AC23" i="2"/>
  <c r="AQ23" i="2"/>
  <c r="C197" i="89"/>
  <c r="Z223" i="89" a="1"/>
  <c r="R17" i="1" l="1"/>
  <c r="T17" i="1"/>
  <c r="Z223" i="89"/>
  <c r="E10" i="1"/>
  <c r="AF10" i="1" a="1"/>
  <c r="AH17" i="1" l="1"/>
  <c r="F17" i="1"/>
  <c r="U17" i="1"/>
  <c r="AF10" i="1"/>
  <c r="L30" i="1" a="1"/>
  <c r="AA17" i="1" l="1"/>
  <c r="Y17" i="1"/>
  <c r="Z17" i="1"/>
  <c r="L30" i="1"/>
  <c r="N95" i="89" a="1"/>
  <c r="N95" i="89"/>
  <c r="N82" i="89" a="1"/>
  <c r="N82" i="89"/>
  <c r="N76" i="89" a="1"/>
  <c r="N76" i="89" l="1"/>
  <c r="Z76" i="89" a="1"/>
  <c r="N160" i="89" a="1"/>
  <c r="Z76" i="89" l="1"/>
  <c r="N160" i="89"/>
  <c r="Z160" i="89" a="1"/>
  <c r="N102" i="89" a="1"/>
  <c r="Z160" i="89" l="1"/>
  <c r="N102" i="89"/>
  <c r="Z102" i="89" a="1"/>
  <c r="N101" i="89" a="1"/>
  <c r="Z102" i="89" l="1"/>
  <c r="N101" i="89"/>
  <c r="L49" i="1" a="1"/>
  <c r="L49" i="1"/>
  <c r="L48" i="1" a="1"/>
  <c r="L48" i="1"/>
  <c r="L47" i="1" a="1"/>
  <c r="L47" i="1"/>
  <c r="L46" i="1" a="1"/>
  <c r="L46" i="1"/>
  <c r="L45" i="1" a="1"/>
  <c r="L45" i="1"/>
  <c r="L44" i="1" a="1"/>
  <c r="L44" i="1"/>
  <c r="L43" i="1" a="1"/>
  <c r="L43" i="1"/>
  <c r="L42" i="1" a="1"/>
  <c r="L42" i="1"/>
  <c r="L41" i="1" a="1"/>
  <c r="L41" i="1"/>
  <c r="L40" i="1" a="1"/>
  <c r="L40" i="1"/>
  <c r="L39" i="1" a="1"/>
  <c r="L39" i="1"/>
  <c r="L38" i="1" a="1"/>
  <c r="L38" i="1"/>
  <c r="L37" i="1" a="1"/>
  <c r="L37" i="1"/>
  <c r="L36" i="1" a="1"/>
  <c r="L36" i="1"/>
  <c r="L35" i="1" a="1"/>
  <c r="L35" i="1"/>
  <c r="L34" i="1" a="1"/>
  <c r="L34" i="1"/>
  <c r="L33" i="1" a="1"/>
  <c r="L33" i="1"/>
  <c r="L32" i="1" a="1"/>
  <c r="L32" i="1"/>
  <c r="L31" i="1" a="1"/>
  <c r="L31" i="1"/>
  <c r="L29" i="1" a="1"/>
  <c r="L29" i="1"/>
  <c r="L28" i="1" a="1"/>
  <c r="L28" i="1"/>
  <c r="L27" i="1" a="1"/>
  <c r="L27" i="1"/>
  <c r="L26" i="1" a="1"/>
  <c r="L26" i="1"/>
  <c r="L25" i="1" a="1"/>
  <c r="L25" i="1"/>
  <c r="L24" i="1" a="1"/>
  <c r="L24" i="1"/>
  <c r="L23" i="1" a="1"/>
  <c r="L23" i="1"/>
  <c r="L22" i="1" a="1"/>
  <c r="L22" i="1"/>
  <c r="L21" i="1" a="1"/>
  <c r="L21" i="1"/>
  <c r="L20" i="1" a="1"/>
  <c r="L20" i="1"/>
  <c r="L19" i="1" a="1"/>
  <c r="L19" i="1"/>
  <c r="L18" i="1" a="1"/>
  <c r="L18" i="1"/>
  <c r="L16" i="1" a="1"/>
  <c r="L16" i="1"/>
  <c r="L14" i="1" a="1"/>
  <c r="L14" i="1"/>
  <c r="L13" i="1" a="1"/>
  <c r="L13" i="1"/>
  <c r="L12" i="1" a="1"/>
  <c r="L12" i="1"/>
  <c r="AG14" i="1"/>
  <c r="AG29" i="1"/>
  <c r="AG27" i="1"/>
  <c r="AG38" i="1"/>
  <c r="AG37" i="1"/>
  <c r="AG19" i="1"/>
  <c r="AG18" i="1"/>
  <c r="AG24" i="1"/>
  <c r="AG23" i="1"/>
  <c r="AK45" i="338" a="1"/>
  <c r="AK45" i="338"/>
  <c r="AG45" i="338"/>
  <c r="AI45" i="338" a="1"/>
  <c r="AI45" i="338"/>
  <c r="K7" i="1"/>
  <c r="AJ37" i="338" a="1"/>
  <c r="AJ37" i="338"/>
  <c r="AH37" i="338" a="1"/>
  <c r="AH37" i="338"/>
  <c r="K39" i="1" a="1"/>
  <c r="K39" i="1"/>
  <c r="E1" i="1"/>
  <c r="AJ36" i="338" a="1"/>
  <c r="AJ36" i="338"/>
  <c r="AI39" i="1"/>
  <c r="AF37" i="338"/>
  <c r="AF45" i="1"/>
  <c r="AC39" i="1" a="1"/>
  <c r="AC39" i="1"/>
  <c r="AC45" i="1" a="1"/>
  <c r="AC45" i="1"/>
  <c r="AH36" i="338" a="1"/>
  <c r="AH36" i="338"/>
  <c r="AI45" i="1"/>
  <c r="AB39" i="1"/>
  <c r="AB45" i="1"/>
  <c r="K45" i="1" a="1"/>
  <c r="K45" i="1"/>
  <c r="AF36" i="338"/>
  <c r="AF39" i="1"/>
  <c r="AG36" i="1"/>
  <c r="AG35" i="1"/>
  <c r="AG28" i="1"/>
  <c r="AG25" i="1"/>
  <c r="AG16" i="1"/>
  <c r="AG32" i="1"/>
  <c r="AG31" i="1"/>
  <c r="AG48" i="1"/>
  <c r="AG43" i="1"/>
  <c r="AG41" i="1"/>
  <c r="AG40" i="1"/>
  <c r="AG45" i="1"/>
  <c r="AG39" i="1"/>
  <c r="AG12" i="1"/>
  <c r="D7" i="89"/>
  <c r="D19" i="89"/>
  <c r="D14" i="89" a="1"/>
  <c r="D14" i="89"/>
  <c r="D222" i="89" a="1"/>
  <c r="D222" i="89"/>
  <c r="E13" i="89" a="1"/>
  <c r="E13" i="89"/>
  <c r="E56" i="89" a="1"/>
  <c r="E56" i="89"/>
  <c r="E39" i="89" a="1"/>
  <c r="E39" i="89"/>
  <c r="D205" i="89" a="1"/>
  <c r="D205" i="89"/>
  <c r="D197" i="89" a="1"/>
  <c r="D197" i="89"/>
  <c r="D203" i="89" a="1"/>
  <c r="D203" i="89"/>
  <c r="E203" i="89" a="1"/>
  <c r="E203" i="89"/>
  <c r="D39" i="89" a="1"/>
  <c r="D39" i="89"/>
  <c r="E205" i="89" a="1"/>
  <c r="E205" i="89"/>
  <c r="E7" i="89"/>
  <c r="E14" i="89" a="1"/>
  <c r="E14" i="89"/>
  <c r="E197" i="89" a="1"/>
  <c r="E197" i="89"/>
  <c r="E222" i="89" a="1"/>
  <c r="E222" i="89"/>
  <c r="D56" i="89" a="1"/>
  <c r="D56" i="89"/>
  <c r="E19" i="89"/>
  <c r="D13" i="89" a="1"/>
  <c r="D13" i="89"/>
  <c r="X46" i="338" a="1"/>
  <c r="X46" i="338"/>
  <c r="P50" i="338" a="1"/>
  <c r="P50" i="338"/>
  <c r="P11" i="338" a="1"/>
  <c r="P11" i="338"/>
  <c r="P36" i="338" a="1"/>
  <c r="P36" i="338"/>
  <c r="P18" i="338" a="1"/>
  <c r="P18" i="338"/>
  <c r="S18" i="338" a="1"/>
  <c r="S18" i="338"/>
  <c r="S50" i="338" a="1"/>
  <c r="S50" i="338"/>
  <c r="P8" i="338" a="1"/>
  <c r="P8" i="338"/>
  <c r="S49" i="338" a="1"/>
  <c r="S49" i="338"/>
  <c r="T50" i="338" a="1"/>
  <c r="T50" i="338"/>
  <c r="X39" i="338" a="1"/>
  <c r="X39" i="338"/>
  <c r="X15" i="338" a="1"/>
  <c r="X15" i="338"/>
  <c r="T18" i="338" a="1"/>
  <c r="T18" i="338"/>
  <c r="T8" i="338" a="1"/>
  <c r="T8" i="338"/>
  <c r="X50" i="338" a="1"/>
  <c r="X50" i="338"/>
  <c r="X52" i="338" a="1"/>
  <c r="X52" i="338"/>
  <c r="T46" i="338" a="1"/>
  <c r="T46" i="338"/>
  <c r="S39" i="338" a="1"/>
  <c r="S39" i="338"/>
  <c r="S15" i="338" a="1"/>
  <c r="S15" i="338"/>
  <c r="X8" i="338" a="1"/>
  <c r="X8" i="338"/>
  <c r="X18" i="338" a="1"/>
  <c r="X18" i="338"/>
  <c r="T52" i="338" a="1"/>
  <c r="T52" i="338"/>
  <c r="S46" i="338" a="1"/>
  <c r="S46" i="338"/>
  <c r="X36" i="338" a="1"/>
  <c r="X36" i="338"/>
  <c r="P39" i="338" a="1"/>
  <c r="P39" i="338"/>
  <c r="P15" i="338" a="1"/>
  <c r="P15" i="338"/>
  <c r="S36" i="338" a="1"/>
  <c r="S36" i="338"/>
  <c r="S52" i="338" a="1"/>
  <c r="S52" i="338"/>
  <c r="T49" i="338" a="1"/>
  <c r="T49" i="338"/>
  <c r="T11" i="338" a="1"/>
  <c r="T11" i="338"/>
  <c r="P49" i="338" a="1"/>
  <c r="P49" i="338"/>
  <c r="T33" i="338" a="1"/>
  <c r="T33" i="338"/>
  <c r="S33" i="338" a="1"/>
  <c r="S33" i="338"/>
  <c r="P33" i="338" a="1"/>
  <c r="P33" i="338"/>
  <c r="X11" i="338" a="1"/>
  <c r="X11" i="338"/>
  <c r="P46" i="338" a="1"/>
  <c r="P46" i="338"/>
  <c r="X33" i="338" a="1"/>
  <c r="X33" i="338"/>
  <c r="S8" i="338" a="1"/>
  <c r="S8" i="338"/>
  <c r="P52" i="338" a="1"/>
  <c r="P52" i="338"/>
  <c r="T39" i="338" a="1"/>
  <c r="T39" i="338"/>
  <c r="T15" i="338" a="1"/>
  <c r="T15" i="338"/>
  <c r="S11" i="338" a="1"/>
  <c r="S11" i="338"/>
  <c r="T36" i="338" a="1"/>
  <c r="T36" i="338"/>
  <c r="X49" i="338" a="1"/>
  <c r="X49" i="338"/>
  <c r="AB38" i="1"/>
  <c r="AF38" i="1"/>
  <c r="AC37" i="1" a="1"/>
  <c r="AC37" i="1"/>
  <c r="AC38" i="1" a="1"/>
  <c r="AC38" i="1"/>
  <c r="AF37" i="1"/>
  <c r="AI37" i="1"/>
  <c r="AB37" i="1"/>
  <c r="AI38" i="1"/>
  <c r="E180" i="89" a="1"/>
  <c r="E180" i="89"/>
  <c r="E212" i="89" a="1"/>
  <c r="E212" i="89"/>
  <c r="E170" i="89" a="1"/>
  <c r="E170" i="89"/>
  <c r="E171" i="89" a="1"/>
  <c r="E171" i="89"/>
  <c r="E186" i="89" a="1"/>
  <c r="E186" i="89"/>
  <c r="E235" i="89" a="1"/>
  <c r="E235" i="89"/>
  <c r="E188" i="89" a="1"/>
  <c r="E188" i="89"/>
  <c r="E169" i="89" a="1"/>
  <c r="E169" i="89"/>
  <c r="E233" i="89" a="1"/>
  <c r="E233" i="89"/>
  <c r="E234" i="89" a="1"/>
  <c r="E234" i="89"/>
  <c r="E145" i="89" a="1"/>
  <c r="E145" i="89"/>
  <c r="T90" i="89" a="1"/>
  <c r="T90" i="89"/>
  <c r="V89" i="89" a="1"/>
  <c r="V89" i="89"/>
  <c r="V109" i="89" a="1"/>
  <c r="V109" i="89"/>
  <c r="V90" i="89" a="1"/>
  <c r="V90" i="89"/>
  <c r="V144" i="89" a="1"/>
  <c r="V144" i="89"/>
  <c r="D145" i="89" a="1"/>
  <c r="D145" i="89"/>
  <c r="D109" i="89" a="1"/>
  <c r="D109" i="89"/>
  <c r="Z89" i="89" a="1"/>
  <c r="Z89" i="89"/>
  <c r="AA89" i="89" a="1"/>
  <c r="AA89" i="89"/>
  <c r="C90" i="89" a="1"/>
  <c r="C90" i="89"/>
  <c r="T136" i="89" a="1"/>
  <c r="T136" i="89"/>
  <c r="C123" i="89" a="1"/>
  <c r="C123" i="89"/>
  <c r="D123" i="89" a="1"/>
  <c r="D123" i="89"/>
  <c r="D101" i="89" a="1"/>
  <c r="D101" i="89"/>
  <c r="C136" i="89" a="1"/>
  <c r="C136" i="89"/>
  <c r="E89" i="89" a="1"/>
  <c r="E89" i="89"/>
  <c r="T138" i="89" a="1"/>
  <c r="T138" i="89"/>
  <c r="C95" i="89" a="1"/>
  <c r="C95" i="89"/>
  <c r="V136" i="89" a="1"/>
  <c r="V136" i="89"/>
  <c r="V101" i="89" a="1"/>
  <c r="V101" i="89"/>
  <c r="Z145" i="89" a="1"/>
  <c r="Z145" i="89"/>
  <c r="AA145" i="89" a="1"/>
  <c r="AA145" i="89"/>
  <c r="D90" i="89" a="1"/>
  <c r="D90" i="89"/>
  <c r="C89" i="89" a="1"/>
  <c r="C89" i="89"/>
  <c r="V138" i="89" a="1"/>
  <c r="V138" i="89"/>
  <c r="Z90" i="89" a="1"/>
  <c r="Z90" i="89"/>
  <c r="AA90" i="89" a="1"/>
  <c r="AA90" i="89"/>
  <c r="V95" i="89" a="1"/>
  <c r="V95" i="89"/>
  <c r="Z138" i="89" a="1"/>
  <c r="Z138" i="89"/>
  <c r="AA138" i="89" a="1"/>
  <c r="AA138" i="89"/>
  <c r="C145" i="89" a="1"/>
  <c r="C145" i="89"/>
  <c r="C138" i="89" a="1"/>
  <c r="C138" i="89"/>
  <c r="T123" i="89" a="1"/>
  <c r="T123" i="89"/>
  <c r="E101" i="89" a="1"/>
  <c r="E101" i="89"/>
  <c r="V145" i="89" a="1"/>
  <c r="V145" i="89"/>
  <c r="D95" i="89" a="1"/>
  <c r="D95" i="89"/>
  <c r="Z101" i="89" a="1"/>
  <c r="Z101" i="89"/>
  <c r="AA101" i="89" a="1"/>
  <c r="AA101" i="89"/>
  <c r="E123" i="89" a="1"/>
  <c r="E123" i="89"/>
  <c r="D89" i="89" a="1"/>
  <c r="D89" i="89"/>
  <c r="C109" i="89" a="1"/>
  <c r="C109" i="89"/>
  <c r="D144" i="89" a="1"/>
  <c r="D144" i="89"/>
  <c r="D138" i="89" a="1"/>
  <c r="D138" i="89"/>
  <c r="Z109" i="89" a="1"/>
  <c r="Z109" i="89"/>
  <c r="AA109" i="89" a="1"/>
  <c r="AA109" i="89"/>
  <c r="E109" i="89" a="1"/>
  <c r="E109" i="89"/>
  <c r="E95" i="89" a="1"/>
  <c r="E95" i="89"/>
  <c r="E90" i="89" a="1"/>
  <c r="E90" i="89"/>
  <c r="AC19" i="1"/>
  <c r="AC18" i="1"/>
  <c r="T145" i="89" a="1"/>
  <c r="T145" i="89"/>
  <c r="Z95" i="89" a="1"/>
  <c r="Z95" i="89"/>
  <c r="AA95" i="89" a="1"/>
  <c r="AA95" i="89"/>
  <c r="G6" i="446" a="1"/>
  <c r="G6" i="446"/>
  <c r="G5" i="446" a="1"/>
  <c r="G5" i="446"/>
  <c r="AI19" i="1"/>
  <c r="AI18" i="1"/>
  <c r="AF19" i="1"/>
  <c r="AF18" i="1"/>
  <c r="C101" i="89" a="1"/>
  <c r="C101" i="89"/>
  <c r="T101" i="89" a="1"/>
  <c r="T101" i="89"/>
  <c r="AB19" i="1"/>
  <c r="AB18" i="1"/>
  <c r="F6" i="446" a="1"/>
  <c r="F6" i="446"/>
  <c r="F5" i="446" a="1"/>
  <c r="F5" i="446"/>
  <c r="Z144" i="89" a="1"/>
  <c r="Z144" i="89"/>
  <c r="AA144" i="89" a="1"/>
  <c r="AA144" i="89"/>
  <c r="K18" i="1" a="1"/>
  <c r="K18" i="1"/>
  <c r="K10" i="1"/>
  <c r="T144" i="89" a="1"/>
  <c r="T144" i="89"/>
  <c r="E144" i="89" a="1"/>
  <c r="E144" i="89"/>
  <c r="T95" i="89" a="1"/>
  <c r="T95" i="89"/>
  <c r="T89" i="89" a="1"/>
  <c r="T89" i="89"/>
  <c r="Z136" i="89" a="1"/>
  <c r="Z136" i="89"/>
  <c r="AA136" i="89" a="1"/>
  <c r="AA136" i="89"/>
  <c r="E136" i="89" a="1"/>
  <c r="E136" i="89"/>
  <c r="V123" i="89" a="1"/>
  <c r="V123" i="89"/>
  <c r="T109" i="89" a="1"/>
  <c r="T109" i="89"/>
  <c r="D136" i="89" a="1"/>
  <c r="D136" i="89"/>
  <c r="E138" i="89" a="1"/>
  <c r="E138" i="89"/>
  <c r="C144" i="89" a="1"/>
  <c r="C144" i="89"/>
  <c r="Z123" i="89" a="1"/>
  <c r="Z123" i="89"/>
  <c r="AA123" i="89" a="1"/>
  <c r="AA123" i="89"/>
  <c r="E237" i="89" a="1"/>
  <c r="E237" i="89"/>
  <c r="E213" i="89" a="1"/>
  <c r="E213" i="89"/>
  <c r="E236" i="89" a="1"/>
  <c r="E236" i="89"/>
  <c r="E187" i="89" a="1"/>
  <c r="E187" i="89"/>
  <c r="E211" i="89" a="1"/>
  <c r="E211" i="89"/>
  <c r="O6" i="252" a="1"/>
  <c r="O6" i="252"/>
  <c r="AI14" i="1"/>
  <c r="Y6" i="252" a="1"/>
  <c r="Y6" i="252"/>
  <c r="L6" i="252" a="1"/>
  <c r="L6" i="252"/>
  <c r="AF14" i="1"/>
  <c r="M6" i="252" a="1"/>
  <c r="M6" i="252"/>
  <c r="N6" i="252" a="1"/>
  <c r="N6" i="252"/>
  <c r="AC14" i="1"/>
  <c r="AB14" i="1"/>
  <c r="K14" i="1" a="1"/>
  <c r="K14" i="1"/>
  <c r="S45" i="338" a="1"/>
  <c r="S45" i="338"/>
  <c r="S9" i="338" a="1"/>
  <c r="S9" i="338"/>
  <c r="S29" i="338" a="1"/>
  <c r="S29" i="338"/>
  <c r="X42" i="338" a="1"/>
  <c r="X42" i="338"/>
  <c r="X34" i="338" a="1"/>
  <c r="X34" i="338"/>
  <c r="X31" i="338" a="1"/>
  <c r="X31" i="338"/>
  <c r="X14" i="338" a="1"/>
  <c r="X14" i="338"/>
  <c r="T42" i="338" a="1"/>
  <c r="T42" i="338"/>
  <c r="S34" i="338" a="1"/>
  <c r="S34" i="338"/>
  <c r="P12" i="338" a="1"/>
  <c r="P12" i="338"/>
  <c r="P29" i="338" a="1"/>
  <c r="P29" i="338"/>
  <c r="X45" i="338" a="1"/>
  <c r="X45" i="338"/>
  <c r="S31" i="338" a="1"/>
  <c r="S31" i="338"/>
  <c r="T9" i="338" a="1"/>
  <c r="T9" i="338"/>
  <c r="P14" i="338" a="1"/>
  <c r="P14" i="338"/>
  <c r="P48" i="338" a="1"/>
  <c r="P48" i="338"/>
  <c r="T47" i="338" a="1"/>
  <c r="T47" i="338"/>
  <c r="X48" i="338" a="1"/>
  <c r="X48" i="338"/>
  <c r="T12" i="338" a="1"/>
  <c r="T12" i="338"/>
  <c r="S42" i="338" a="1"/>
  <c r="S42" i="338"/>
  <c r="P9" i="338" a="1"/>
  <c r="P9" i="338"/>
  <c r="P47" i="338" a="1"/>
  <c r="P47" i="338"/>
  <c r="S48" i="338" a="1"/>
  <c r="S48" i="338"/>
  <c r="P31" i="338" a="1"/>
  <c r="P31" i="338"/>
  <c r="X12" i="338" a="1"/>
  <c r="X12" i="338"/>
  <c r="S47" i="338" a="1"/>
  <c r="S47" i="338"/>
  <c r="T29" i="338" a="1"/>
  <c r="T29" i="338"/>
  <c r="T34" i="338" a="1"/>
  <c r="T34" i="338"/>
  <c r="T31" i="338" a="1"/>
  <c r="T31" i="338"/>
  <c r="S12" i="338" a="1"/>
  <c r="S12" i="338"/>
  <c r="T45" i="338" a="1"/>
  <c r="T45" i="338"/>
  <c r="S14" i="338" a="1"/>
  <c r="S14" i="338"/>
  <c r="X29" i="338" a="1"/>
  <c r="X29" i="338"/>
  <c r="T48" i="338" a="1"/>
  <c r="T48" i="338"/>
  <c r="P42" i="338" a="1"/>
  <c r="P42" i="338"/>
  <c r="P45" i="338" a="1"/>
  <c r="P45" i="338"/>
  <c r="T14" i="338" a="1"/>
  <c r="T14" i="338"/>
  <c r="X47" i="338" a="1"/>
  <c r="X47" i="338"/>
  <c r="P34" i="338" a="1"/>
  <c r="P34" i="338"/>
  <c r="X9" i="338" a="1"/>
  <c r="X9" i="338"/>
  <c r="G37" i="446" a="1"/>
  <c r="G37" i="446"/>
  <c r="G29" i="446" a="1"/>
  <c r="G29" i="446"/>
  <c r="F37" i="446" a="1"/>
  <c r="F37" i="446"/>
  <c r="G28" i="446" a="1"/>
  <c r="G28" i="446"/>
  <c r="D28" i="446" a="1"/>
  <c r="D28" i="446"/>
  <c r="F29" i="446" a="1"/>
  <c r="F29" i="446"/>
  <c r="F28" i="446" a="1"/>
  <c r="F28" i="446"/>
  <c r="G44" i="446" a="1"/>
  <c r="G44" i="446"/>
  <c r="D29" i="446" a="1"/>
  <c r="D29" i="446"/>
  <c r="D43" i="446" a="1"/>
  <c r="D43" i="446"/>
  <c r="F31" i="446" a="1"/>
  <c r="F31" i="446"/>
  <c r="F45" i="446" a="1"/>
  <c r="F45" i="446"/>
  <c r="G31" i="446" a="1"/>
  <c r="G31" i="446"/>
  <c r="D37" i="446" a="1"/>
  <c r="D37" i="446"/>
  <c r="G43" i="446" a="1"/>
  <c r="G43" i="446"/>
  <c r="D45" i="446" a="1"/>
  <c r="D45" i="446"/>
  <c r="F44" i="446" a="1"/>
  <c r="F44" i="446"/>
  <c r="D31" i="446" a="1"/>
  <c r="D31" i="446"/>
  <c r="D44" i="446" a="1"/>
  <c r="D44" i="446"/>
  <c r="G45" i="446" a="1"/>
  <c r="G45" i="446"/>
  <c r="F43" i="446" a="1"/>
  <c r="F43" i="446"/>
  <c r="T44" i="338" a="1"/>
  <c r="T44" i="338"/>
  <c r="P41" i="338" a="1"/>
  <c r="P41" i="338"/>
  <c r="T41" i="338" a="1"/>
  <c r="T41" i="338"/>
  <c r="T30" i="338" a="1"/>
  <c r="T30" i="338"/>
  <c r="X41" i="338" a="1"/>
  <c r="X41" i="338"/>
  <c r="S44" i="338" a="1"/>
  <c r="S44" i="338"/>
  <c r="P44" i="338" a="1"/>
  <c r="P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E34" i="89" a="1"/>
  <c r="E34" i="89"/>
  <c r="D34" i="89" a="1"/>
  <c r="D34" i="89"/>
  <c r="F39" i="446" a="1"/>
  <c r="F39" i="446"/>
  <c r="AH40" i="338" a="1"/>
  <c r="AH40" i="338"/>
  <c r="AH38" i="338" a="1"/>
  <c r="AH38" i="338"/>
  <c r="AH16" i="338" a="1"/>
  <c r="AH16" i="338"/>
  <c r="G32" i="446" a="1"/>
  <c r="G32" i="446"/>
  <c r="AJ40" i="338" a="1"/>
  <c r="AJ40" i="338"/>
  <c r="AJ38" i="338" a="1"/>
  <c r="AJ38" i="338"/>
  <c r="AJ16" i="338" a="1"/>
  <c r="AJ16" i="338"/>
  <c r="AK12" i="338" a="1"/>
  <c r="AK12" i="338"/>
  <c r="AI12" i="338" a="1"/>
  <c r="AI12" i="338"/>
  <c r="AG40" i="338"/>
  <c r="AF39" i="338"/>
  <c r="AF15" i="338"/>
  <c r="AJ12" i="338" a="1"/>
  <c r="AJ12" i="338"/>
  <c r="AH12" i="338" a="1"/>
  <c r="AH12" i="338"/>
  <c r="D39" i="446" a="1"/>
  <c r="D39" i="446"/>
  <c r="F32" i="446" a="1"/>
  <c r="F32" i="446"/>
  <c r="G34" i="446" a="1"/>
  <c r="G34" i="446"/>
  <c r="G33" i="446" a="1"/>
  <c r="G33" i="446"/>
  <c r="AJ30" i="338" a="1"/>
  <c r="AJ30" i="338"/>
  <c r="AJ29" i="338" a="1"/>
  <c r="AJ29" i="338"/>
  <c r="AH30" i="338" a="1"/>
  <c r="AH30" i="338"/>
  <c r="AH29" i="338" a="1"/>
  <c r="AH29" i="338"/>
  <c r="AI30" i="338" a="1"/>
  <c r="AI30" i="338"/>
  <c r="F33" i="446" a="1"/>
  <c r="F33" i="446"/>
  <c r="AF12" i="338"/>
  <c r="F34" i="446" a="1"/>
  <c r="F34" i="446"/>
  <c r="AG12" i="338"/>
  <c r="AK29" i="338" a="1"/>
  <c r="AK29" i="338"/>
  <c r="F41" i="446" a="1"/>
  <c r="F41" i="446"/>
  <c r="AK18" i="338" a="1"/>
  <c r="AK18" i="338"/>
  <c r="F42" i="446" a="1"/>
  <c r="F42" i="446"/>
  <c r="G41" i="446" a="1"/>
  <c r="G41" i="446"/>
  <c r="D32" i="446" a="1"/>
  <c r="D32" i="446"/>
  <c r="AK40" i="338" a="1"/>
  <c r="AK40" i="338"/>
  <c r="AJ39" i="338" a="1"/>
  <c r="AJ39" i="338"/>
  <c r="AJ15" i="338" a="1"/>
  <c r="AJ15" i="338"/>
  <c r="D40" i="446" a="1"/>
  <c r="D40" i="446"/>
  <c r="AK30" i="338" a="1"/>
  <c r="AK30" i="338"/>
  <c r="AF40" i="338"/>
  <c r="AF38" i="338"/>
  <c r="AF16" i="338"/>
  <c r="AI40" i="338" a="1"/>
  <c r="AI40" i="338"/>
  <c r="AH39" i="338" a="1"/>
  <c r="AH39" i="338"/>
  <c r="AH15" i="338" a="1"/>
  <c r="AH15" i="338"/>
  <c r="D33" i="446" a="1"/>
  <c r="D33" i="446"/>
  <c r="F38" i="446" a="1"/>
  <c r="F38" i="446"/>
  <c r="AF30" i="338"/>
  <c r="AF29" i="338"/>
  <c r="AG18" i="338"/>
  <c r="G39" i="446" a="1"/>
  <c r="G39" i="446"/>
  <c r="D42" i="446" a="1"/>
  <c r="D42" i="446"/>
  <c r="G42" i="446" a="1"/>
  <c r="G42" i="446"/>
  <c r="AG30" i="338"/>
  <c r="G38" i="446" a="1"/>
  <c r="G38" i="446"/>
  <c r="F40" i="446" a="1"/>
  <c r="F40" i="446"/>
  <c r="AI29" i="338" a="1"/>
  <c r="AI29" i="338"/>
  <c r="D34" i="446" a="1"/>
  <c r="D34" i="446"/>
  <c r="AG29" i="338"/>
  <c r="AI18" i="338" a="1"/>
  <c r="AI18" i="338"/>
  <c r="D38" i="446" a="1"/>
  <c r="D38" i="446"/>
  <c r="G40" i="446" a="1"/>
  <c r="G40" i="446"/>
  <c r="D41" i="446" a="1"/>
  <c r="D41" i="446"/>
  <c r="C19" i="89"/>
  <c r="V236" i="89" a="1"/>
  <c r="V236" i="89"/>
  <c r="V49" i="89" a="1"/>
  <c r="V49" i="89"/>
  <c r="V19" i="89"/>
  <c r="C39" i="89" a="1"/>
  <c r="C39" i="89"/>
  <c r="AA213" i="89" a="1"/>
  <c r="AA213" i="89"/>
  <c r="O7" i="89" a="1"/>
  <c r="O7" i="89"/>
  <c r="T7" i="89" a="1"/>
  <c r="T7" i="89"/>
  <c r="O211" i="89" a="1"/>
  <c r="O211" i="89"/>
  <c r="AA39" i="89" a="1"/>
  <c r="AA39" i="89"/>
  <c r="C211" i="89" a="1"/>
  <c r="C211" i="89"/>
  <c r="Z7" i="89"/>
  <c r="O236" i="89" a="1"/>
  <c r="O236" i="89"/>
  <c r="V211" i="89" a="1"/>
  <c r="V211" i="89"/>
  <c r="AA75" i="89" a="1"/>
  <c r="AA75" i="89"/>
  <c r="AA49" i="89" a="1"/>
  <c r="AA49" i="89"/>
  <c r="C186" i="89" a="1"/>
  <c r="C186" i="89"/>
  <c r="T75" i="89" a="1"/>
  <c r="T75" i="89"/>
  <c r="C7" i="89" a="1"/>
  <c r="C7" i="89"/>
  <c r="Z236" i="89" a="1"/>
  <c r="Z236" i="89"/>
  <c r="T211" i="89" a="1"/>
  <c r="T211" i="89"/>
  <c r="V39" i="89" a="1"/>
  <c r="V39" i="89"/>
  <c r="O186" i="89" a="1"/>
  <c r="O186" i="89"/>
  <c r="Z186" i="89" a="1"/>
  <c r="C213" i="89" a="1"/>
  <c r="Z186" i="89" l="1"/>
  <c r="C213" i="89"/>
  <c r="C49" i="89" a="1"/>
  <c r="C49" i="89"/>
  <c r="T49" i="89" a="1"/>
  <c r="T49" i="89"/>
  <c r="O75" i="89" a="1"/>
  <c r="O75" i="89"/>
  <c r="Z75" i="89" a="1"/>
  <c r="T236" i="89" a="1"/>
  <c r="Z75" i="89" l="1"/>
  <c r="T236" i="89"/>
  <c r="V27" i="89" a="1"/>
  <c r="V27" i="89"/>
  <c r="V213" i="89" a="1"/>
  <c r="V213" i="89"/>
  <c r="V186" i="89" a="1"/>
  <c r="V186" i="89"/>
  <c r="C27" i="89" a="1"/>
  <c r="C27" i="89"/>
  <c r="T27" i="89" a="1"/>
  <c r="T27" i="89"/>
  <c r="O39" i="89" a="1"/>
  <c r="O39" i="89"/>
  <c r="Z39" i="89" a="1"/>
  <c r="T19" i="89"/>
  <c r="O27" i="89" a="1"/>
  <c r="Z39" i="89" l="1"/>
  <c r="O27" i="89"/>
  <c r="Z27" i="89" a="1"/>
  <c r="V7" i="89" a="1"/>
  <c r="Z27" i="89" l="1"/>
  <c r="V7" i="89"/>
  <c r="T213" i="89" a="1"/>
  <c r="T213" i="89"/>
  <c r="C236" i="89" a="1"/>
  <c r="C236" i="89"/>
  <c r="Z211" i="89" a="1"/>
  <c r="Z211" i="89"/>
  <c r="AA211" i="89" a="1"/>
  <c r="AA211" i="89"/>
  <c r="O49" i="89" a="1"/>
  <c r="O49" i="89"/>
  <c r="Z49" i="89" a="1"/>
  <c r="T39" i="89" a="1"/>
  <c r="Z49" i="89" l="1"/>
  <c r="T39" i="89"/>
  <c r="T186" i="89" a="1"/>
  <c r="T186" i="89"/>
  <c r="O213" i="89" a="1"/>
  <c r="O213" i="89"/>
  <c r="Z213" i="89" a="1"/>
  <c r="V75" i="89" a="1"/>
  <c r="Z213" i="89" l="1"/>
  <c r="V75" i="89"/>
  <c r="O19" i="89"/>
  <c r="Z19" i="89" s="1" a="1"/>
  <c r="C75" i="89" a="1"/>
  <c r="Z19" i="89" l="1"/>
  <c r="C75" i="89"/>
  <c r="F10" i="446" a="1"/>
  <c r="F10" i="446"/>
  <c r="G13" i="446" a="1"/>
  <c r="G13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7" i="446" a="1"/>
  <c r="G7" i="446"/>
  <c r="F7" i="446" a="1"/>
  <c r="F7" i="446"/>
  <c r="G12" i="446" a="1"/>
  <c r="G12" i="446"/>
  <c r="F8" i="446" a="1"/>
  <c r="F8" i="446"/>
  <c r="F20" i="446" a="1"/>
  <c r="F20" i="446"/>
  <c r="F25" i="446" a="1"/>
  <c r="F25" i="446"/>
  <c r="F11" i="446" a="1"/>
  <c r="F11" i="446"/>
  <c r="G20" i="446" a="1"/>
  <c r="G20" i="446"/>
  <c r="F18" i="446" a="1"/>
  <c r="F18" i="446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F23" i="446" a="1"/>
  <c r="F23" i="446"/>
  <c r="AK53" i="338" a="1"/>
  <c r="AK53" i="338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G22" i="446" a="1"/>
  <c r="G22" i="446"/>
  <c r="AG53" i="338"/>
  <c r="AG10" i="338"/>
  <c r="AF48" i="338"/>
  <c r="AF47" i="338"/>
  <c r="AF44" i="338"/>
  <c r="F24" i="446" a="1"/>
  <c r="F24" i="446"/>
  <c r="K3" i="1" a="1"/>
  <c r="K3" i="1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F22" i="446" a="1"/>
  <c r="F22" i="446"/>
  <c r="K6" i="1" a="1"/>
  <c r="K6" i="1"/>
  <c r="AK49" i="338" a="1"/>
  <c r="AK49" i="338"/>
  <c r="AK48" i="338" a="1"/>
  <c r="AK48" i="338"/>
  <c r="AF54" i="338"/>
  <c r="AF53" i="338"/>
  <c r="AF52" i="338"/>
  <c r="AI8" i="338" a="1"/>
  <c r="AI8" i="338"/>
  <c r="AI50" i="338" a="1"/>
  <c r="AI50" i="338"/>
  <c r="AI46" i="338" a="1"/>
  <c r="AI46" i="338"/>
  <c r="AI32" i="338" a="1"/>
  <c r="AI32" i="338"/>
  <c r="F15" i="446" a="1"/>
  <c r="F15" i="446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G15" i="446" a="1"/>
  <c r="G15" i="446"/>
  <c r="G23" i="446" a="1"/>
  <c r="G23" i="446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AI49" i="338" a="1"/>
  <c r="AI49" i="338"/>
  <c r="AI48" i="338" a="1"/>
  <c r="AI48" i="338"/>
  <c r="AK8" i="338" a="1"/>
  <c r="AK8" i="338"/>
  <c r="AK50" i="338" a="1"/>
  <c r="AK50" i="338"/>
  <c r="AK46" i="338" a="1"/>
  <c r="AK46" i="338"/>
  <c r="AK32" i="338" a="1"/>
  <c r="AK32" i="338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K2" i="1"/>
  <c r="K1" i="1"/>
  <c r="AG51" i="338"/>
  <c r="AG47" i="338"/>
  <c r="AG41" i="338"/>
  <c r="AG33" i="338"/>
  <c r="AG31" i="338"/>
  <c r="AF49" i="338"/>
  <c r="AF46" i="338"/>
  <c r="AF45" i="338"/>
  <c r="AG37" i="338"/>
  <c r="AG36" i="338"/>
  <c r="AG35" i="338"/>
  <c r="AG34" i="338"/>
  <c r="AF51" i="338"/>
  <c r="AF50" i="338"/>
  <c r="AG8" i="338"/>
  <c r="AG50" i="338"/>
  <c r="AG46" i="338"/>
  <c r="AG32" i="338"/>
  <c r="K8" i="1" a="1"/>
  <c r="K8" i="1"/>
  <c r="AG49" i="338"/>
  <c r="AG48" i="338"/>
  <c r="G24" i="446" a="1"/>
  <c r="G24" i="446"/>
  <c r="G9" i="446" a="1"/>
  <c r="G9" i="446"/>
  <c r="K4" i="1" a="1"/>
  <c r="K4" i="1"/>
  <c r="X3" i="1"/>
  <c r="G18" i="446" a="1"/>
  <c r="G18" i="446"/>
  <c r="F9" i="446" a="1"/>
  <c r="F9" i="446"/>
  <c r="K28" i="1" a="1"/>
  <c r="K28" i="1"/>
  <c r="E9" i="1"/>
  <c r="K21" i="1" a="1"/>
  <c r="K21" i="1"/>
  <c r="E6" i="1" a="1"/>
  <c r="E6" i="1"/>
  <c r="AH9" i="338" a="1"/>
  <c r="AH9" i="338"/>
  <c r="AH8" i="338" a="1"/>
  <c r="AH8" i="338"/>
  <c r="AG9" i="338"/>
  <c r="AF49" i="1"/>
  <c r="K44" i="1" a="1"/>
  <c r="K44" i="1"/>
  <c r="E2" i="1" a="1"/>
  <c r="E2" i="1"/>
  <c r="AK9" i="338" a="1"/>
  <c r="AK9" i="338"/>
  <c r="AJ9" i="338" a="1"/>
  <c r="AJ9" i="338"/>
  <c r="AJ8" i="338" a="1"/>
  <c r="AJ8" i="338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G27" i="446" a="1"/>
  <c r="G27" i="446"/>
  <c r="AJ35" i="338" a="1"/>
  <c r="AJ35" i="338"/>
  <c r="AJ14" i="338" a="1"/>
  <c r="AJ14" i="338"/>
  <c r="AH35" i="338" a="1"/>
  <c r="AH35" i="338"/>
  <c r="AH14" i="338" a="1"/>
  <c r="AH14" i="338"/>
  <c r="AB22" i="1"/>
  <c r="AB21" i="1"/>
  <c r="F27" i="446" a="1"/>
  <c r="F27" i="446"/>
  <c r="AF33" i="338"/>
  <c r="AF11" i="338"/>
  <c r="AF10" i="338"/>
  <c r="AF28" i="1"/>
  <c r="AF25" i="1"/>
  <c r="AK11" i="338" a="1"/>
  <c r="AK11" i="338"/>
  <c r="AI11" i="338" a="1"/>
  <c r="AI11" i="338"/>
  <c r="AH33" i="338" a="1"/>
  <c r="AH33" i="338"/>
  <c r="AH11" i="338" a="1"/>
  <c r="AH11" i="338"/>
  <c r="AH10" i="338" a="1"/>
  <c r="AH10" i="338"/>
  <c r="AH18" i="338" a="1"/>
  <c r="AH18" i="338"/>
  <c r="AH17" i="338" a="1"/>
  <c r="AH17" i="338"/>
  <c r="G19" i="446" a="1"/>
  <c r="G19" i="446"/>
  <c r="G36" i="446" a="1"/>
  <c r="G36" i="446"/>
  <c r="AF18" i="338"/>
  <c r="AF17" i="338"/>
  <c r="AF47" i="1"/>
  <c r="AI29" i="1"/>
  <c r="AI27" i="1"/>
  <c r="AF35" i="338"/>
  <c r="AF14" i="338"/>
  <c r="AF44" i="1"/>
  <c r="AI22" i="1"/>
  <c r="AI21" i="1"/>
  <c r="AI49" i="1"/>
  <c r="AC47" i="1"/>
  <c r="K29" i="1" a="1"/>
  <c r="K29" i="1"/>
  <c r="E7" i="1" a="1"/>
  <c r="E7" i="1"/>
  <c r="AC41" i="1" a="1"/>
  <c r="AC41" i="1"/>
  <c r="AC40" i="1" a="1"/>
  <c r="AC40" i="1"/>
  <c r="D35" i="446" a="1"/>
  <c r="D35" i="446"/>
  <c r="AC22" i="1" a="1"/>
  <c r="AC22" i="1"/>
  <c r="AC21" i="1" a="1"/>
  <c r="AC21" i="1"/>
  <c r="D27" i="446" a="1"/>
  <c r="D27" i="446"/>
  <c r="AB16" i="1"/>
  <c r="F21" i="446" a="1"/>
  <c r="F21" i="446"/>
  <c r="G26" i="446" a="1"/>
  <c r="G26" i="446"/>
  <c r="AJ18" i="338" a="1"/>
  <c r="AJ18" i="338"/>
  <c r="AJ17" i="338" a="1"/>
  <c r="AJ17" i="338"/>
  <c r="AI9" i="338" a="1"/>
  <c r="AI9" i="338"/>
  <c r="AB47" i="1"/>
  <c r="F14" i="446" a="1"/>
  <c r="F14" i="446"/>
  <c r="AB49" i="1"/>
  <c r="F19" i="446" a="1"/>
  <c r="F19" i="446"/>
  <c r="AC28" i="1" a="1"/>
  <c r="AC28" i="1"/>
  <c r="AC25" i="1" a="1"/>
  <c r="AC25" i="1"/>
  <c r="D26" i="446" a="1"/>
  <c r="D26" i="446"/>
  <c r="AB28" i="1"/>
  <c r="AB25" i="1"/>
  <c r="F26" i="446" a="1"/>
  <c r="F26" i="446"/>
  <c r="K47" i="1" a="1"/>
  <c r="K47" i="1"/>
  <c r="AC49" i="1"/>
  <c r="AC29" i="1" a="1"/>
  <c r="AC29" i="1"/>
  <c r="AC27" i="1" a="1"/>
  <c r="AC27" i="1"/>
  <c r="D30" i="446" a="1"/>
  <c r="D30" i="446"/>
  <c r="AF34" i="338"/>
  <c r="AF13" i="338"/>
  <c r="AF41" i="1"/>
  <c r="AF40" i="1"/>
  <c r="G30" i="446" a="1"/>
  <c r="G30" i="446"/>
  <c r="AC16" i="1"/>
  <c r="AJ34" i="338" a="1"/>
  <c r="AJ34" i="338"/>
  <c r="AJ13" i="338" a="1"/>
  <c r="AJ13" i="338"/>
  <c r="K49" i="1" a="1"/>
  <c r="K49" i="1"/>
  <c r="AC44" i="1" a="1"/>
  <c r="AC44" i="1"/>
  <c r="D36" i="446" a="1"/>
  <c r="D36" i="446"/>
  <c r="AF9" i="338"/>
  <c r="AF8" i="338"/>
  <c r="AF29" i="1"/>
  <c r="AF27" i="1"/>
  <c r="AI41" i="1"/>
  <c r="AI40" i="1"/>
  <c r="AJ33" i="338" a="1"/>
  <c r="AJ33" i="338"/>
  <c r="AJ11" i="338" a="1"/>
  <c r="AJ11" i="338"/>
  <c r="AJ10" i="338" a="1"/>
  <c r="AJ10" i="338"/>
  <c r="AI47" i="1"/>
  <c r="AI16" i="1"/>
  <c r="K5" i="1" a="1"/>
  <c r="K5" i="1"/>
  <c r="K16" i="1" a="1"/>
  <c r="K16" i="1"/>
  <c r="AB29" i="1"/>
  <c r="AB27" i="1"/>
  <c r="F30" i="446" a="1"/>
  <c r="F30" i="446"/>
  <c r="AI44" i="1"/>
  <c r="G35" i="446" a="1"/>
  <c r="G35" i="446"/>
  <c r="AB44" i="1"/>
  <c r="F36" i="446" a="1"/>
  <c r="F36" i="446"/>
  <c r="G21" i="446" a="1"/>
  <c r="G21" i="446"/>
  <c r="K40" i="1" a="1"/>
  <c r="K40" i="1"/>
  <c r="E3" i="1"/>
  <c r="AH34" i="338" a="1"/>
  <c r="AH34" i="338"/>
  <c r="AH13" i="338" a="1"/>
  <c r="AH13" i="338"/>
  <c r="AB41" i="1"/>
  <c r="AB40" i="1"/>
  <c r="F35" i="446" a="1"/>
  <c r="F35" i="446"/>
  <c r="AG52" i="338"/>
  <c r="AG44" i="338"/>
  <c r="AG39" i="338"/>
  <c r="AG38" i="338"/>
  <c r="AG17" i="338"/>
  <c r="AG16" i="338"/>
  <c r="AG15" i="338"/>
  <c r="AF16" i="1"/>
  <c r="G14" i="446" a="1"/>
  <c r="G14" i="446"/>
  <c r="AI28" i="1"/>
  <c r="AI25" i="1"/>
  <c r="AG11" i="338"/>
  <c r="AF22" i="1"/>
  <c r="AF21" i="1"/>
  <c r="K42" i="1" a="1"/>
  <c r="K42" i="1"/>
  <c r="AC34" i="1" a="1"/>
  <c r="AC34" i="1"/>
  <c r="AC33" i="1" a="1"/>
  <c r="AC33" i="1"/>
  <c r="K33" i="1" a="1"/>
  <c r="K33" i="1"/>
  <c r="K23" i="1" a="1"/>
  <c r="K23" i="1"/>
  <c r="E5" i="1" a="1"/>
  <c r="E5" i="1"/>
  <c r="AI30" i="1"/>
  <c r="AC30" i="1" a="1"/>
  <c r="AC30" i="1"/>
  <c r="K35" i="1" a="1"/>
  <c r="K35" i="1"/>
  <c r="AF32" i="1"/>
  <c r="AF31" i="1"/>
  <c r="AB24" i="1"/>
  <c r="AB23" i="1"/>
  <c r="AF12" i="1"/>
  <c r="AI32" i="1"/>
  <c r="AI31" i="1"/>
  <c r="AC12" i="1"/>
  <c r="K30" i="1" a="1"/>
  <c r="K30" i="1"/>
  <c r="AB43" i="1"/>
  <c r="AB32" i="1"/>
  <c r="AB31" i="1"/>
  <c r="AB13" i="1"/>
  <c r="AF34" i="1"/>
  <c r="AF33" i="1"/>
  <c r="AC46" i="1" a="1"/>
  <c r="AC46" i="1"/>
  <c r="AC24" i="1" a="1"/>
  <c r="AC24" i="1"/>
  <c r="AC23" i="1" a="1"/>
  <c r="AC23" i="1"/>
  <c r="AF36" i="1"/>
  <c r="AF35" i="1"/>
  <c r="AI12" i="1"/>
  <c r="AC32" i="1" a="1"/>
  <c r="AC32" i="1"/>
  <c r="AC31" i="1" a="1"/>
  <c r="AC31" i="1"/>
  <c r="AF24" i="1"/>
  <c r="AF23" i="1"/>
  <c r="AF42" i="1"/>
  <c r="AF43" i="1"/>
  <c r="AB36" i="1"/>
  <c r="AB35" i="1"/>
  <c r="AI46" i="1"/>
  <c r="AC43" i="1" a="1"/>
  <c r="AC43" i="1"/>
  <c r="AB34" i="1"/>
  <c r="AB33" i="1"/>
  <c r="K12" i="1" a="1"/>
  <c r="K12" i="1"/>
  <c r="AI13" i="1"/>
  <c r="K46" i="1" a="1"/>
  <c r="K46" i="1"/>
  <c r="AI42" i="1"/>
  <c r="AF13" i="1"/>
  <c r="AB42" i="1"/>
  <c r="AC13" i="1"/>
  <c r="AC36" i="1" a="1"/>
  <c r="AC36" i="1"/>
  <c r="AC35" i="1" a="1"/>
  <c r="AC35" i="1"/>
  <c r="AI43" i="1"/>
  <c r="K43" i="1" a="1"/>
  <c r="K43" i="1"/>
  <c r="K13" i="1" a="1"/>
  <c r="K13" i="1"/>
  <c r="AB46" i="1"/>
  <c r="AI34" i="1"/>
  <c r="AI33" i="1"/>
  <c r="AF46" i="1"/>
  <c r="AC42" i="1" a="1"/>
  <c r="AC42" i="1"/>
  <c r="AI36" i="1"/>
  <c r="AI35" i="1"/>
  <c r="AB12" i="1"/>
  <c r="AI24" i="1"/>
  <c r="AI23" i="1"/>
  <c r="AB30" i="1"/>
  <c r="AF30" i="1"/>
  <c r="K31" i="1" a="1"/>
  <c r="K31" i="1"/>
  <c r="F11" i="252" a="1"/>
  <c r="F11" i="252"/>
  <c r="P17" i="252" a="1"/>
  <c r="P17" i="252"/>
  <c r="F20" i="252" a="1"/>
  <c r="F20" i="252"/>
  <c r="F19" i="252" a="1"/>
  <c r="F19" i="252"/>
  <c r="N19" i="252" a="1"/>
  <c r="N19" i="252"/>
  <c r="F14" i="252" a="1"/>
  <c r="F14" i="252"/>
  <c r="P19" i="252" a="1"/>
  <c r="P19" i="252"/>
  <c r="M17" i="252" a="1"/>
  <c r="M17" i="252"/>
  <c r="S20" i="252" a="1"/>
  <c r="S20" i="252"/>
  <c r="S19" i="252" a="1"/>
  <c r="S19" i="252"/>
  <c r="S10" i="252" a="1"/>
  <c r="S10" i="252"/>
  <c r="M11" i="252" a="1"/>
  <c r="M11" i="252"/>
  <c r="P18" i="252" a="1"/>
  <c r="P18" i="252"/>
  <c r="L14" i="252" a="1"/>
  <c r="L14" i="252"/>
  <c r="F7" i="252" a="1"/>
  <c r="F7" i="252"/>
  <c r="P8" i="252" a="1"/>
  <c r="P8" i="252"/>
  <c r="O8" i="252" a="1"/>
  <c r="O8" i="252"/>
  <c r="P7" i="252" a="1"/>
  <c r="P7" i="252"/>
  <c r="L16" i="252" a="1"/>
  <c r="L16" i="252"/>
  <c r="P20" i="252" a="1"/>
  <c r="P20" i="252"/>
  <c r="N17" i="252" a="1"/>
  <c r="N17" i="252"/>
  <c r="F10" i="252" a="1"/>
  <c r="F10" i="252"/>
  <c r="S18" i="252" a="1"/>
  <c r="S18" i="252"/>
  <c r="S14" i="252" a="1"/>
  <c r="S14" i="252"/>
  <c r="N8" i="252" a="1"/>
  <c r="N8" i="252"/>
  <c r="L10" i="252" a="1"/>
  <c r="L10" i="252"/>
  <c r="O19" i="252" a="1"/>
  <c r="O19" i="252"/>
  <c r="M16" i="252" a="1"/>
  <c r="M16" i="252"/>
  <c r="M10" i="252" a="1"/>
  <c r="M10" i="252"/>
  <c r="L7" i="252" a="1"/>
  <c r="L7" i="252"/>
  <c r="P11" i="252" a="1"/>
  <c r="P11" i="252"/>
  <c r="N18" i="252" a="1"/>
  <c r="N18" i="252"/>
  <c r="F17" i="252" a="1"/>
  <c r="F17" i="252"/>
  <c r="O16" i="252" a="1"/>
  <c r="O16" i="252"/>
  <c r="S8" i="252" a="1"/>
  <c r="S8" i="252"/>
  <c r="S11" i="252" a="1"/>
  <c r="S11" i="252"/>
  <c r="L17" i="252" a="1"/>
  <c r="L17" i="252"/>
  <c r="L8" i="252" a="1"/>
  <c r="L8" i="252"/>
  <c r="M18" i="252" a="1"/>
  <c r="M18" i="252"/>
  <c r="S16" i="252" a="1"/>
  <c r="S16" i="252"/>
  <c r="L11" i="252" a="1"/>
  <c r="L11" i="252"/>
  <c r="O14" i="252" a="1"/>
  <c r="O14" i="252"/>
  <c r="N14" i="252" a="1"/>
  <c r="N14" i="252"/>
  <c r="O17" i="252" a="1"/>
  <c r="O17" i="252"/>
  <c r="M20" i="252" a="1"/>
  <c r="M20" i="252"/>
  <c r="N20" i="252" a="1"/>
  <c r="N20" i="252"/>
  <c r="N10" i="252" a="1"/>
  <c r="N10" i="252"/>
  <c r="M19" i="252" a="1"/>
  <c r="M19" i="252"/>
  <c r="N7" i="252" a="1"/>
  <c r="N7" i="252"/>
  <c r="F16" i="252" a="1"/>
  <c r="F16" i="252"/>
  <c r="O20" i="252" a="1"/>
  <c r="O20" i="252"/>
  <c r="O11" i="252" a="1"/>
  <c r="O11" i="252"/>
  <c r="P10" i="252" a="1"/>
  <c r="P10" i="252"/>
  <c r="N16" i="252" a="1"/>
  <c r="N16" i="252"/>
  <c r="N11" i="252" a="1"/>
  <c r="N11" i="252"/>
  <c r="M14" i="252" a="1"/>
  <c r="M14" i="252"/>
  <c r="P14" i="252" a="1"/>
  <c r="P14" i="252"/>
  <c r="L19" i="252" a="1"/>
  <c r="L19" i="252"/>
  <c r="O10" i="252" a="1"/>
  <c r="O10" i="252"/>
  <c r="M7" i="252" a="1"/>
  <c r="M7" i="252"/>
  <c r="M8" i="252" a="1"/>
  <c r="M8" i="252"/>
  <c r="L20" i="252" a="1"/>
  <c r="L20" i="252"/>
  <c r="S7" i="252" a="1"/>
  <c r="S7" i="252"/>
  <c r="L18" i="252" a="1"/>
  <c r="L18" i="252"/>
  <c r="O7" i="252" a="1"/>
  <c r="O7" i="252"/>
  <c r="P16" i="252" a="1"/>
  <c r="P16" i="252"/>
  <c r="F18" i="252" a="1"/>
  <c r="F18" i="252"/>
  <c r="F8" i="252" a="1"/>
  <c r="F8" i="252"/>
  <c r="O18" i="252" a="1"/>
  <c r="O18" i="252"/>
  <c r="S17" i="252" a="1"/>
  <c r="S17" i="252"/>
  <c r="AH32" i="338" a="1"/>
  <c r="AH32" i="338"/>
  <c r="AH31" i="338" a="1"/>
  <c r="AH31" i="338"/>
  <c r="AJ42" i="338" a="1"/>
  <c r="AJ42" i="338"/>
  <c r="AJ41" i="338" a="1"/>
  <c r="AJ41" i="338"/>
  <c r="AG42" i="338"/>
  <c r="AH42" i="338" a="1"/>
  <c r="AH42" i="338"/>
  <c r="AH41" i="338" a="1"/>
  <c r="AH41" i="338"/>
  <c r="AI42" i="338" a="1"/>
  <c r="AI42" i="338"/>
  <c r="AJ32" i="338" a="1"/>
  <c r="AJ32" i="338"/>
  <c r="AJ31" i="338" a="1"/>
  <c r="AJ31" i="338"/>
  <c r="AK42" i="338" a="1"/>
  <c r="AK42" i="338"/>
  <c r="AF42" i="338"/>
  <c r="AF41" i="338"/>
  <c r="AF32" i="338"/>
  <c r="AF31" i="338"/>
  <c r="M15" i="252" a="1"/>
  <c r="M15" i="252"/>
  <c r="M9" i="252" a="1"/>
  <c r="M9" i="252"/>
  <c r="O12" i="252" a="1"/>
  <c r="O12" i="252"/>
  <c r="O15" i="252" a="1"/>
  <c r="O15" i="252"/>
  <c r="L9" i="252" a="1"/>
  <c r="L9" i="252"/>
  <c r="N15" i="252" a="1"/>
  <c r="N15" i="252"/>
  <c r="L15" i="252" a="1"/>
  <c r="L15" i="252"/>
  <c r="N12" i="252" a="1"/>
  <c r="N12" i="252"/>
  <c r="O9" i="252" a="1"/>
  <c r="O9" i="252"/>
  <c r="M12" i="252" a="1"/>
  <c r="M12" i="252"/>
  <c r="N9" i="252" a="1"/>
  <c r="N9" i="252"/>
  <c r="L12" i="252" a="1"/>
  <c r="L12" i="252"/>
  <c r="AB48" i="1"/>
  <c r="AB26" i="1"/>
  <c r="AB20" i="1"/>
  <c r="K48" i="1" a="1"/>
  <c r="K48" i="1"/>
  <c r="AF48" i="1"/>
  <c r="AI26" i="1"/>
  <c r="AI20" i="1"/>
  <c r="AC26" i="1" a="1"/>
  <c r="AC26" i="1"/>
  <c r="AC20" i="1" a="1"/>
  <c r="AC20" i="1"/>
  <c r="AI48" i="1"/>
  <c r="AF26" i="1"/>
  <c r="AF20" i="1"/>
  <c r="AC48" i="1"/>
  <c r="K20" i="1" a="1"/>
  <c r="K20" i="1"/>
  <c r="L13" i="252" a="1"/>
  <c r="L13" i="252"/>
  <c r="F13" i="252" a="1"/>
  <c r="F13" i="252"/>
  <c r="M13" i="252" a="1"/>
  <c r="M13" i="252"/>
  <c r="O13" i="252" a="1"/>
  <c r="O13" i="252"/>
  <c r="N13" i="252" a="1"/>
  <c r="N13" i="252"/>
  <c r="AA179" i="89" a="1"/>
  <c r="AA179" i="89"/>
  <c r="AA178" i="89" a="1"/>
  <c r="AA178" i="89"/>
  <c r="AB2" i="1" a="1"/>
  <c r="AB2" i="1"/>
  <c r="O179" i="89" a="1"/>
  <c r="O179" i="89"/>
  <c r="Z179" i="89" a="1"/>
  <c r="O178" i="89" a="1"/>
  <c r="Z179" i="89" l="1"/>
  <c r="O178" i="89"/>
  <c r="Z178" i="89" a="1"/>
  <c r="Z178" i="89" l="1"/>
  <c r="L55" i="338" a="1"/>
  <c r="L55" i="338"/>
  <c r="J55" i="338" a="1"/>
  <c r="J55" i="338"/>
  <c r="J14" i="338" a="1"/>
  <c r="J14" i="338"/>
  <c r="H55" i="338" a="1"/>
  <c r="H55" i="338"/>
  <c r="AK55" i="338" a="1"/>
  <c r="AK55" i="338"/>
  <c r="AK14" i="338" a="1"/>
  <c r="AK14" i="338"/>
  <c r="AJ55" i="338" a="1"/>
  <c r="AJ55" i="338"/>
  <c r="V55" i="338" a="1"/>
  <c r="V55" i="338"/>
  <c r="AD2" i="1" a="1"/>
  <c r="AD2" i="1"/>
  <c r="AC2" i="1" a="1"/>
  <c r="AC2" i="1"/>
  <c r="E179" i="89" a="1"/>
  <c r="E179" i="89"/>
  <c r="E178" i="89" a="1"/>
  <c r="E178" i="89"/>
  <c r="X55" i="338" a="1"/>
  <c r="X55" i="338"/>
  <c r="C179" i="89" a="1"/>
  <c r="C179" i="89"/>
  <c r="C178" i="89" a="1"/>
  <c r="C178" i="89"/>
  <c r="V179" i="89" a="1"/>
  <c r="V179" i="89"/>
  <c r="V178" i="89" a="1"/>
  <c r="V178" i="89"/>
  <c r="U55" i="338" a="1"/>
  <c r="U55" i="338"/>
  <c r="AI55" i="338" a="1"/>
  <c r="AI55" i="338"/>
  <c r="AI14" i="338" a="1"/>
  <c r="AI14" i="338"/>
  <c r="AH55" i="338" a="1"/>
  <c r="AH55" i="338"/>
  <c r="J1" i="24" a="1"/>
  <c r="J1" i="24"/>
  <c r="K2" i="2" a="1"/>
  <c r="K2" i="2"/>
  <c r="T55" i="338" a="1"/>
  <c r="T55" i="338"/>
  <c r="T179" i="89" a="1"/>
  <c r="T179" i="89"/>
  <c r="T178" i="89" a="1"/>
  <c r="T178" i="89"/>
  <c r="S55" i="338" a="1"/>
  <c r="S55" i="338"/>
  <c r="P55" i="338" a="1"/>
  <c r="P55" i="338"/>
  <c r="J10" i="252" a="1"/>
  <c r="J9" i="252" a="1"/>
  <c r="J17" i="252" a="1"/>
  <c r="J14" i="252" a="1"/>
  <c r="J16" i="252" a="1"/>
  <c r="J7" i="252" a="1"/>
  <c r="J12" i="252" a="1"/>
  <c r="J18" i="252" a="1"/>
  <c r="J13" i="252" a="1"/>
  <c r="J20" i="252" a="1"/>
  <c r="J6" i="252" a="1"/>
  <c r="J11" i="252" a="1"/>
  <c r="J19" i="252" a="1"/>
  <c r="J15" i="252" a="1"/>
  <c r="J8" i="252" a="1"/>
  <c r="J8" i="252" l="1"/>
  <c r="J15" i="252"/>
  <c r="J19" i="252"/>
  <c r="J11" i="252"/>
  <c r="J6" i="252"/>
  <c r="J20" i="252"/>
  <c r="J13" i="252"/>
  <c r="J18" i="252"/>
  <c r="J12" i="252"/>
  <c r="J7" i="252"/>
  <c r="J16" i="252"/>
  <c r="J14" i="252"/>
  <c r="J17" i="252"/>
  <c r="J9" i="252"/>
  <c r="J10" i="252"/>
  <c r="W8" i="252" l="1"/>
  <c r="T18" i="252"/>
  <c r="T17" i="252"/>
  <c r="W11" i="252"/>
  <c r="W19" i="252"/>
  <c r="W16" i="252"/>
  <c r="T14" i="252"/>
  <c r="T19" i="252"/>
  <c r="T8" i="252"/>
  <c r="W18" i="252"/>
  <c r="W17" i="252"/>
  <c r="T11" i="252"/>
  <c r="W10" i="252"/>
  <c r="W14" i="252"/>
  <c r="T10" i="252"/>
  <c r="T16" i="252"/>
  <c r="W20" i="252" l="1"/>
  <c r="T7" i="252"/>
  <c r="T20" i="252"/>
  <c r="W7" i="252"/>
  <c r="X2" i="527" l="1"/>
  <c r="U2" i="527"/>
  <c r="R2" i="527"/>
  <c r="R165" i="444"/>
  <c r="T165" i="444" s="1"/>
  <c r="U165" i="444" s="1"/>
  <c r="G165" i="444"/>
  <c r="T164" i="444"/>
  <c r="U164" i="444" s="1"/>
  <c r="R164" i="444"/>
  <c r="S164" i="444" s="1"/>
  <c r="G164" i="444"/>
  <c r="R163" i="444"/>
  <c r="T163" i="444" s="1"/>
  <c r="U163" i="444" s="1"/>
  <c r="G163" i="444"/>
  <c r="R162" i="444"/>
  <c r="T162" i="444" s="1"/>
  <c r="U162" i="444" s="1"/>
  <c r="G162" i="444"/>
  <c r="R161" i="444"/>
  <c r="T161" i="444" s="1"/>
  <c r="U161" i="444" s="1"/>
  <c r="G161" i="444"/>
  <c r="R160" i="444"/>
  <c r="T160" i="444" s="1"/>
  <c r="U160" i="444" s="1"/>
  <c r="G160" i="444"/>
  <c r="R159" i="444"/>
  <c r="T159" i="444" s="1"/>
  <c r="U159" i="444" s="1"/>
  <c r="G159" i="444"/>
  <c r="T158" i="444"/>
  <c r="U158" i="444" s="1"/>
  <c r="V158" i="444" s="1"/>
  <c r="S158" i="444"/>
  <c r="R158" i="444"/>
  <c r="G158" i="444"/>
  <c r="R157" i="444"/>
  <c r="T157" i="444" s="1"/>
  <c r="U157" i="444" s="1"/>
  <c r="G157" i="444"/>
  <c r="S156" i="444"/>
  <c r="R156" i="444"/>
  <c r="T156" i="444" s="1"/>
  <c r="U156" i="444" s="1"/>
  <c r="G156" i="444"/>
  <c r="R155" i="444"/>
  <c r="G155" i="444"/>
  <c r="S154" i="444"/>
  <c r="R154" i="444"/>
  <c r="T154" i="444" s="1"/>
  <c r="U154" i="444" s="1"/>
  <c r="G154" i="444"/>
  <c r="T153" i="444"/>
  <c r="U153" i="444" s="1"/>
  <c r="R153" i="444"/>
  <c r="S153" i="444" s="1"/>
  <c r="G153" i="444"/>
  <c r="S152" i="444"/>
  <c r="R152" i="444"/>
  <c r="T152" i="444" s="1"/>
  <c r="U152" i="444" s="1"/>
  <c r="G152" i="444"/>
  <c r="T151" i="444"/>
  <c r="U151" i="444" s="1"/>
  <c r="R151" i="444"/>
  <c r="S151" i="444" s="1"/>
  <c r="V151" i="444" s="1"/>
  <c r="W151" i="444" s="1"/>
  <c r="G151" i="444"/>
  <c r="R150" i="444"/>
  <c r="T150" i="444" s="1"/>
  <c r="U150" i="444" s="1"/>
  <c r="G150" i="444"/>
  <c r="T149" i="444"/>
  <c r="U149" i="444" s="1"/>
  <c r="S149" i="444"/>
  <c r="R149" i="444"/>
  <c r="G149" i="444"/>
  <c r="R148" i="444"/>
  <c r="T148" i="444" s="1"/>
  <c r="U148" i="444" s="1"/>
  <c r="G148" i="444"/>
  <c r="S147" i="444"/>
  <c r="R147" i="444"/>
  <c r="T147" i="444" s="1"/>
  <c r="U147" i="444" s="1"/>
  <c r="G147" i="444"/>
  <c r="T146" i="444"/>
  <c r="U146" i="444" s="1"/>
  <c r="R146" i="444"/>
  <c r="S146" i="444" s="1"/>
  <c r="G146" i="444"/>
  <c r="S145" i="444"/>
  <c r="R145" i="444"/>
  <c r="T145" i="444" s="1"/>
  <c r="U145" i="444" s="1"/>
  <c r="V145" i="444" s="1"/>
  <c r="W145" i="444" s="1"/>
  <c r="G145" i="444"/>
  <c r="T144" i="444"/>
  <c r="U144" i="444" s="1"/>
  <c r="R144" i="444"/>
  <c r="S144" i="444" s="1"/>
  <c r="G144" i="444"/>
  <c r="R143" i="444"/>
  <c r="T143" i="444" s="1"/>
  <c r="U143" i="444" s="1"/>
  <c r="G143" i="444"/>
  <c r="T142" i="444"/>
  <c r="U142" i="444" s="1"/>
  <c r="R142" i="444"/>
  <c r="S142" i="444" s="1"/>
  <c r="G142" i="444"/>
  <c r="R141" i="444"/>
  <c r="T141" i="444" s="1"/>
  <c r="U141" i="444" s="1"/>
  <c r="G141" i="444"/>
  <c r="S140" i="444"/>
  <c r="R140" i="444"/>
  <c r="T140" i="444" s="1"/>
  <c r="U140" i="444" s="1"/>
  <c r="V140" i="444" s="1"/>
  <c r="W140" i="444" s="1"/>
  <c r="G140" i="444"/>
  <c r="R139" i="444"/>
  <c r="T139" i="444" s="1"/>
  <c r="U139" i="444" s="1"/>
  <c r="G139" i="444"/>
  <c r="T138" i="444"/>
  <c r="U138" i="444" s="1"/>
  <c r="V138" i="444" s="1"/>
  <c r="S138" i="444"/>
  <c r="R138" i="444"/>
  <c r="G138" i="444"/>
  <c r="R137" i="444"/>
  <c r="T137" i="444" s="1"/>
  <c r="U137" i="444" s="1"/>
  <c r="G137" i="444"/>
  <c r="S136" i="444"/>
  <c r="R136" i="444"/>
  <c r="T136" i="444" s="1"/>
  <c r="U136" i="444" s="1"/>
  <c r="V136" i="444" s="1"/>
  <c r="W136" i="444" s="1"/>
  <c r="G136" i="444"/>
  <c r="R135" i="444"/>
  <c r="G135" i="444"/>
  <c r="S134" i="444"/>
  <c r="R134" i="444"/>
  <c r="T134" i="444" s="1"/>
  <c r="U134" i="444" s="1"/>
  <c r="G134" i="444"/>
  <c r="T133" i="444"/>
  <c r="U133" i="444" s="1"/>
  <c r="R133" i="444"/>
  <c r="S133" i="444" s="1"/>
  <c r="G133" i="444"/>
  <c r="S132" i="444"/>
  <c r="R132" i="444"/>
  <c r="T132" i="444" s="1"/>
  <c r="U132" i="444" s="1"/>
  <c r="G132" i="444"/>
  <c r="T131" i="444"/>
  <c r="U131" i="444" s="1"/>
  <c r="R131" i="444"/>
  <c r="S131" i="444" s="1"/>
  <c r="G131" i="444"/>
  <c r="R130" i="444"/>
  <c r="T130" i="444" s="1"/>
  <c r="U130" i="444" s="1"/>
  <c r="G130" i="444"/>
  <c r="T129" i="444"/>
  <c r="U129" i="444" s="1"/>
  <c r="S129" i="444"/>
  <c r="R129" i="444"/>
  <c r="G129" i="444"/>
  <c r="R128" i="444"/>
  <c r="T128" i="444" s="1"/>
  <c r="U128" i="444" s="1"/>
  <c r="G128" i="444"/>
  <c r="S127" i="444"/>
  <c r="R127" i="444"/>
  <c r="T127" i="444" s="1"/>
  <c r="U127" i="444" s="1"/>
  <c r="G127" i="444"/>
  <c r="T126" i="444"/>
  <c r="U126" i="444" s="1"/>
  <c r="R126" i="444"/>
  <c r="S126" i="444" s="1"/>
  <c r="G126" i="444"/>
  <c r="S125" i="444"/>
  <c r="R125" i="444"/>
  <c r="T125" i="444" s="1"/>
  <c r="U125" i="444" s="1"/>
  <c r="G125" i="444"/>
  <c r="T124" i="444"/>
  <c r="U124" i="444" s="1"/>
  <c r="R124" i="444"/>
  <c r="S124" i="444" s="1"/>
  <c r="G124" i="444"/>
  <c r="R123" i="444"/>
  <c r="T123" i="444" s="1"/>
  <c r="U123" i="444" s="1"/>
  <c r="G123" i="444"/>
  <c r="T122" i="444"/>
  <c r="U122" i="444" s="1"/>
  <c r="R122" i="444"/>
  <c r="S122" i="444" s="1"/>
  <c r="G122" i="444"/>
  <c r="R121" i="444"/>
  <c r="T121" i="444" s="1"/>
  <c r="U121" i="444" s="1"/>
  <c r="G121" i="444"/>
  <c r="S120" i="444"/>
  <c r="R120" i="444"/>
  <c r="T120" i="444" s="1"/>
  <c r="U120" i="444" s="1"/>
  <c r="V120" i="444" s="1"/>
  <c r="W120" i="444" s="1"/>
  <c r="G120" i="444"/>
  <c r="R119" i="444"/>
  <c r="T119" i="444" s="1"/>
  <c r="U119" i="444" s="1"/>
  <c r="G119" i="444"/>
  <c r="T118" i="444"/>
  <c r="U118" i="444" s="1"/>
  <c r="V118" i="444" s="1"/>
  <c r="W118" i="444" s="1"/>
  <c r="S118" i="444"/>
  <c r="R118" i="444"/>
  <c r="G118" i="444"/>
  <c r="R117" i="444"/>
  <c r="T117" i="444" s="1"/>
  <c r="U117" i="444" s="1"/>
  <c r="G117" i="444"/>
  <c r="S116" i="444"/>
  <c r="R116" i="444"/>
  <c r="T116" i="444" s="1"/>
  <c r="U116" i="444" s="1"/>
  <c r="V116" i="444" s="1"/>
  <c r="W116" i="444" s="1"/>
  <c r="G116" i="444"/>
  <c r="R115" i="444"/>
  <c r="G115" i="444"/>
  <c r="S114" i="444"/>
  <c r="R114" i="444"/>
  <c r="T114" i="444" s="1"/>
  <c r="U114" i="444" s="1"/>
  <c r="G114" i="444"/>
  <c r="T113" i="444"/>
  <c r="U113" i="444" s="1"/>
  <c r="R113" i="444"/>
  <c r="S113" i="444" s="1"/>
  <c r="G113" i="444"/>
  <c r="S112" i="444"/>
  <c r="R112" i="444"/>
  <c r="T112" i="444" s="1"/>
  <c r="U112" i="444" s="1"/>
  <c r="G112" i="444"/>
  <c r="T111" i="444"/>
  <c r="U111" i="444" s="1"/>
  <c r="V111" i="444" s="1"/>
  <c r="W111" i="444" s="1"/>
  <c r="S111" i="444"/>
  <c r="R111" i="444"/>
  <c r="G111" i="444"/>
  <c r="R110" i="444"/>
  <c r="G110" i="444"/>
  <c r="T109" i="444"/>
  <c r="U109" i="444" s="1"/>
  <c r="S109" i="444"/>
  <c r="R109" i="444"/>
  <c r="G109" i="444"/>
  <c r="R108" i="444"/>
  <c r="T108" i="444" s="1"/>
  <c r="U108" i="444" s="1"/>
  <c r="G108" i="444"/>
  <c r="S107" i="444"/>
  <c r="R107" i="444"/>
  <c r="T107" i="444" s="1"/>
  <c r="U107" i="444" s="1"/>
  <c r="G107" i="444"/>
  <c r="T106" i="444"/>
  <c r="U106" i="444" s="1"/>
  <c r="R106" i="444"/>
  <c r="S106" i="444" s="1"/>
  <c r="G106" i="444"/>
  <c r="S105" i="444"/>
  <c r="R105" i="444"/>
  <c r="T105" i="444" s="1"/>
  <c r="U105" i="444" s="1"/>
  <c r="G105" i="444"/>
  <c r="T104" i="444"/>
  <c r="U104" i="444" s="1"/>
  <c r="R104" i="444"/>
  <c r="S104" i="444" s="1"/>
  <c r="G104" i="444"/>
  <c r="R103" i="444"/>
  <c r="T103" i="444" s="1"/>
  <c r="U103" i="444" s="1"/>
  <c r="G103" i="444"/>
  <c r="T102" i="444"/>
  <c r="U102" i="444" s="1"/>
  <c r="R102" i="444"/>
  <c r="S102" i="444" s="1"/>
  <c r="G102" i="444"/>
  <c r="R101" i="444"/>
  <c r="T101" i="444" s="1"/>
  <c r="U101" i="444" s="1"/>
  <c r="G101" i="444"/>
  <c r="S100" i="444"/>
  <c r="R100" i="444"/>
  <c r="T100" i="444" s="1"/>
  <c r="U100" i="444" s="1"/>
  <c r="V100" i="444" s="1"/>
  <c r="W100" i="444" s="1"/>
  <c r="G100" i="444"/>
  <c r="R99" i="444"/>
  <c r="T99" i="444" s="1"/>
  <c r="U99" i="444" s="1"/>
  <c r="G99" i="444"/>
  <c r="T98" i="444"/>
  <c r="U98" i="444" s="1"/>
  <c r="V98" i="444" s="1"/>
  <c r="S98" i="444"/>
  <c r="R98" i="444"/>
  <c r="G98" i="444"/>
  <c r="R97" i="444"/>
  <c r="T97" i="444" s="1"/>
  <c r="U97" i="444" s="1"/>
  <c r="G97" i="444"/>
  <c r="S96" i="444"/>
  <c r="R96" i="444"/>
  <c r="T96" i="444" s="1"/>
  <c r="U96" i="444" s="1"/>
  <c r="V96" i="444" s="1"/>
  <c r="W96" i="444" s="1"/>
  <c r="G96" i="444"/>
  <c r="R95" i="444"/>
  <c r="G95" i="444"/>
  <c r="S94" i="444"/>
  <c r="R94" i="444"/>
  <c r="T94" i="444" s="1"/>
  <c r="U94" i="444" s="1"/>
  <c r="G94" i="444"/>
  <c r="T93" i="444"/>
  <c r="U93" i="444" s="1"/>
  <c r="R93" i="444"/>
  <c r="S93" i="444" s="1"/>
  <c r="G93" i="444"/>
  <c r="S92" i="444"/>
  <c r="R92" i="444"/>
  <c r="T92" i="444" s="1"/>
  <c r="U92" i="444" s="1"/>
  <c r="G92" i="444"/>
  <c r="T91" i="444"/>
  <c r="U91" i="444" s="1"/>
  <c r="V91" i="444" s="1"/>
  <c r="W91" i="444" s="1"/>
  <c r="S91" i="444"/>
  <c r="R91" i="444"/>
  <c r="G91" i="444"/>
  <c r="R90" i="444"/>
  <c r="G90" i="444"/>
  <c r="T89" i="444"/>
  <c r="U89" i="444" s="1"/>
  <c r="S89" i="444"/>
  <c r="V89" i="444" s="1"/>
  <c r="W89" i="444" s="1"/>
  <c r="R89" i="444"/>
  <c r="G89" i="444"/>
  <c r="R88" i="444"/>
  <c r="T88" i="444" s="1"/>
  <c r="U88" i="444" s="1"/>
  <c r="G88" i="444"/>
  <c r="S87" i="444"/>
  <c r="R87" i="444"/>
  <c r="T87" i="444" s="1"/>
  <c r="U87" i="444" s="1"/>
  <c r="G87" i="444"/>
  <c r="T86" i="444"/>
  <c r="U86" i="444" s="1"/>
  <c r="V86" i="444" s="1"/>
  <c r="W86" i="444" s="1"/>
  <c r="S86" i="444"/>
  <c r="R86" i="444"/>
  <c r="G86" i="444"/>
  <c r="S85" i="444"/>
  <c r="R85" i="444"/>
  <c r="T85" i="444" s="1"/>
  <c r="U85" i="444" s="1"/>
  <c r="G85" i="444"/>
  <c r="T84" i="444"/>
  <c r="U84" i="444" s="1"/>
  <c r="R84" i="444"/>
  <c r="S84" i="444" s="1"/>
  <c r="G84" i="444"/>
  <c r="R83" i="444"/>
  <c r="T83" i="444" s="1"/>
  <c r="U83" i="444" s="1"/>
  <c r="G83" i="444"/>
  <c r="T82" i="444"/>
  <c r="U82" i="444" s="1"/>
  <c r="R82" i="444"/>
  <c r="S82" i="444" s="1"/>
  <c r="G82" i="444"/>
  <c r="R81" i="444"/>
  <c r="T81" i="444" s="1"/>
  <c r="U81" i="444" s="1"/>
  <c r="G81" i="444"/>
  <c r="S80" i="444"/>
  <c r="R80" i="444"/>
  <c r="T80" i="444" s="1"/>
  <c r="U80" i="444" s="1"/>
  <c r="V80" i="444" s="1"/>
  <c r="W80" i="444" s="1"/>
  <c r="G80" i="444"/>
  <c r="R79" i="444"/>
  <c r="T79" i="444" s="1"/>
  <c r="U79" i="444" s="1"/>
  <c r="G79" i="444"/>
  <c r="T78" i="444"/>
  <c r="U78" i="444" s="1"/>
  <c r="V78" i="444" s="1"/>
  <c r="W78" i="444" s="1"/>
  <c r="S78" i="444"/>
  <c r="R78" i="444"/>
  <c r="G78" i="444"/>
  <c r="R77" i="444"/>
  <c r="T77" i="444" s="1"/>
  <c r="U77" i="444" s="1"/>
  <c r="G77" i="444"/>
  <c r="S76" i="444"/>
  <c r="R76" i="444"/>
  <c r="T76" i="444" s="1"/>
  <c r="U76" i="444" s="1"/>
  <c r="V76" i="444" s="1"/>
  <c r="W76" i="444" s="1"/>
  <c r="G76" i="444"/>
  <c r="R75" i="444"/>
  <c r="G75" i="444"/>
  <c r="S74" i="444"/>
  <c r="R74" i="444"/>
  <c r="T74" i="444" s="1"/>
  <c r="U74" i="444" s="1"/>
  <c r="G74" i="444"/>
  <c r="T73" i="444"/>
  <c r="U73" i="444" s="1"/>
  <c r="R73" i="444"/>
  <c r="S73" i="444" s="1"/>
  <c r="G73" i="444"/>
  <c r="R72" i="444"/>
  <c r="T72" i="444" s="1"/>
  <c r="U72" i="444" s="1"/>
  <c r="G72" i="444"/>
  <c r="T71" i="444"/>
  <c r="U71" i="444" s="1"/>
  <c r="V71" i="444" s="1"/>
  <c r="W71" i="444" s="1"/>
  <c r="S71" i="444"/>
  <c r="R71" i="444"/>
  <c r="G71" i="444"/>
  <c r="R70" i="444"/>
  <c r="G70" i="444"/>
  <c r="T69" i="444"/>
  <c r="U69" i="444" s="1"/>
  <c r="S69" i="444"/>
  <c r="R69" i="444"/>
  <c r="G69" i="444"/>
  <c r="R68" i="444"/>
  <c r="T68" i="444" s="1"/>
  <c r="U68" i="444" s="1"/>
  <c r="G68" i="444"/>
  <c r="S67" i="444"/>
  <c r="R67" i="444"/>
  <c r="T67" i="444" s="1"/>
  <c r="U67" i="444" s="1"/>
  <c r="G67" i="444"/>
  <c r="T66" i="444"/>
  <c r="U66" i="444" s="1"/>
  <c r="V66" i="444" s="1"/>
  <c r="W66" i="444" s="1"/>
  <c r="S66" i="444"/>
  <c r="R66" i="444"/>
  <c r="G66" i="444"/>
  <c r="S65" i="444"/>
  <c r="R65" i="444"/>
  <c r="T65" i="444" s="1"/>
  <c r="U65" i="444" s="1"/>
  <c r="G65" i="444"/>
  <c r="T64" i="444"/>
  <c r="U64" i="444" s="1"/>
  <c r="R64" i="444"/>
  <c r="S64" i="444" s="1"/>
  <c r="G64" i="444"/>
  <c r="R63" i="444"/>
  <c r="T63" i="444" s="1"/>
  <c r="U63" i="444" s="1"/>
  <c r="G63" i="444"/>
  <c r="T62" i="444"/>
  <c r="U62" i="444" s="1"/>
  <c r="R62" i="444"/>
  <c r="S62" i="444" s="1"/>
  <c r="G62" i="444"/>
  <c r="R61" i="444"/>
  <c r="T61" i="444" s="1"/>
  <c r="U61" i="444" s="1"/>
  <c r="G61" i="444"/>
  <c r="T60" i="444"/>
  <c r="U60" i="444" s="1"/>
  <c r="V60" i="444" s="1"/>
  <c r="W60" i="444" s="1"/>
  <c r="S60" i="444"/>
  <c r="R60" i="444"/>
  <c r="G60" i="444"/>
  <c r="R59" i="444"/>
  <c r="T59" i="444" s="1"/>
  <c r="U59" i="444" s="1"/>
  <c r="G59" i="444"/>
  <c r="T58" i="444"/>
  <c r="U58" i="444" s="1"/>
  <c r="V58" i="444" s="1"/>
  <c r="S58" i="444"/>
  <c r="R58" i="444"/>
  <c r="G58" i="444"/>
  <c r="R57" i="444"/>
  <c r="T57" i="444" s="1"/>
  <c r="U57" i="444" s="1"/>
  <c r="G57" i="444"/>
  <c r="S56" i="444"/>
  <c r="R56" i="444"/>
  <c r="T56" i="444" s="1"/>
  <c r="U56" i="444" s="1"/>
  <c r="V56" i="444" s="1"/>
  <c r="W56" i="444" s="1"/>
  <c r="G56" i="444"/>
  <c r="R55" i="444"/>
  <c r="G55" i="444"/>
  <c r="S54" i="444"/>
  <c r="R54" i="444"/>
  <c r="T54" i="444" s="1"/>
  <c r="U54" i="444" s="1"/>
  <c r="G54" i="444"/>
  <c r="T53" i="444"/>
  <c r="U53" i="444" s="1"/>
  <c r="R53" i="444"/>
  <c r="S53" i="444" s="1"/>
  <c r="G53" i="444"/>
  <c r="R52" i="444"/>
  <c r="T52" i="444" s="1"/>
  <c r="U52" i="444" s="1"/>
  <c r="G52" i="444"/>
  <c r="T51" i="444"/>
  <c r="U51" i="444" s="1"/>
  <c r="V51" i="444" s="1"/>
  <c r="W51" i="444" s="1"/>
  <c r="S51" i="444"/>
  <c r="R51" i="444"/>
  <c r="G51" i="444"/>
  <c r="R50" i="444"/>
  <c r="G50" i="444"/>
  <c r="T49" i="444"/>
  <c r="U49" i="444" s="1"/>
  <c r="S49" i="444"/>
  <c r="R49" i="444"/>
  <c r="G49" i="444"/>
  <c r="R48" i="444"/>
  <c r="T48" i="444" s="1"/>
  <c r="U48" i="444" s="1"/>
  <c r="G48" i="444"/>
  <c r="S47" i="444"/>
  <c r="R47" i="444"/>
  <c r="T47" i="444" s="1"/>
  <c r="U47" i="444" s="1"/>
  <c r="G47" i="444"/>
  <c r="T46" i="444"/>
  <c r="U46" i="444" s="1"/>
  <c r="R46" i="444"/>
  <c r="S46" i="444" s="1"/>
  <c r="G46" i="444"/>
  <c r="T45" i="444"/>
  <c r="U45" i="444" s="1"/>
  <c r="S45" i="444"/>
  <c r="R45" i="444"/>
  <c r="G45" i="444"/>
  <c r="T44" i="444"/>
  <c r="U44" i="444" s="1"/>
  <c r="R44" i="444"/>
  <c r="S44" i="444" s="1"/>
  <c r="G44" i="444"/>
  <c r="S43" i="444"/>
  <c r="R43" i="444"/>
  <c r="T43" i="444" s="1"/>
  <c r="U43" i="444" s="1"/>
  <c r="V43" i="444" s="1"/>
  <c r="W43" i="444" s="1"/>
  <c r="G43" i="444"/>
  <c r="T42" i="444"/>
  <c r="U42" i="444" s="1"/>
  <c r="R42" i="444"/>
  <c r="S42" i="444" s="1"/>
  <c r="G42" i="444"/>
  <c r="R41" i="444"/>
  <c r="T41" i="444" s="1"/>
  <c r="U41" i="444" s="1"/>
  <c r="G41" i="444"/>
  <c r="T40" i="444"/>
  <c r="U40" i="444" s="1"/>
  <c r="V40" i="444" s="1"/>
  <c r="W40" i="444" s="1"/>
  <c r="S40" i="444"/>
  <c r="R40" i="444"/>
  <c r="G40" i="444"/>
  <c r="R39" i="444"/>
  <c r="T39" i="444" s="1"/>
  <c r="U39" i="444" s="1"/>
  <c r="G39" i="444"/>
  <c r="T38" i="444"/>
  <c r="U38" i="444" s="1"/>
  <c r="V38" i="444" s="1"/>
  <c r="W38" i="444" s="1"/>
  <c r="S38" i="444"/>
  <c r="R38" i="444"/>
  <c r="G38" i="444"/>
  <c r="R37" i="444"/>
  <c r="T37" i="444" s="1"/>
  <c r="U37" i="444" s="1"/>
  <c r="G37" i="444"/>
  <c r="S36" i="444"/>
  <c r="R36" i="444"/>
  <c r="T36" i="444" s="1"/>
  <c r="U36" i="444" s="1"/>
  <c r="V36" i="444" s="1"/>
  <c r="W36" i="444" s="1"/>
  <c r="G36" i="444"/>
  <c r="R35" i="444"/>
  <c r="G35" i="444"/>
  <c r="S34" i="444"/>
  <c r="R34" i="444"/>
  <c r="T34" i="444" s="1"/>
  <c r="U34" i="444" s="1"/>
  <c r="G34" i="444"/>
  <c r="T33" i="444"/>
  <c r="U33" i="444" s="1"/>
  <c r="R33" i="444"/>
  <c r="S33" i="444" s="1"/>
  <c r="G33" i="444"/>
  <c r="R32" i="444"/>
  <c r="T32" i="444" s="1"/>
  <c r="U32" i="444" s="1"/>
  <c r="G32" i="444"/>
  <c r="T31" i="444"/>
  <c r="U31" i="444" s="1"/>
  <c r="R31" i="444"/>
  <c r="S31" i="444" s="1"/>
  <c r="G31" i="444"/>
  <c r="R30" i="444"/>
  <c r="G30" i="444"/>
  <c r="T29" i="444"/>
  <c r="U29" i="444" s="1"/>
  <c r="S29" i="444"/>
  <c r="R29" i="444"/>
  <c r="G29" i="444"/>
  <c r="R28" i="444"/>
  <c r="T28" i="444" s="1"/>
  <c r="U28" i="444" s="1"/>
  <c r="G28" i="444"/>
  <c r="S27" i="444"/>
  <c r="R27" i="444"/>
  <c r="T27" i="444" s="1"/>
  <c r="U27" i="444" s="1"/>
  <c r="G27" i="444"/>
  <c r="T26" i="444"/>
  <c r="U26" i="444" s="1"/>
  <c r="R26" i="444"/>
  <c r="S26" i="444" s="1"/>
  <c r="G26" i="444"/>
  <c r="T25" i="444"/>
  <c r="U25" i="444" s="1"/>
  <c r="S25" i="444"/>
  <c r="R25" i="444"/>
  <c r="G25" i="444"/>
  <c r="T24" i="444"/>
  <c r="U24" i="444" s="1"/>
  <c r="R24" i="444"/>
  <c r="S24" i="444" s="1"/>
  <c r="G24" i="444"/>
  <c r="S23" i="444"/>
  <c r="R23" i="444"/>
  <c r="T23" i="444" s="1"/>
  <c r="U23" i="444" s="1"/>
  <c r="V23" i="444" s="1"/>
  <c r="W23" i="444" s="1"/>
  <c r="G23" i="444"/>
  <c r="T22" i="444"/>
  <c r="U22" i="444" s="1"/>
  <c r="R22" i="444"/>
  <c r="S22" i="444" s="1"/>
  <c r="G22" i="444"/>
  <c r="R21" i="444"/>
  <c r="T21" i="444" s="1"/>
  <c r="U21" i="444" s="1"/>
  <c r="G21" i="444"/>
  <c r="T20" i="444"/>
  <c r="U20" i="444" s="1"/>
  <c r="V20" i="444" s="1"/>
  <c r="W20" i="444" s="1"/>
  <c r="S20" i="444"/>
  <c r="R20" i="444"/>
  <c r="G20" i="444"/>
  <c r="R19" i="444"/>
  <c r="T19" i="444" s="1"/>
  <c r="U19" i="444" s="1"/>
  <c r="G19" i="444"/>
  <c r="T18" i="444"/>
  <c r="U18" i="444" s="1"/>
  <c r="V18" i="444" s="1"/>
  <c r="W18" i="444" s="1"/>
  <c r="S18" i="444"/>
  <c r="R18" i="444"/>
  <c r="G18" i="444"/>
  <c r="R17" i="444"/>
  <c r="T17" i="444" s="1"/>
  <c r="U17" i="444" s="1"/>
  <c r="G17" i="444"/>
  <c r="S16" i="444"/>
  <c r="R16" i="444"/>
  <c r="T16" i="444" s="1"/>
  <c r="U16" i="444" s="1"/>
  <c r="V16" i="444" s="1"/>
  <c r="W16" i="444" s="1"/>
  <c r="G16" i="444"/>
  <c r="R15" i="444"/>
  <c r="G15" i="444"/>
  <c r="S14" i="444"/>
  <c r="R14" i="444"/>
  <c r="T14" i="444" s="1"/>
  <c r="U14" i="444" s="1"/>
  <c r="G14" i="444"/>
  <c r="T13" i="444"/>
  <c r="U13" i="444" s="1"/>
  <c r="R13" i="444"/>
  <c r="S13" i="444" s="1"/>
  <c r="G13" i="444"/>
  <c r="R12" i="444"/>
  <c r="T12" i="444" s="1"/>
  <c r="U12" i="444" s="1"/>
  <c r="G12" i="444"/>
  <c r="T11" i="444"/>
  <c r="U11" i="444" s="1"/>
  <c r="R11" i="444"/>
  <c r="S11" i="444" s="1"/>
  <c r="G11" i="444"/>
  <c r="R10" i="444"/>
  <c r="G10" i="444"/>
  <c r="T9" i="444"/>
  <c r="U9" i="444" s="1"/>
  <c r="S9" i="444"/>
  <c r="R9" i="444"/>
  <c r="G9" i="444"/>
  <c r="R8" i="444"/>
  <c r="T8" i="444" s="1"/>
  <c r="U8" i="444" s="1"/>
  <c r="G8" i="444"/>
  <c r="S7" i="444"/>
  <c r="R7" i="444"/>
  <c r="T7" i="444" s="1"/>
  <c r="U7" i="444" s="1"/>
  <c r="G7" i="444"/>
  <c r="T6" i="444"/>
  <c r="U6" i="444" s="1"/>
  <c r="R6" i="444"/>
  <c r="S6" i="444" s="1"/>
  <c r="G6" i="444"/>
  <c r="T5" i="444"/>
  <c r="U5" i="444" s="1"/>
  <c r="S5" i="444"/>
  <c r="R5" i="444"/>
  <c r="G5" i="444"/>
  <c r="T4" i="444"/>
  <c r="U4" i="444" s="1"/>
  <c r="R4" i="444"/>
  <c r="S4" i="444" s="1"/>
  <c r="G4" i="444"/>
  <c r="S3" i="444"/>
  <c r="R3" i="444"/>
  <c r="T3" i="444" s="1"/>
  <c r="U3" i="444" s="1"/>
  <c r="V3" i="444" s="1"/>
  <c r="W3" i="444" s="1"/>
  <c r="G3" i="444"/>
  <c r="T2" i="444"/>
  <c r="U2" i="444" s="1"/>
  <c r="R2" i="444"/>
  <c r="S2" i="444" s="1"/>
  <c r="G2" i="444"/>
  <c r="B2" i="383"/>
  <c r="B3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E45" i="415"/>
  <c r="D45" i="415"/>
  <c r="C45" i="415"/>
  <c r="D44" i="415"/>
  <c r="C44" i="415"/>
  <c r="E44" i="415" s="1"/>
  <c r="E43" i="415"/>
  <c r="D43" i="415"/>
  <c r="C43" i="415"/>
  <c r="D42" i="415"/>
  <c r="C42" i="415"/>
  <c r="E42" i="415" s="1"/>
  <c r="C39" i="415"/>
  <c r="D17" i="415"/>
  <c r="C17" i="415"/>
  <c r="E16" i="415"/>
  <c r="D16" i="415"/>
  <c r="C16" i="415"/>
  <c r="D15" i="415"/>
  <c r="C15" i="415"/>
  <c r="E15" i="415" s="1"/>
  <c r="D14" i="415"/>
  <c r="E14" i="415" s="1"/>
  <c r="C14" i="415"/>
  <c r="D13" i="415"/>
  <c r="E13" i="415" s="1"/>
  <c r="C13" i="415"/>
  <c r="D12" i="415"/>
  <c r="E12" i="415" s="1"/>
  <c r="C12" i="415"/>
  <c r="D11" i="415"/>
  <c r="E11" i="415" s="1"/>
  <c r="C11" i="415"/>
  <c r="E10" i="415"/>
  <c r="D10" i="415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L43" i="385" s="1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13" i="385" s="1"/>
  <c r="K4" i="414"/>
  <c r="O3" i="414"/>
  <c r="N3" i="414"/>
  <c r="M3" i="414"/>
  <c r="L3" i="414"/>
  <c r="L38" i="385" s="1"/>
  <c r="K3" i="414"/>
  <c r="O2" i="414"/>
  <c r="N2" i="414"/>
  <c r="M2" i="414"/>
  <c r="L2" i="414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G10" i="385" s="1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G46" i="385" s="1"/>
  <c r="L5" i="384"/>
  <c r="K5" i="384"/>
  <c r="O4" i="384"/>
  <c r="N4" i="384"/>
  <c r="M4" i="384"/>
  <c r="L4" i="384"/>
  <c r="I52" i="385" s="1"/>
  <c r="K4" i="384"/>
  <c r="O3" i="384"/>
  <c r="N3" i="384"/>
  <c r="M3" i="384"/>
  <c r="L3" i="384"/>
  <c r="K3" i="384"/>
  <c r="O2" i="384"/>
  <c r="N2" i="384"/>
  <c r="M2" i="384"/>
  <c r="L2" i="384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I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I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I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I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I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I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I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I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I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I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I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I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I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I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I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I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I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I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I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I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I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I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I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I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I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I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I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I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I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I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I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I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I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I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I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I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I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I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I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I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I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I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I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I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I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I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I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I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I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I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I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I91" i="385"/>
  <c r="H91" i="385"/>
  <c r="G91" i="385"/>
  <c r="F91" i="385"/>
  <c r="E91" i="385"/>
  <c r="D91" i="385"/>
  <c r="C91" i="385"/>
  <c r="S90" i="385"/>
  <c r="R90" i="385"/>
  <c r="Q90" i="385"/>
  <c r="P90" i="385"/>
  <c r="M90" i="385"/>
  <c r="L90" i="385"/>
  <c r="K90" i="385"/>
  <c r="J90" i="385"/>
  <c r="I90" i="385"/>
  <c r="H90" i="385"/>
  <c r="G90" i="385"/>
  <c r="F90" i="385"/>
  <c r="E90" i="385"/>
  <c r="D90" i="385"/>
  <c r="C90" i="385"/>
  <c r="S89" i="385"/>
  <c r="R89" i="385"/>
  <c r="Q89" i="385"/>
  <c r="P89" i="385"/>
  <c r="M89" i="385"/>
  <c r="L89" i="385"/>
  <c r="K89" i="385"/>
  <c r="J89" i="385"/>
  <c r="H89" i="385"/>
  <c r="G89" i="385"/>
  <c r="F89" i="385"/>
  <c r="E89" i="385"/>
  <c r="D89" i="385"/>
  <c r="C89" i="385"/>
  <c r="S88" i="385"/>
  <c r="R88" i="385"/>
  <c r="Q88" i="385"/>
  <c r="P88" i="385"/>
  <c r="M88" i="385"/>
  <c r="L88" i="385"/>
  <c r="K88" i="385"/>
  <c r="J88" i="385"/>
  <c r="I88" i="385"/>
  <c r="H88" i="385"/>
  <c r="G88" i="385"/>
  <c r="F88" i="385"/>
  <c r="E88" i="385"/>
  <c r="D88" i="385"/>
  <c r="C88" i="385"/>
  <c r="S87" i="385"/>
  <c r="R87" i="385"/>
  <c r="Q87" i="385"/>
  <c r="P87" i="385"/>
  <c r="M87" i="385"/>
  <c r="L87" i="385"/>
  <c r="K87" i="385"/>
  <c r="J87" i="385"/>
  <c r="I87" i="385"/>
  <c r="H87" i="385"/>
  <c r="G87" i="385"/>
  <c r="F87" i="385"/>
  <c r="E87" i="385"/>
  <c r="D87" i="385"/>
  <c r="C87" i="385"/>
  <c r="S86" i="385"/>
  <c r="R86" i="385"/>
  <c r="Q86" i="385"/>
  <c r="P86" i="385"/>
  <c r="M86" i="385"/>
  <c r="L86" i="385"/>
  <c r="K86" i="385"/>
  <c r="J86" i="385"/>
  <c r="I86" i="385"/>
  <c r="H86" i="385"/>
  <c r="G86" i="385"/>
  <c r="F86" i="385"/>
  <c r="E86" i="385"/>
  <c r="D86" i="385"/>
  <c r="C86" i="385"/>
  <c r="S85" i="385"/>
  <c r="R85" i="385"/>
  <c r="Q85" i="385"/>
  <c r="P85" i="385"/>
  <c r="M85" i="385"/>
  <c r="L85" i="385"/>
  <c r="K85" i="385"/>
  <c r="J85" i="385"/>
  <c r="H85" i="385"/>
  <c r="G85" i="385"/>
  <c r="F85" i="385"/>
  <c r="E85" i="385"/>
  <c r="D85" i="385"/>
  <c r="C85" i="385"/>
  <c r="S84" i="385"/>
  <c r="R84" i="385"/>
  <c r="Q84" i="385"/>
  <c r="P84" i="385"/>
  <c r="M84" i="385"/>
  <c r="L84" i="385"/>
  <c r="K84" i="385"/>
  <c r="J84" i="385"/>
  <c r="I84" i="385"/>
  <c r="H84" i="385"/>
  <c r="G84" i="385"/>
  <c r="F84" i="385"/>
  <c r="E84" i="385"/>
  <c r="D84" i="385"/>
  <c r="C84" i="385"/>
  <c r="S83" i="385"/>
  <c r="R83" i="385"/>
  <c r="Q83" i="385"/>
  <c r="P83" i="385"/>
  <c r="M83" i="385"/>
  <c r="L83" i="385"/>
  <c r="K83" i="385"/>
  <c r="J83" i="385"/>
  <c r="I83" i="385"/>
  <c r="H83" i="385"/>
  <c r="G83" i="385"/>
  <c r="F83" i="385"/>
  <c r="E83" i="385"/>
  <c r="D83" i="385"/>
  <c r="C83" i="385"/>
  <c r="S82" i="385"/>
  <c r="R82" i="385"/>
  <c r="Q82" i="385"/>
  <c r="P82" i="385"/>
  <c r="M82" i="385"/>
  <c r="L82" i="385"/>
  <c r="K82" i="385"/>
  <c r="J82" i="385"/>
  <c r="I82" i="385"/>
  <c r="H82" i="385"/>
  <c r="G82" i="385"/>
  <c r="F82" i="385"/>
  <c r="E82" i="385"/>
  <c r="D82" i="385"/>
  <c r="C82" i="385"/>
  <c r="S81" i="385"/>
  <c r="R81" i="385"/>
  <c r="Q81" i="385"/>
  <c r="P81" i="385"/>
  <c r="M81" i="385"/>
  <c r="L81" i="385"/>
  <c r="K81" i="385"/>
  <c r="J81" i="385"/>
  <c r="H81" i="385"/>
  <c r="G81" i="385"/>
  <c r="F81" i="385"/>
  <c r="E81" i="385"/>
  <c r="D81" i="385"/>
  <c r="C81" i="385"/>
  <c r="S80" i="385"/>
  <c r="R80" i="385"/>
  <c r="Q80" i="385"/>
  <c r="P80" i="385"/>
  <c r="M80" i="385"/>
  <c r="L80" i="385"/>
  <c r="K80" i="385"/>
  <c r="J80" i="385"/>
  <c r="I80" i="385"/>
  <c r="H80" i="385"/>
  <c r="G80" i="385"/>
  <c r="F80" i="385"/>
  <c r="E80" i="385"/>
  <c r="D80" i="385"/>
  <c r="C80" i="385"/>
  <c r="S79" i="385"/>
  <c r="R79" i="385"/>
  <c r="Q79" i="385"/>
  <c r="P79" i="385"/>
  <c r="M79" i="385"/>
  <c r="L79" i="385"/>
  <c r="K79" i="385"/>
  <c r="J79" i="385"/>
  <c r="I79" i="385"/>
  <c r="H79" i="385"/>
  <c r="G79" i="385"/>
  <c r="F79" i="385"/>
  <c r="E79" i="385"/>
  <c r="D79" i="385"/>
  <c r="C79" i="385"/>
  <c r="S78" i="385"/>
  <c r="R78" i="385"/>
  <c r="Q78" i="385"/>
  <c r="P78" i="385"/>
  <c r="M78" i="385"/>
  <c r="L78" i="385"/>
  <c r="K78" i="385"/>
  <c r="J78" i="385"/>
  <c r="I78" i="385"/>
  <c r="H78" i="385"/>
  <c r="G78" i="385"/>
  <c r="F78" i="385"/>
  <c r="E78" i="385"/>
  <c r="D78" i="385"/>
  <c r="C78" i="385"/>
  <c r="S77" i="385"/>
  <c r="R77" i="385"/>
  <c r="Q77" i="385"/>
  <c r="P77" i="385"/>
  <c r="M77" i="385"/>
  <c r="L77" i="385"/>
  <c r="K77" i="385"/>
  <c r="J77" i="385"/>
  <c r="H77" i="385"/>
  <c r="G77" i="385"/>
  <c r="F77" i="385"/>
  <c r="E77" i="385"/>
  <c r="D77" i="385"/>
  <c r="C77" i="385"/>
  <c r="S76" i="385"/>
  <c r="R76" i="385"/>
  <c r="Q76" i="385"/>
  <c r="P76" i="385"/>
  <c r="M76" i="385"/>
  <c r="L76" i="385"/>
  <c r="K76" i="385"/>
  <c r="J76" i="385"/>
  <c r="I76" i="385"/>
  <c r="H76" i="385"/>
  <c r="G76" i="385"/>
  <c r="F76" i="385"/>
  <c r="E76" i="385"/>
  <c r="D76" i="385"/>
  <c r="C76" i="385"/>
  <c r="S75" i="385"/>
  <c r="R75" i="385"/>
  <c r="Q75" i="385"/>
  <c r="P75" i="385"/>
  <c r="M75" i="385"/>
  <c r="L75" i="385"/>
  <c r="K75" i="385"/>
  <c r="J75" i="385"/>
  <c r="I75" i="385"/>
  <c r="H75" i="385"/>
  <c r="G75" i="385"/>
  <c r="F75" i="385"/>
  <c r="E75" i="385"/>
  <c r="D75" i="385"/>
  <c r="C75" i="385"/>
  <c r="S74" i="385"/>
  <c r="R74" i="385"/>
  <c r="Q74" i="385"/>
  <c r="P74" i="385"/>
  <c r="M74" i="385"/>
  <c r="L74" i="385"/>
  <c r="K74" i="385"/>
  <c r="J74" i="385"/>
  <c r="I74" i="385"/>
  <c r="H74" i="385"/>
  <c r="G74" i="385"/>
  <c r="F74" i="385"/>
  <c r="E74" i="385"/>
  <c r="D74" i="385"/>
  <c r="C74" i="385"/>
  <c r="S73" i="385"/>
  <c r="R73" i="385"/>
  <c r="Q73" i="385"/>
  <c r="P73" i="385"/>
  <c r="M73" i="385"/>
  <c r="L73" i="385"/>
  <c r="K73" i="385"/>
  <c r="J73" i="385"/>
  <c r="H73" i="385"/>
  <c r="G73" i="385"/>
  <c r="F73" i="385"/>
  <c r="E73" i="385"/>
  <c r="D73" i="385"/>
  <c r="C73" i="385"/>
  <c r="S72" i="385"/>
  <c r="R72" i="385"/>
  <c r="Q72" i="385"/>
  <c r="P72" i="385"/>
  <c r="M72" i="385"/>
  <c r="L72" i="385"/>
  <c r="K72" i="385"/>
  <c r="J72" i="385"/>
  <c r="I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M63" i="385"/>
  <c r="L63" i="385"/>
  <c r="K63" i="385"/>
  <c r="J63" i="385"/>
  <c r="H63" i="385"/>
  <c r="G63" i="385"/>
  <c r="F63" i="385"/>
  <c r="E63" i="385"/>
  <c r="D63" i="385"/>
  <c r="C63" i="385"/>
  <c r="Q62" i="385"/>
  <c r="M62" i="385"/>
  <c r="L62" i="385"/>
  <c r="K62" i="385"/>
  <c r="J62" i="385"/>
  <c r="H62" i="385"/>
  <c r="G62" i="385"/>
  <c r="F62" i="385"/>
  <c r="E62" i="385"/>
  <c r="D62" i="385"/>
  <c r="C62" i="385"/>
  <c r="Q61" i="385"/>
  <c r="P61" i="385"/>
  <c r="M61" i="385"/>
  <c r="L61" i="385"/>
  <c r="K61" i="385"/>
  <c r="J61" i="385"/>
  <c r="H61" i="385"/>
  <c r="G61" i="385"/>
  <c r="F61" i="385"/>
  <c r="E61" i="385"/>
  <c r="D61" i="385"/>
  <c r="C61" i="385"/>
  <c r="Q60" i="385"/>
  <c r="M60" i="385"/>
  <c r="L60" i="385"/>
  <c r="K60" i="385"/>
  <c r="J60" i="385"/>
  <c r="H60" i="385"/>
  <c r="G60" i="385"/>
  <c r="F60" i="385"/>
  <c r="E60" i="385"/>
  <c r="D60" i="385"/>
  <c r="C60" i="385"/>
  <c r="Q59" i="385"/>
  <c r="P59" i="385"/>
  <c r="M59" i="385"/>
  <c r="L59" i="385"/>
  <c r="K59" i="385"/>
  <c r="J59" i="385"/>
  <c r="H59" i="385"/>
  <c r="G59" i="385"/>
  <c r="F59" i="385"/>
  <c r="E59" i="385"/>
  <c r="D59" i="385"/>
  <c r="C59" i="385"/>
  <c r="Q58" i="385"/>
  <c r="P58" i="385"/>
  <c r="M58" i="385"/>
  <c r="L58" i="385"/>
  <c r="K58" i="385"/>
  <c r="J58" i="385"/>
  <c r="H58" i="385"/>
  <c r="G58" i="385"/>
  <c r="F58" i="385"/>
  <c r="E58" i="385"/>
  <c r="D58" i="385"/>
  <c r="C58" i="385"/>
  <c r="Q57" i="385"/>
  <c r="P57" i="385"/>
  <c r="M57" i="385"/>
  <c r="L57" i="385"/>
  <c r="K57" i="385"/>
  <c r="J57" i="385"/>
  <c r="H57" i="385"/>
  <c r="G57" i="385"/>
  <c r="F57" i="385"/>
  <c r="E57" i="385"/>
  <c r="D57" i="385"/>
  <c r="C57" i="385"/>
  <c r="Q56" i="385"/>
  <c r="S56" i="385" s="1"/>
  <c r="P56" i="385"/>
  <c r="M56" i="385"/>
  <c r="L56" i="385"/>
  <c r="K56" i="385"/>
  <c r="J56" i="385"/>
  <c r="I56" i="385"/>
  <c r="H56" i="385"/>
  <c r="G56" i="385"/>
  <c r="F56" i="385"/>
  <c r="E56" i="385"/>
  <c r="D56" i="385"/>
  <c r="C56" i="385"/>
  <c r="Q55" i="385"/>
  <c r="P55" i="385"/>
  <c r="M55" i="385"/>
  <c r="L55" i="385"/>
  <c r="K55" i="385"/>
  <c r="J55" i="385"/>
  <c r="H55" i="385"/>
  <c r="G55" i="385"/>
  <c r="F55" i="385"/>
  <c r="E55" i="385"/>
  <c r="D55" i="385"/>
  <c r="C55" i="385"/>
  <c r="Q54" i="385"/>
  <c r="P54" i="385"/>
  <c r="M54" i="385"/>
  <c r="L54" i="385"/>
  <c r="K54" i="385"/>
  <c r="J54" i="385"/>
  <c r="H54" i="385"/>
  <c r="G54" i="385"/>
  <c r="F54" i="385"/>
  <c r="E54" i="385"/>
  <c r="D54" i="385"/>
  <c r="C54" i="385"/>
  <c r="M53" i="385"/>
  <c r="L53" i="385"/>
  <c r="K53" i="385"/>
  <c r="J53" i="385"/>
  <c r="I53" i="385"/>
  <c r="H53" i="385"/>
  <c r="G53" i="385"/>
  <c r="F53" i="385"/>
  <c r="E53" i="385"/>
  <c r="D53" i="385"/>
  <c r="C53" i="385"/>
  <c r="Q52" i="385"/>
  <c r="M52" i="385"/>
  <c r="L52" i="385"/>
  <c r="K52" i="385"/>
  <c r="J52" i="385"/>
  <c r="H52" i="385"/>
  <c r="G52" i="385"/>
  <c r="F52" i="385"/>
  <c r="E52" i="385"/>
  <c r="D52" i="385"/>
  <c r="C52" i="385"/>
  <c r="Q51" i="385"/>
  <c r="P51" i="385"/>
  <c r="M51" i="385"/>
  <c r="L51" i="385"/>
  <c r="K51" i="385"/>
  <c r="J51" i="385"/>
  <c r="H51" i="385"/>
  <c r="G51" i="385"/>
  <c r="F51" i="385"/>
  <c r="E51" i="385"/>
  <c r="D51" i="385"/>
  <c r="C51" i="385"/>
  <c r="Q50" i="385"/>
  <c r="M50" i="385"/>
  <c r="L50" i="385"/>
  <c r="K50" i="385"/>
  <c r="J50" i="385"/>
  <c r="I50" i="385"/>
  <c r="H50" i="385"/>
  <c r="G50" i="385"/>
  <c r="F50" i="385"/>
  <c r="E50" i="385"/>
  <c r="D50" i="385"/>
  <c r="C50" i="385"/>
  <c r="Q49" i="385"/>
  <c r="M49" i="385"/>
  <c r="L49" i="385"/>
  <c r="K49" i="385"/>
  <c r="J49" i="385"/>
  <c r="I49" i="385"/>
  <c r="H49" i="385"/>
  <c r="G49" i="385"/>
  <c r="F49" i="385"/>
  <c r="E49" i="385"/>
  <c r="D49" i="385"/>
  <c r="C49" i="385"/>
  <c r="Q48" i="385"/>
  <c r="P48" i="385"/>
  <c r="C48" i="385"/>
  <c r="Q47" i="385"/>
  <c r="I47" i="385"/>
  <c r="C47" i="385"/>
  <c r="Q46" i="385"/>
  <c r="C46" i="385"/>
  <c r="Q45" i="385"/>
  <c r="P45" i="385"/>
  <c r="D45" i="385"/>
  <c r="C45" i="385"/>
  <c r="Q44" i="385"/>
  <c r="I44" i="385"/>
  <c r="C44" i="385"/>
  <c r="Q43" i="385"/>
  <c r="C43" i="385"/>
  <c r="Q42" i="385"/>
  <c r="C42" i="385"/>
  <c r="Q41" i="385"/>
  <c r="I41" i="385"/>
  <c r="D41" i="385"/>
  <c r="C41" i="385"/>
  <c r="Q40" i="385"/>
  <c r="C40" i="385"/>
  <c r="Q39" i="385"/>
  <c r="L39" i="385"/>
  <c r="D39" i="385"/>
  <c r="C39" i="385"/>
  <c r="Q38" i="385"/>
  <c r="I38" i="385"/>
  <c r="D38" i="385"/>
  <c r="C38" i="385"/>
  <c r="Q37" i="385"/>
  <c r="C37" i="385"/>
  <c r="Q36" i="385"/>
  <c r="D36" i="385"/>
  <c r="C36" i="385"/>
  <c r="Q35" i="385"/>
  <c r="L35" i="385"/>
  <c r="D35" i="385"/>
  <c r="C35" i="385"/>
  <c r="Q34" i="385"/>
  <c r="D34" i="385"/>
  <c r="C34" i="385"/>
  <c r="Q33" i="385"/>
  <c r="C33" i="385"/>
  <c r="Q32" i="385"/>
  <c r="P32" i="385"/>
  <c r="D32" i="385"/>
  <c r="C32" i="385"/>
  <c r="Q31" i="385"/>
  <c r="C31" i="385"/>
  <c r="Q30" i="385"/>
  <c r="P30" i="385"/>
  <c r="G30" i="385"/>
  <c r="C30" i="385"/>
  <c r="Q29" i="385"/>
  <c r="P29" i="385"/>
  <c r="D29" i="385"/>
  <c r="C29" i="385"/>
  <c r="Q28" i="385"/>
  <c r="C28" i="385"/>
  <c r="Q27" i="385"/>
  <c r="P27" i="385"/>
  <c r="I27" i="385"/>
  <c r="C27" i="385"/>
  <c r="Q26" i="385"/>
  <c r="P26" i="385"/>
  <c r="G26" i="385"/>
  <c r="C26" i="385"/>
  <c r="Q25" i="385"/>
  <c r="D25" i="385"/>
  <c r="C25" i="385"/>
  <c r="Q24" i="385"/>
  <c r="S24" i="385" s="1"/>
  <c r="P24" i="385"/>
  <c r="I24" i="385"/>
  <c r="Q23" i="385"/>
  <c r="P23" i="385"/>
  <c r="L23" i="385"/>
  <c r="D23" i="385"/>
  <c r="C23" i="385"/>
  <c r="Q22" i="385"/>
  <c r="P22" i="385"/>
  <c r="D22" i="385"/>
  <c r="C22" i="385"/>
  <c r="Q21" i="385"/>
  <c r="P21" i="385"/>
  <c r="C21" i="385"/>
  <c r="Q20" i="385"/>
  <c r="R20" i="385" s="1"/>
  <c r="P20" i="385"/>
  <c r="I20" i="385"/>
  <c r="D20" i="385"/>
  <c r="C20" i="385"/>
  <c r="Q19" i="385"/>
  <c r="P19" i="385"/>
  <c r="K19" i="385"/>
  <c r="I19" i="385"/>
  <c r="C19" i="385"/>
  <c r="Q18" i="385"/>
  <c r="P18" i="385"/>
  <c r="D18" i="385"/>
  <c r="C18" i="385"/>
  <c r="Q17" i="385"/>
  <c r="P17" i="385"/>
  <c r="C17" i="385"/>
  <c r="Q16" i="385"/>
  <c r="R16" i="385" s="1"/>
  <c r="P16" i="385"/>
  <c r="I16" i="385"/>
  <c r="C16" i="385"/>
  <c r="Q15" i="385"/>
  <c r="L15" i="385"/>
  <c r="K15" i="385"/>
  <c r="D15" i="385"/>
  <c r="C15" i="385"/>
  <c r="Q14" i="385"/>
  <c r="G14" i="385"/>
  <c r="C14" i="385"/>
  <c r="Q13" i="385"/>
  <c r="D13" i="385"/>
  <c r="C13" i="385"/>
  <c r="Q12" i="385"/>
  <c r="C12" i="385"/>
  <c r="Q11" i="385"/>
  <c r="K11" i="385"/>
  <c r="C11" i="385"/>
  <c r="Q10" i="385"/>
  <c r="I10" i="385"/>
  <c r="C10" i="385"/>
  <c r="Q9" i="385"/>
  <c r="K9" i="385"/>
  <c r="D9" i="385"/>
  <c r="C9" i="385"/>
  <c r="Q8" i="385"/>
  <c r="P8" i="385"/>
  <c r="F8" i="385"/>
  <c r="D8" i="385"/>
  <c r="C8" i="385"/>
  <c r="Q7" i="385"/>
  <c r="L7" i="385"/>
  <c r="K7" i="385"/>
  <c r="D7" i="385"/>
  <c r="C7" i="385"/>
  <c r="Q6" i="385"/>
  <c r="G6" i="385"/>
  <c r="D6" i="385"/>
  <c r="C6" i="385"/>
  <c r="Q5" i="385"/>
  <c r="K5" i="385"/>
  <c r="D5" i="385"/>
  <c r="C5" i="385"/>
  <c r="N1" i="385"/>
  <c r="E248" i="89"/>
  <c r="F246" i="89"/>
  <c r="F247" i="89" s="1"/>
  <c r="F244" i="89"/>
  <c r="F245" i="89" s="1"/>
  <c r="AE237" i="89"/>
  <c r="R32" i="385" l="1"/>
  <c r="V62" i="444"/>
  <c r="W62" i="444" s="1"/>
  <c r="V4" i="444"/>
  <c r="W4" i="444" s="1"/>
  <c r="V29" i="444"/>
  <c r="W29" i="444" s="1"/>
  <c r="V132" i="444"/>
  <c r="W132" i="444" s="1"/>
  <c r="V34" i="444"/>
  <c r="W34" i="444" s="1"/>
  <c r="V107" i="444"/>
  <c r="W107" i="444" s="1"/>
  <c r="V11" i="444"/>
  <c r="W11" i="444" s="1"/>
  <c r="V13" i="444"/>
  <c r="V54" i="444"/>
  <c r="W54" i="444" s="1"/>
  <c r="V7" i="444"/>
  <c r="W7" i="444" s="1"/>
  <c r="V22" i="444"/>
  <c r="W22" i="444" s="1"/>
  <c r="V112" i="444"/>
  <c r="W112" i="444" s="1"/>
  <c r="V2" i="444"/>
  <c r="W2" i="444" s="1"/>
  <c r="V31" i="444"/>
  <c r="W31" i="444" s="1"/>
  <c r="V14" i="444"/>
  <c r="W14" i="444" s="1"/>
  <c r="V27" i="444"/>
  <c r="W27" i="444" s="1"/>
  <c r="V109" i="444"/>
  <c r="W109" i="444" s="1"/>
  <c r="V152" i="444"/>
  <c r="W152" i="444" s="1"/>
  <c r="V84" i="444"/>
  <c r="W84" i="444" s="1"/>
  <c r="V124" i="444"/>
  <c r="W124" i="444" s="1"/>
  <c r="V153" i="444"/>
  <c r="W153" i="444" s="1"/>
  <c r="R8" i="385"/>
  <c r="V9" i="444"/>
  <c r="W9" i="444" s="1"/>
  <c r="V44" i="444"/>
  <c r="W44" i="444" s="1"/>
  <c r="V105" i="444"/>
  <c r="W105" i="444" s="1"/>
  <c r="V24" i="444"/>
  <c r="W24" i="444" s="1"/>
  <c r="V106" i="444"/>
  <c r="W106" i="444" s="1"/>
  <c r="V133" i="444"/>
  <c r="W133" i="444" s="1"/>
  <c r="V113" i="444"/>
  <c r="W113" i="444" s="1"/>
  <c r="V164" i="444"/>
  <c r="W164" i="444" s="1"/>
  <c r="R48" i="385"/>
  <c r="V5" i="444"/>
  <c r="W5" i="444" s="1"/>
  <c r="V73" i="444"/>
  <c r="W73" i="444" s="1"/>
  <c r="V142" i="444"/>
  <c r="W142" i="444" s="1"/>
  <c r="V149" i="444"/>
  <c r="W149" i="444" s="1"/>
  <c r="V33" i="444"/>
  <c r="W33" i="444" s="1"/>
  <c r="V87" i="444"/>
  <c r="W87" i="444" s="1"/>
  <c r="V82" i="444"/>
  <c r="W82" i="444" s="1"/>
  <c r="V122" i="444"/>
  <c r="W122" i="444" s="1"/>
  <c r="S20" i="385"/>
  <c r="R56" i="385"/>
  <c r="R24" i="385"/>
  <c r="S17" i="385"/>
  <c r="R17" i="385"/>
  <c r="V146" i="444"/>
  <c r="W146" i="444" s="1"/>
  <c r="V65" i="444"/>
  <c r="W65" i="444" s="1"/>
  <c r="V114" i="444"/>
  <c r="W114" i="444" s="1"/>
  <c r="F6" i="385"/>
  <c r="I8" i="385"/>
  <c r="P10" i="385"/>
  <c r="I15" i="385"/>
  <c r="I23" i="385"/>
  <c r="I26" i="385"/>
  <c r="I29" i="385"/>
  <c r="I32" i="385"/>
  <c r="I35" i="385"/>
  <c r="G38" i="385"/>
  <c r="D44" i="385"/>
  <c r="D47" i="385"/>
  <c r="P64" i="385"/>
  <c r="P67" i="385"/>
  <c r="P70" i="385"/>
  <c r="S12" i="444"/>
  <c r="V12" i="444" s="1"/>
  <c r="W12" i="444" s="1"/>
  <c r="V42" i="444"/>
  <c r="W42" i="444" s="1"/>
  <c r="V47" i="444"/>
  <c r="W47" i="444" s="1"/>
  <c r="V102" i="444"/>
  <c r="W102" i="444" s="1"/>
  <c r="S58" i="385"/>
  <c r="R58" i="385"/>
  <c r="S26" i="385"/>
  <c r="R26" i="385"/>
  <c r="P44" i="385"/>
  <c r="I63" i="385"/>
  <c r="I66" i="385"/>
  <c r="V127" i="444"/>
  <c r="W127" i="444" s="1"/>
  <c r="V134" i="444"/>
  <c r="W134" i="444" s="1"/>
  <c r="I6" i="385"/>
  <c r="I13" i="385"/>
  <c r="F18" i="385"/>
  <c r="S23" i="385"/>
  <c r="R23" i="385"/>
  <c r="S32" i="385"/>
  <c r="L47" i="385"/>
  <c r="I54" i="385"/>
  <c r="V147" i="444"/>
  <c r="W147" i="444" s="1"/>
  <c r="S8" i="385"/>
  <c r="D11" i="385"/>
  <c r="G18" i="385"/>
  <c r="D30" i="385"/>
  <c r="P47" i="385"/>
  <c r="I51" i="385"/>
  <c r="B5" i="383"/>
  <c r="B4" i="383"/>
  <c r="T135" i="444"/>
  <c r="U135" i="444" s="1"/>
  <c r="S135" i="444"/>
  <c r="S55" i="385"/>
  <c r="R55" i="385"/>
  <c r="S61" i="385"/>
  <c r="R61" i="385"/>
  <c r="V6" i="444"/>
  <c r="W6" i="444" s="1"/>
  <c r="T30" i="444"/>
  <c r="U30" i="444" s="1"/>
  <c r="S30" i="444"/>
  <c r="T90" i="444"/>
  <c r="U90" i="444" s="1"/>
  <c r="S90" i="444"/>
  <c r="T115" i="444"/>
  <c r="U115" i="444" s="1"/>
  <c r="S115" i="444"/>
  <c r="P41" i="385"/>
  <c r="P52" i="385"/>
  <c r="I60" i="385"/>
  <c r="I69" i="385"/>
  <c r="W13" i="444"/>
  <c r="S72" i="444"/>
  <c r="V72" i="444" s="1"/>
  <c r="W72" i="444" s="1"/>
  <c r="P35" i="385"/>
  <c r="P38" i="385"/>
  <c r="P49" i="385"/>
  <c r="I57" i="385"/>
  <c r="T55" i="444"/>
  <c r="U55" i="444" s="1"/>
  <c r="S55" i="444"/>
  <c r="V154" i="444"/>
  <c r="W154" i="444" s="1"/>
  <c r="P6" i="385"/>
  <c r="I11" i="385"/>
  <c r="P13" i="385"/>
  <c r="P15" i="385"/>
  <c r="I18" i="385"/>
  <c r="D21" i="385"/>
  <c r="D24" i="385"/>
  <c r="D27" i="385"/>
  <c r="D33" i="385"/>
  <c r="D42" i="385"/>
  <c r="V25" i="444"/>
  <c r="W25" i="444" s="1"/>
  <c r="V49" i="444"/>
  <c r="W49" i="444" s="1"/>
  <c r="V85" i="444"/>
  <c r="W85" i="444" s="1"/>
  <c r="T155" i="444"/>
  <c r="U155" i="444" s="1"/>
  <c r="S155" i="444"/>
  <c r="T110" i="444"/>
  <c r="U110" i="444" s="1"/>
  <c r="S110" i="444"/>
  <c r="R18" i="385"/>
  <c r="S18" i="385"/>
  <c r="I30" i="385"/>
  <c r="I36" i="385"/>
  <c r="D48" i="385"/>
  <c r="P63" i="385"/>
  <c r="P69" i="385"/>
  <c r="G31" i="385"/>
  <c r="G27" i="385"/>
  <c r="G23" i="385"/>
  <c r="G19" i="385"/>
  <c r="G11" i="385"/>
  <c r="G7" i="385"/>
  <c r="G47" i="385"/>
  <c r="G43" i="385"/>
  <c r="G39" i="385"/>
  <c r="G35" i="385"/>
  <c r="G15" i="385"/>
  <c r="G40" i="385"/>
  <c r="G24" i="385"/>
  <c r="G20" i="385"/>
  <c r="G48" i="385"/>
  <c r="G44" i="385"/>
  <c r="G36" i="385"/>
  <c r="G32" i="385"/>
  <c r="G28" i="385"/>
  <c r="G16" i="385"/>
  <c r="G12" i="385"/>
  <c r="G8" i="385"/>
  <c r="M8" i="385" s="1"/>
  <c r="E8" i="385" s="1"/>
  <c r="G37" i="385"/>
  <c r="G45" i="385"/>
  <c r="G41" i="385"/>
  <c r="G33" i="385"/>
  <c r="G29" i="385"/>
  <c r="G25" i="385"/>
  <c r="G21" i="385"/>
  <c r="G17" i="385"/>
  <c r="G13" i="385"/>
  <c r="G9" i="385"/>
  <c r="G5" i="385"/>
  <c r="E17" i="415"/>
  <c r="S32" i="444"/>
  <c r="V32" i="444" s="1"/>
  <c r="W32" i="444" s="1"/>
  <c r="V67" i="444"/>
  <c r="W67" i="444" s="1"/>
  <c r="V104" i="444"/>
  <c r="W104" i="444" s="1"/>
  <c r="V129" i="444"/>
  <c r="W129" i="444" s="1"/>
  <c r="S29" i="385"/>
  <c r="R29" i="385"/>
  <c r="L36" i="385"/>
  <c r="L16" i="385"/>
  <c r="K24" i="385"/>
  <c r="K20" i="385"/>
  <c r="K12" i="385"/>
  <c r="L32" i="385"/>
  <c r="L28" i="385"/>
  <c r="L24" i="385"/>
  <c r="L20" i="385"/>
  <c r="L12" i="385"/>
  <c r="L8" i="385"/>
  <c r="K40" i="385"/>
  <c r="K36" i="385"/>
  <c r="K32" i="385"/>
  <c r="K28" i="385"/>
  <c r="K16" i="385"/>
  <c r="K8" i="385"/>
  <c r="L33" i="385"/>
  <c r="L29" i="385"/>
  <c r="L17" i="385"/>
  <c r="L13" i="385"/>
  <c r="L9" i="385"/>
  <c r="L5" i="385"/>
  <c r="K17" i="385"/>
  <c r="L41" i="385"/>
  <c r="L37" i="385"/>
  <c r="L25" i="385"/>
  <c r="L21" i="385"/>
  <c r="K41" i="385"/>
  <c r="K37" i="385"/>
  <c r="K33" i="385"/>
  <c r="K29" i="385"/>
  <c r="K25" i="385"/>
  <c r="K21" i="385"/>
  <c r="L30" i="385"/>
  <c r="L26" i="385"/>
  <c r="L22" i="385"/>
  <c r="L18" i="385"/>
  <c r="L14" i="385"/>
  <c r="L10" i="385"/>
  <c r="L6" i="385"/>
  <c r="K18" i="385"/>
  <c r="K6" i="385"/>
  <c r="L34" i="385"/>
  <c r="K14" i="385"/>
  <c r="K34" i="385"/>
  <c r="K30" i="385"/>
  <c r="K26" i="385"/>
  <c r="K22" i="385"/>
  <c r="K10" i="385"/>
  <c r="D51" i="415"/>
  <c r="C38" i="415"/>
  <c r="D31" i="415"/>
  <c r="C18" i="415"/>
  <c r="E18" i="415" s="1"/>
  <c r="K39" i="385"/>
  <c r="K35" i="385"/>
  <c r="K31" i="385"/>
  <c r="K27" i="385"/>
  <c r="K23" i="385"/>
  <c r="I21" i="385"/>
  <c r="I33" i="385"/>
  <c r="I39" i="385"/>
  <c r="G42" i="385"/>
  <c r="P60" i="385"/>
  <c r="P66" i="385"/>
  <c r="I9" i="385"/>
  <c r="L11" i="385"/>
  <c r="D14" i="385"/>
  <c r="D16" i="385"/>
  <c r="S21" i="385"/>
  <c r="R21" i="385"/>
  <c r="L27" i="385"/>
  <c r="P33" i="385"/>
  <c r="P36" i="385"/>
  <c r="I42" i="385"/>
  <c r="I45" i="385"/>
  <c r="I48" i="385"/>
  <c r="S54" i="385"/>
  <c r="R54" i="385"/>
  <c r="S57" i="385"/>
  <c r="R57" i="385"/>
  <c r="I68" i="385"/>
  <c r="I71" i="385"/>
  <c r="T15" i="444"/>
  <c r="U15" i="444" s="1"/>
  <c r="S15" i="444"/>
  <c r="V26" i="444"/>
  <c r="W26" i="444" s="1"/>
  <c r="T50" i="444"/>
  <c r="U50" i="444" s="1"/>
  <c r="S50" i="444"/>
  <c r="V74" i="444"/>
  <c r="W74" i="444" s="1"/>
  <c r="V92" i="444"/>
  <c r="W92" i="444" s="1"/>
  <c r="W98" i="444"/>
  <c r="V156" i="444"/>
  <c r="W156" i="444" s="1"/>
  <c r="C19" i="415"/>
  <c r="E19" i="415" s="1"/>
  <c r="D50" i="415"/>
  <c r="S51" i="385"/>
  <c r="R51" i="385"/>
  <c r="I59" i="385"/>
  <c r="I62" i="385"/>
  <c r="I65" i="385"/>
  <c r="I7" i="385"/>
  <c r="P9" i="385"/>
  <c r="P11" i="385"/>
  <c r="F14" i="385"/>
  <c r="D19" i="385"/>
  <c r="P39" i="385"/>
  <c r="P42" i="385"/>
  <c r="T75" i="444"/>
  <c r="U75" i="444" s="1"/>
  <c r="S75" i="444"/>
  <c r="V93" i="444"/>
  <c r="W93" i="444" s="1"/>
  <c r="I114" i="385"/>
  <c r="I150" i="385"/>
  <c r="I182" i="385"/>
  <c r="C24" i="415"/>
  <c r="E24" i="415" s="1"/>
  <c r="D52" i="415"/>
  <c r="V45" i="444"/>
  <c r="W45" i="444" s="1"/>
  <c r="V69" i="444"/>
  <c r="W69" i="444" s="1"/>
  <c r="V131" i="444"/>
  <c r="W131" i="444" s="1"/>
  <c r="V144" i="444"/>
  <c r="W144" i="444" s="1"/>
  <c r="I118" i="385"/>
  <c r="I134" i="385"/>
  <c r="I174" i="385"/>
  <c r="D28" i="385"/>
  <c r="I5" i="385"/>
  <c r="D12" i="385"/>
  <c r="S16" i="385"/>
  <c r="I25" i="385"/>
  <c r="I28" i="385"/>
  <c r="I31" i="385"/>
  <c r="G34" i="385"/>
  <c r="D40" i="385"/>
  <c r="D43" i="385"/>
  <c r="P68" i="385"/>
  <c r="P71" i="385"/>
  <c r="D30" i="415"/>
  <c r="F12" i="385"/>
  <c r="L19" i="385"/>
  <c r="I22" i="385"/>
  <c r="P25" i="385"/>
  <c r="P28" i="385"/>
  <c r="I34" i="385"/>
  <c r="I37" i="385"/>
  <c r="I40" i="385"/>
  <c r="I43" i="385"/>
  <c r="S59" i="385"/>
  <c r="R59" i="385"/>
  <c r="P62" i="385"/>
  <c r="P65" i="385"/>
  <c r="T10" i="444"/>
  <c r="U10" i="444" s="1"/>
  <c r="S10" i="444"/>
  <c r="V94" i="444"/>
  <c r="W94" i="444" s="1"/>
  <c r="W138" i="444"/>
  <c r="I98" i="385"/>
  <c r="I110" i="385"/>
  <c r="I126" i="385"/>
  <c r="I138" i="385"/>
  <c r="I154" i="385"/>
  <c r="I162" i="385"/>
  <c r="D46" i="385"/>
  <c r="D10" i="385"/>
  <c r="G22" i="385"/>
  <c r="P5" i="385"/>
  <c r="P7" i="385"/>
  <c r="F10" i="385"/>
  <c r="I12" i="385"/>
  <c r="P14" i="385"/>
  <c r="D17" i="385"/>
  <c r="S19" i="385"/>
  <c r="R19" i="385"/>
  <c r="L31" i="385"/>
  <c r="P37" i="385"/>
  <c r="P40" i="385"/>
  <c r="I46" i="385"/>
  <c r="I64" i="385"/>
  <c r="I67" i="385"/>
  <c r="I70" i="385"/>
  <c r="D32" i="415"/>
  <c r="T35" i="444"/>
  <c r="U35" i="444" s="1"/>
  <c r="S35" i="444"/>
  <c r="V46" i="444"/>
  <c r="W46" i="444" s="1"/>
  <c r="S52" i="444"/>
  <c r="V52" i="444" s="1"/>
  <c r="W52" i="444" s="1"/>
  <c r="W58" i="444"/>
  <c r="V64" i="444"/>
  <c r="W64" i="444" s="1"/>
  <c r="T70" i="444"/>
  <c r="U70" i="444" s="1"/>
  <c r="S70" i="444"/>
  <c r="V125" i="444"/>
  <c r="W125" i="444" s="1"/>
  <c r="W158" i="444"/>
  <c r="S30" i="385"/>
  <c r="R30" i="385"/>
  <c r="S48" i="385"/>
  <c r="I106" i="385"/>
  <c r="I142" i="385"/>
  <c r="I170" i="385"/>
  <c r="D31" i="385"/>
  <c r="I14" i="385"/>
  <c r="P12" i="385"/>
  <c r="S22" i="385"/>
  <c r="R22" i="385"/>
  <c r="P34" i="385"/>
  <c r="P53" i="385"/>
  <c r="I58" i="385"/>
  <c r="I77" i="385"/>
  <c r="I89" i="385"/>
  <c r="I97" i="385"/>
  <c r="I109" i="385"/>
  <c r="I117" i="385"/>
  <c r="I129" i="385"/>
  <c r="I137" i="385"/>
  <c r="I149" i="385"/>
  <c r="I161" i="385"/>
  <c r="I169" i="385"/>
  <c r="I173" i="385"/>
  <c r="I177" i="385"/>
  <c r="I181" i="385"/>
  <c r="I185" i="385"/>
  <c r="I189" i="385"/>
  <c r="F7" i="385"/>
  <c r="F27" i="385"/>
  <c r="F23" i="385"/>
  <c r="F19" i="385"/>
  <c r="F15" i="385"/>
  <c r="F11" i="385"/>
  <c r="F47" i="385"/>
  <c r="F43" i="385"/>
  <c r="F39" i="385"/>
  <c r="F35" i="385"/>
  <c r="F31" i="385"/>
  <c r="F20" i="385"/>
  <c r="F48" i="385"/>
  <c r="F44" i="385"/>
  <c r="F40" i="385"/>
  <c r="F36" i="385"/>
  <c r="F32" i="385"/>
  <c r="F28" i="385"/>
  <c r="F24" i="385"/>
  <c r="F16" i="385"/>
  <c r="F13" i="385"/>
  <c r="F9" i="385"/>
  <c r="F45" i="385"/>
  <c r="F41" i="385"/>
  <c r="F37" i="385"/>
  <c r="F33" i="385"/>
  <c r="F29" i="385"/>
  <c r="F25" i="385"/>
  <c r="F21" i="385"/>
  <c r="F17" i="385"/>
  <c r="F5" i="385"/>
  <c r="F46" i="385"/>
  <c r="F42" i="385"/>
  <c r="F38" i="385"/>
  <c r="F34" i="385"/>
  <c r="F30" i="385"/>
  <c r="F26" i="385"/>
  <c r="F22" i="385"/>
  <c r="C50" i="415"/>
  <c r="E50" i="415" s="1"/>
  <c r="C37" i="415"/>
  <c r="E37" i="415" s="1"/>
  <c r="T95" i="444"/>
  <c r="U95" i="444" s="1"/>
  <c r="S95" i="444"/>
  <c r="S27" i="385"/>
  <c r="R27" i="385"/>
  <c r="S45" i="385"/>
  <c r="R45" i="385"/>
  <c r="I102" i="385"/>
  <c r="I122" i="385"/>
  <c r="I130" i="385"/>
  <c r="I146" i="385"/>
  <c r="I158" i="385"/>
  <c r="I166" i="385"/>
  <c r="I178" i="385"/>
  <c r="I186" i="385"/>
  <c r="I190" i="385"/>
  <c r="D37" i="385"/>
  <c r="P31" i="385"/>
  <c r="P50" i="385"/>
  <c r="I55" i="385"/>
  <c r="I61" i="385"/>
  <c r="I73" i="385"/>
  <c r="I81" i="385"/>
  <c r="I85" i="385"/>
  <c r="I93" i="385"/>
  <c r="I101" i="385"/>
  <c r="I105" i="385"/>
  <c r="I113" i="385"/>
  <c r="I121" i="385"/>
  <c r="I125" i="385"/>
  <c r="I133" i="385"/>
  <c r="I141" i="385"/>
  <c r="I145" i="385"/>
  <c r="I153" i="385"/>
  <c r="I157" i="385"/>
  <c r="I165" i="385"/>
  <c r="I17" i="385"/>
  <c r="D26" i="385"/>
  <c r="P43" i="385"/>
  <c r="P46" i="385"/>
  <c r="D37" i="415"/>
  <c r="V53" i="444"/>
  <c r="W53" i="444" s="1"/>
  <c r="V126" i="444"/>
  <c r="W126" i="444" s="1"/>
  <c r="K43" i="385"/>
  <c r="K47" i="385"/>
  <c r="D24" i="415"/>
  <c r="C31" i="415"/>
  <c r="C51" i="415"/>
  <c r="E51" i="415" s="1"/>
  <c r="C5" i="415"/>
  <c r="D18" i="415"/>
  <c r="C25" i="415"/>
  <c r="E25" i="415" s="1"/>
  <c r="D38" i="415"/>
  <c r="S21" i="444"/>
  <c r="V21" i="444" s="1"/>
  <c r="W21" i="444" s="1"/>
  <c r="S41" i="444"/>
  <c r="V41" i="444" s="1"/>
  <c r="W41" i="444" s="1"/>
  <c r="S61" i="444"/>
  <c r="V61" i="444" s="1"/>
  <c r="W61" i="444" s="1"/>
  <c r="S81" i="444"/>
  <c r="V81" i="444" s="1"/>
  <c r="W81" i="444" s="1"/>
  <c r="S101" i="444"/>
  <c r="V101" i="444" s="1"/>
  <c r="W101" i="444" s="1"/>
  <c r="S121" i="444"/>
  <c r="V121" i="444" s="1"/>
  <c r="W121" i="444" s="1"/>
  <c r="S141" i="444"/>
  <c r="V141" i="444" s="1"/>
  <c r="W141" i="444" s="1"/>
  <c r="S161" i="444"/>
  <c r="V161" i="444" s="1"/>
  <c r="W161" i="444" s="1"/>
  <c r="D5" i="415"/>
  <c r="D25" i="415"/>
  <c r="C32" i="415"/>
  <c r="E32" i="415" s="1"/>
  <c r="C52" i="415"/>
  <c r="K38" i="385"/>
  <c r="K42" i="385"/>
  <c r="K46" i="385"/>
  <c r="C6" i="415"/>
  <c r="D19" i="415"/>
  <c r="C26" i="415"/>
  <c r="D39" i="415"/>
  <c r="E39" i="415" s="1"/>
  <c r="C46" i="415"/>
  <c r="S130" i="444"/>
  <c r="V130" i="444" s="1"/>
  <c r="W130" i="444" s="1"/>
  <c r="S150" i="444"/>
  <c r="V150" i="444" s="1"/>
  <c r="W150" i="444" s="1"/>
  <c r="L42" i="385"/>
  <c r="L46" i="385"/>
  <c r="D6" i="415"/>
  <c r="D26" i="415"/>
  <c r="C33" i="415"/>
  <c r="E33" i="415" s="1"/>
  <c r="D46" i="415"/>
  <c r="C53" i="415"/>
  <c r="E53" i="415" s="1"/>
  <c r="C20" i="415"/>
  <c r="D33" i="415"/>
  <c r="C40" i="415"/>
  <c r="D53" i="415"/>
  <c r="C7" i="415"/>
  <c r="D20" i="415"/>
  <c r="C27" i="415"/>
  <c r="D40" i="415"/>
  <c r="C47" i="415"/>
  <c r="E47" i="415" s="1"/>
  <c r="S19" i="444"/>
  <c r="V19" i="444" s="1"/>
  <c r="W19" i="444" s="1"/>
  <c r="S39" i="444"/>
  <c r="V39" i="444" s="1"/>
  <c r="W39" i="444" s="1"/>
  <c r="S59" i="444"/>
  <c r="V59" i="444" s="1"/>
  <c r="W59" i="444" s="1"/>
  <c r="S79" i="444"/>
  <c r="V79" i="444" s="1"/>
  <c r="W79" i="444" s="1"/>
  <c r="S99" i="444"/>
  <c r="V99" i="444" s="1"/>
  <c r="W99" i="444" s="1"/>
  <c r="S119" i="444"/>
  <c r="V119" i="444" s="1"/>
  <c r="W119" i="444" s="1"/>
  <c r="S139" i="444"/>
  <c r="V139" i="444" s="1"/>
  <c r="W139" i="444" s="1"/>
  <c r="S159" i="444"/>
  <c r="V159" i="444" s="1"/>
  <c r="W159" i="444" s="1"/>
  <c r="D7" i="415"/>
  <c r="D27" i="415"/>
  <c r="C34" i="415"/>
  <c r="E34" i="415" s="1"/>
  <c r="D47" i="415"/>
  <c r="C54" i="415"/>
  <c r="E54" i="415" s="1"/>
  <c r="S162" i="444"/>
  <c r="V162" i="444" s="1"/>
  <c r="W162" i="444" s="1"/>
  <c r="K45" i="385"/>
  <c r="C21" i="415"/>
  <c r="D34" i="415"/>
  <c r="C41" i="415"/>
  <c r="E41" i="415" s="1"/>
  <c r="D54" i="415"/>
  <c r="S165" i="444"/>
  <c r="V165" i="444" s="1"/>
  <c r="W165" i="444" s="1"/>
  <c r="L45" i="385"/>
  <c r="C8" i="415"/>
  <c r="D21" i="415"/>
  <c r="C28" i="415"/>
  <c r="D41" i="415"/>
  <c r="C48" i="415"/>
  <c r="S8" i="444"/>
  <c r="V8" i="444" s="1"/>
  <c r="W8" i="444" s="1"/>
  <c r="S28" i="444"/>
  <c r="V28" i="444" s="1"/>
  <c r="W28" i="444" s="1"/>
  <c r="S48" i="444"/>
  <c r="V48" i="444" s="1"/>
  <c r="W48" i="444" s="1"/>
  <c r="S68" i="444"/>
  <c r="V68" i="444" s="1"/>
  <c r="W68" i="444" s="1"/>
  <c r="S88" i="444"/>
  <c r="V88" i="444" s="1"/>
  <c r="W88" i="444" s="1"/>
  <c r="S108" i="444"/>
  <c r="V108" i="444" s="1"/>
  <c r="W108" i="444" s="1"/>
  <c r="S128" i="444"/>
  <c r="V128" i="444" s="1"/>
  <c r="W128" i="444" s="1"/>
  <c r="S148" i="444"/>
  <c r="V148" i="444" s="1"/>
  <c r="W148" i="444" s="1"/>
  <c r="D8" i="415"/>
  <c r="D28" i="415"/>
  <c r="C35" i="415"/>
  <c r="E35" i="415" s="1"/>
  <c r="D48" i="415"/>
  <c r="C22" i="415"/>
  <c r="E22" i="415" s="1"/>
  <c r="D35" i="415"/>
  <c r="C9" i="415"/>
  <c r="D22" i="415"/>
  <c r="C29" i="415"/>
  <c r="E29" i="415" s="1"/>
  <c r="C49" i="415"/>
  <c r="S17" i="444"/>
  <c r="V17" i="444" s="1"/>
  <c r="W17" i="444" s="1"/>
  <c r="S37" i="444"/>
  <c r="V37" i="444" s="1"/>
  <c r="W37" i="444" s="1"/>
  <c r="S57" i="444"/>
  <c r="V57" i="444" s="1"/>
  <c r="W57" i="444" s="1"/>
  <c r="S77" i="444"/>
  <c r="V77" i="444" s="1"/>
  <c r="W77" i="444" s="1"/>
  <c r="S97" i="444"/>
  <c r="V97" i="444" s="1"/>
  <c r="W97" i="444" s="1"/>
  <c r="S117" i="444"/>
  <c r="V117" i="444" s="1"/>
  <c r="W117" i="444" s="1"/>
  <c r="S137" i="444"/>
  <c r="V137" i="444" s="1"/>
  <c r="W137" i="444" s="1"/>
  <c r="S157" i="444"/>
  <c r="V157" i="444" s="1"/>
  <c r="W157" i="444" s="1"/>
  <c r="K44" i="385"/>
  <c r="K48" i="385"/>
  <c r="D9" i="415"/>
  <c r="D29" i="415"/>
  <c r="C36" i="415"/>
  <c r="E36" i="415" s="1"/>
  <c r="D49" i="415"/>
  <c r="S160" i="444"/>
  <c r="V160" i="444" s="1"/>
  <c r="W160" i="444" s="1"/>
  <c r="L40" i="385"/>
  <c r="L44" i="385"/>
  <c r="L48" i="385"/>
  <c r="C23" i="415"/>
  <c r="D36" i="415"/>
  <c r="S63" i="444"/>
  <c r="V63" i="444" s="1"/>
  <c r="W63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D23" i="415"/>
  <c r="C30" i="415"/>
  <c r="V55" i="444" l="1"/>
  <c r="W55" i="444" s="1"/>
  <c r="V95" i="444"/>
  <c r="W95" i="444" s="1"/>
  <c r="V15" i="444"/>
  <c r="W15" i="444" s="1"/>
  <c r="V115" i="444"/>
  <c r="W115" i="444" s="1"/>
  <c r="V155" i="444"/>
  <c r="W155" i="444" s="1"/>
  <c r="V30" i="444"/>
  <c r="W30" i="444" s="1"/>
  <c r="V10" i="444"/>
  <c r="W10" i="444" s="1"/>
  <c r="V110" i="444"/>
  <c r="W110" i="444" s="1"/>
  <c r="V135" i="444"/>
  <c r="W135" i="444" s="1"/>
  <c r="R12" i="385"/>
  <c r="S12" i="385"/>
  <c r="R36" i="385"/>
  <c r="S36" i="385"/>
  <c r="M28" i="385"/>
  <c r="E28" i="385" s="1"/>
  <c r="J28" i="385"/>
  <c r="H28" i="385"/>
  <c r="S43" i="385"/>
  <c r="R43" i="385"/>
  <c r="S71" i="385"/>
  <c r="R71" i="385"/>
  <c r="M26" i="385"/>
  <c r="E26" i="385" s="1"/>
  <c r="H26" i="385"/>
  <c r="J26" i="385"/>
  <c r="M32" i="385"/>
  <c r="E32" i="385" s="1"/>
  <c r="J32" i="385"/>
  <c r="H32" i="385"/>
  <c r="R68" i="385"/>
  <c r="S68" i="385"/>
  <c r="E38" i="415"/>
  <c r="S49" i="385"/>
  <c r="R49" i="385"/>
  <c r="M30" i="385"/>
  <c r="E30" i="385" s="1"/>
  <c r="H30" i="385"/>
  <c r="J30" i="385"/>
  <c r="S38" i="385"/>
  <c r="R38" i="385"/>
  <c r="S37" i="385"/>
  <c r="R37" i="385"/>
  <c r="S35" i="385"/>
  <c r="R35" i="385"/>
  <c r="S46" i="385"/>
  <c r="R46" i="385"/>
  <c r="M22" i="385"/>
  <c r="E22" i="385" s="1"/>
  <c r="H22" i="385"/>
  <c r="J22" i="385"/>
  <c r="M36" i="385"/>
  <c r="E36" i="385" s="1"/>
  <c r="J36" i="385"/>
  <c r="H36" i="385"/>
  <c r="M40" i="385"/>
  <c r="E40" i="385" s="1"/>
  <c r="J40" i="385"/>
  <c r="H40" i="385"/>
  <c r="M38" i="385"/>
  <c r="E38" i="385" s="1"/>
  <c r="H38" i="385"/>
  <c r="J38" i="385"/>
  <c r="M44" i="385"/>
  <c r="E44" i="385" s="1"/>
  <c r="J44" i="385"/>
  <c r="H44" i="385"/>
  <c r="M12" i="385"/>
  <c r="E12" i="385" s="1"/>
  <c r="J12" i="385"/>
  <c r="H12" i="385"/>
  <c r="S50" i="385"/>
  <c r="R50" i="385"/>
  <c r="M34" i="385"/>
  <c r="E34" i="385" s="1"/>
  <c r="H34" i="385"/>
  <c r="J34" i="385"/>
  <c r="E49" i="415"/>
  <c r="E28" i="415"/>
  <c r="M42" i="385"/>
  <c r="E42" i="385" s="1"/>
  <c r="H42" i="385"/>
  <c r="J42" i="385"/>
  <c r="M48" i="385"/>
  <c r="E48" i="385" s="1"/>
  <c r="J48" i="385"/>
  <c r="H48" i="385"/>
  <c r="V75" i="444"/>
  <c r="W75" i="444" s="1"/>
  <c r="V50" i="444"/>
  <c r="W50" i="444" s="1"/>
  <c r="R44" i="385"/>
  <c r="S44" i="385"/>
  <c r="E23" i="415"/>
  <c r="M46" i="385"/>
  <c r="E46" i="385" s="1"/>
  <c r="H46" i="385"/>
  <c r="J46" i="385"/>
  <c r="M20" i="385"/>
  <c r="E20" i="385" s="1"/>
  <c r="J20" i="385"/>
  <c r="H20" i="385"/>
  <c r="S65" i="385"/>
  <c r="R65" i="385"/>
  <c r="S10" i="385"/>
  <c r="R10" i="385"/>
  <c r="R40" i="385"/>
  <c r="S40" i="385"/>
  <c r="E48" i="415"/>
  <c r="E8" i="415"/>
  <c r="E46" i="415"/>
  <c r="M5" i="385"/>
  <c r="E5" i="385" s="1"/>
  <c r="J5" i="385"/>
  <c r="H5" i="385"/>
  <c r="H31" i="385"/>
  <c r="M31" i="385"/>
  <c r="E31" i="385" s="1"/>
  <c r="J31" i="385"/>
  <c r="S62" i="385"/>
  <c r="R62" i="385"/>
  <c r="S42" i="385"/>
  <c r="R42" i="385"/>
  <c r="S47" i="385"/>
  <c r="R47" i="385"/>
  <c r="S31" i="385"/>
  <c r="R31" i="385"/>
  <c r="E9" i="415"/>
  <c r="M17" i="385"/>
  <c r="E17" i="385" s="1"/>
  <c r="J17" i="385"/>
  <c r="H17" i="385"/>
  <c r="H35" i="385"/>
  <c r="M35" i="385"/>
  <c r="E35" i="385" s="1"/>
  <c r="J35" i="385"/>
  <c r="S14" i="385"/>
  <c r="R14" i="385"/>
  <c r="S39" i="385"/>
  <c r="R39" i="385"/>
  <c r="S66" i="385"/>
  <c r="R66" i="385"/>
  <c r="R52" i="385"/>
  <c r="S52" i="385"/>
  <c r="M6" i="385"/>
  <c r="E6" i="385" s="1"/>
  <c r="H6" i="385"/>
  <c r="J6" i="385"/>
  <c r="M16" i="385"/>
  <c r="E16" i="385" s="1"/>
  <c r="J16" i="385"/>
  <c r="H16" i="385"/>
  <c r="E26" i="415"/>
  <c r="M21" i="385"/>
  <c r="E21" i="385" s="1"/>
  <c r="J21" i="385"/>
  <c r="H21" i="385"/>
  <c r="H39" i="385"/>
  <c r="M39" i="385"/>
  <c r="E39" i="385" s="1"/>
  <c r="J39" i="385"/>
  <c r="V70" i="444"/>
  <c r="W70" i="444" s="1"/>
  <c r="R60" i="385"/>
  <c r="S60" i="385"/>
  <c r="S41" i="385"/>
  <c r="R41" i="385"/>
  <c r="E5" i="415"/>
  <c r="M25" i="385"/>
  <c r="E25" i="385" s="1"/>
  <c r="J25" i="385"/>
  <c r="H25" i="385"/>
  <c r="H43" i="385"/>
  <c r="M43" i="385"/>
  <c r="E43" i="385" s="1"/>
  <c r="J43" i="385"/>
  <c r="M10" i="385"/>
  <c r="E10" i="385" s="1"/>
  <c r="H10" i="385"/>
  <c r="J10" i="385"/>
  <c r="M14" i="385"/>
  <c r="E14" i="385" s="1"/>
  <c r="H14" i="385"/>
  <c r="J14" i="385"/>
  <c r="H47" i="385"/>
  <c r="M47" i="385"/>
  <c r="E47" i="385" s="1"/>
  <c r="J47" i="385"/>
  <c r="S7" i="385"/>
  <c r="R7" i="385"/>
  <c r="S11" i="385"/>
  <c r="R11" i="385"/>
  <c r="H8" i="385"/>
  <c r="E27" i="415"/>
  <c r="E6" i="415"/>
  <c r="M29" i="385"/>
  <c r="E29" i="385" s="1"/>
  <c r="J29" i="385"/>
  <c r="H29" i="385"/>
  <c r="E31" i="415"/>
  <c r="M33" i="385"/>
  <c r="E33" i="385" s="1"/>
  <c r="J33" i="385"/>
  <c r="H33" i="385"/>
  <c r="H11" i="385"/>
  <c r="M11" i="385"/>
  <c r="E11" i="385" s="1"/>
  <c r="J11" i="385"/>
  <c r="S5" i="385"/>
  <c r="R5" i="385"/>
  <c r="S9" i="385"/>
  <c r="R9" i="385"/>
  <c r="V90" i="444"/>
  <c r="W90" i="444" s="1"/>
  <c r="J8" i="385"/>
  <c r="M24" i="385"/>
  <c r="J24" i="385"/>
  <c r="H24" i="385"/>
  <c r="E7" i="415"/>
  <c r="M37" i="385"/>
  <c r="E37" i="385" s="1"/>
  <c r="J37" i="385"/>
  <c r="H37" i="385"/>
  <c r="H15" i="385"/>
  <c r="J15" i="385"/>
  <c r="M15" i="385"/>
  <c r="E15" i="385" s="1"/>
  <c r="S69" i="385"/>
  <c r="R69" i="385"/>
  <c r="S15" i="385"/>
  <c r="R15" i="385"/>
  <c r="S33" i="385"/>
  <c r="R33" i="385"/>
  <c r="E21" i="415"/>
  <c r="M41" i="385"/>
  <c r="E41" i="385" s="1"/>
  <c r="J41" i="385"/>
  <c r="H41" i="385"/>
  <c r="H19" i="385"/>
  <c r="M19" i="385"/>
  <c r="E19" i="385" s="1"/>
  <c r="J19" i="385"/>
  <c r="R28" i="385"/>
  <c r="S28" i="385"/>
  <c r="S63" i="385"/>
  <c r="R63" i="385"/>
  <c r="R13" i="385"/>
  <c r="S13" i="385"/>
  <c r="S70" i="385"/>
  <c r="R70" i="385"/>
  <c r="E40" i="415"/>
  <c r="E52" i="415"/>
  <c r="M45" i="385"/>
  <c r="E45" i="385" s="1"/>
  <c r="J45" i="385"/>
  <c r="H45" i="385"/>
  <c r="H23" i="385"/>
  <c r="M23" i="385"/>
  <c r="E23" i="385" s="1"/>
  <c r="J23" i="385"/>
  <c r="S34" i="385"/>
  <c r="R34" i="385"/>
  <c r="V35" i="444"/>
  <c r="W35" i="444" s="1"/>
  <c r="R25" i="385"/>
  <c r="S25" i="385"/>
  <c r="S67" i="385"/>
  <c r="R67" i="385"/>
  <c r="H27" i="385"/>
  <c r="M27" i="385"/>
  <c r="E27" i="385" s="1"/>
  <c r="J27" i="385"/>
  <c r="S6" i="385"/>
  <c r="R6" i="385"/>
  <c r="R64" i="385"/>
  <c r="S64" i="385"/>
  <c r="M18" i="385"/>
  <c r="E18" i="385" s="1"/>
  <c r="H18" i="385"/>
  <c r="J18" i="385"/>
  <c r="M9" i="385"/>
  <c r="E9" i="385" s="1"/>
  <c r="J9" i="385"/>
  <c r="H9" i="385"/>
  <c r="E30" i="415"/>
  <c r="E20" i="415"/>
  <c r="M13" i="385"/>
  <c r="E13" i="385" s="1"/>
  <c r="J13" i="385"/>
  <c r="H13" i="385"/>
  <c r="H7" i="385"/>
  <c r="J7" i="385"/>
  <c r="M7" i="385"/>
  <c r="E7" i="385" s="1"/>
  <c r="W237" i="89" a="1"/>
  <c r="W237" i="89" l="1"/>
  <c r="L237" i="89" a="1"/>
  <c r="L237" i="89" l="1"/>
  <c r="K237" i="89" a="1"/>
  <c r="K237" i="89" l="1"/>
  <c r="M237" i="89" s="1"/>
  <c r="I237" i="89"/>
  <c r="AA237" i="89" a="1"/>
  <c r="F237" i="89" a="1"/>
  <c r="AA237" i="89" l="1"/>
  <c r="F237" i="89"/>
  <c r="N237" i="89" a="1"/>
  <c r="N237" i="89" l="1"/>
  <c r="P237" i="89" l="1"/>
  <c r="Q237" i="89" s="1"/>
  <c r="AE236" i="89"/>
  <c r="AC237" i="89" l="1"/>
  <c r="Y237" i="89"/>
  <c r="U237" i="89"/>
  <c r="J237" i="89"/>
  <c r="D237" i="89" l="1"/>
  <c r="A237" i="89"/>
  <c r="W236" i="89" a="1"/>
  <c r="W236" i="89" l="1"/>
  <c r="L236" i="89" a="1"/>
  <c r="L236" i="89" l="1"/>
  <c r="K236" i="89" a="1"/>
  <c r="K236" i="89" l="1"/>
  <c r="M236" i="89" s="1"/>
  <c r="I236" i="89"/>
  <c r="AA236" i="89" a="1"/>
  <c r="F236" i="89" a="1"/>
  <c r="AA236" i="89" l="1"/>
  <c r="F236" i="89"/>
  <c r="N236" i="89" a="1"/>
  <c r="N236" i="89" l="1"/>
  <c r="P236" i="89" l="1"/>
  <c r="Q236" i="89" s="1"/>
  <c r="AE235" i="89"/>
  <c r="AC236" i="89" l="1"/>
  <c r="Y236" i="89"/>
  <c r="U236" i="89"/>
  <c r="J236" i="89"/>
  <c r="D236" i="89" l="1"/>
  <c r="A236" i="89"/>
  <c r="W235" i="89" a="1"/>
  <c r="W235" i="89" l="1"/>
  <c r="L235" i="89" a="1"/>
  <c r="L235" i="89" l="1"/>
  <c r="K235" i="89" a="1"/>
  <c r="K235" i="89" l="1"/>
  <c r="M235" i="89" s="1"/>
  <c r="I235" i="89"/>
  <c r="AA235" i="89" a="1"/>
  <c r="F235" i="89" a="1"/>
  <c r="AA235" i="89" l="1"/>
  <c r="F235" i="89"/>
  <c r="N235" i="89" a="1"/>
  <c r="N235" i="89" l="1"/>
  <c r="P235" i="89" l="1"/>
  <c r="Q235" i="89" s="1"/>
  <c r="AE234" i="89"/>
  <c r="AC235" i="89" l="1"/>
  <c r="Y235" i="89"/>
  <c r="U235" i="89"/>
  <c r="J235" i="89"/>
  <c r="D235" i="89" l="1"/>
  <c r="A235" i="89"/>
  <c r="W234" i="89" a="1"/>
  <c r="W234" i="89" l="1"/>
  <c r="L234" i="89" a="1"/>
  <c r="L234" i="89" l="1"/>
  <c r="K234" i="89" a="1"/>
  <c r="K234" i="89" l="1"/>
  <c r="M234" i="89" s="1"/>
  <c r="I234" i="89"/>
  <c r="AA234" i="89" a="1"/>
  <c r="F234" i="89" a="1"/>
  <c r="AA234" i="89" l="1"/>
  <c r="F234" i="89"/>
  <c r="N234" i="89" a="1"/>
  <c r="N234" i="89" l="1"/>
  <c r="P234" i="89" l="1"/>
  <c r="Q234" i="89" s="1"/>
  <c r="AE233" i="89"/>
  <c r="AC234" i="89" l="1"/>
  <c r="Y234" i="89"/>
  <c r="U234" i="89"/>
  <c r="J234" i="89"/>
  <c r="D234" i="89" l="1"/>
  <c r="A234" i="89"/>
  <c r="W233" i="89" a="1"/>
  <c r="W233" i="89" l="1"/>
  <c r="L233" i="89" a="1"/>
  <c r="L233" i="89" l="1"/>
  <c r="K233" i="89" a="1"/>
  <c r="K233" i="89" l="1"/>
  <c r="K239" i="89" s="1"/>
  <c r="I233" i="89"/>
  <c r="AA233" i="89" a="1"/>
  <c r="F233" i="89" a="1"/>
  <c r="AA233" i="89" l="1"/>
  <c r="M233" i="89"/>
  <c r="F233" i="89"/>
  <c r="I239" i="89"/>
  <c r="N233" i="89" a="1"/>
  <c r="N233" i="89" l="1"/>
  <c r="P233" i="89" l="1"/>
  <c r="Q233" i="89" s="1"/>
  <c r="AC233" i="89" l="1"/>
  <c r="Y233" i="89"/>
  <c r="U233" i="89"/>
  <c r="J233" i="89"/>
  <c r="D233" i="89" l="1"/>
  <c r="A233" i="89"/>
  <c r="W225" i="89" a="1"/>
  <c r="W225" i="89" l="1"/>
  <c r="L225" i="89" a="1"/>
  <c r="L225" i="89" l="1"/>
  <c r="K225" i="89" a="1"/>
  <c r="K225" i="89" l="1"/>
  <c r="M225" i="89" s="1"/>
  <c r="I225" i="89"/>
  <c r="AA225" i="89" a="1"/>
  <c r="F225" i="89" a="1"/>
  <c r="AA225" i="89" l="1"/>
  <c r="F225" i="89"/>
  <c r="N225" i="89" a="1"/>
  <c r="N225" i="89" l="1"/>
  <c r="U225" i="89" l="1"/>
  <c r="J225" i="89"/>
  <c r="W224" i="89" a="1"/>
  <c r="W224" i="89" l="1"/>
  <c r="L224" i="89" a="1"/>
  <c r="L224" i="89" l="1"/>
  <c r="K224" i="89" a="1"/>
  <c r="K224" i="89" l="1"/>
  <c r="M224" i="89" s="1"/>
  <c r="H224" i="89"/>
  <c r="F224" i="89" a="1"/>
  <c r="I224" i="89" l="1"/>
  <c r="F224" i="89"/>
  <c r="H225" i="89"/>
  <c r="AA224" i="89" a="1"/>
  <c r="N224" i="89" a="1"/>
  <c r="AA224" i="89" l="1"/>
  <c r="I229" i="89"/>
  <c r="N224" i="89"/>
  <c r="P225" i="89"/>
  <c r="Q225" i="89" s="1"/>
  <c r="AC225" i="89"/>
  <c r="Y225" i="89"/>
  <c r="P224" i="89" l="1"/>
  <c r="Q224" i="89" s="1"/>
  <c r="S224" i="89" a="1"/>
  <c r="S224" i="89" l="1"/>
  <c r="R224" i="89" a="1"/>
  <c r="R224" i="89" l="1"/>
  <c r="AC224" i="89"/>
  <c r="Y224" i="89"/>
  <c r="U224" i="89"/>
  <c r="J224" i="89"/>
  <c r="W223" i="89" a="1"/>
  <c r="W223" i="89" l="1"/>
  <c r="L223" i="89" a="1"/>
  <c r="L223" i="89" l="1"/>
  <c r="K223" i="89" a="1"/>
  <c r="K223" i="89" l="1"/>
  <c r="M223" i="89" s="1"/>
  <c r="K226" i="89"/>
  <c r="I223" i="89"/>
  <c r="AA223" i="89" a="1"/>
  <c r="F223" i="89" a="1"/>
  <c r="AA223" i="89" l="1"/>
  <c r="F223" i="89"/>
  <c r="N223" i="89" a="1"/>
  <c r="N223" i="89" l="1"/>
  <c r="P223" i="89" l="1"/>
  <c r="Q223" i="89" l="1"/>
  <c r="S223" i="89" a="1"/>
  <c r="S223" i="89" l="1"/>
  <c r="R223" i="89" a="1"/>
  <c r="R223" i="89" l="1"/>
  <c r="AC223" i="89"/>
  <c r="Y223" i="89"/>
  <c r="U223" i="89"/>
  <c r="J223" i="89"/>
  <c r="W222" i="89" a="1"/>
  <c r="W222" i="89" l="1"/>
  <c r="L222" i="89" a="1"/>
  <c r="L222" i="89" l="1"/>
  <c r="K222" i="89" a="1"/>
  <c r="K222" i="89" l="1"/>
  <c r="K227" i="89" s="1"/>
  <c r="H222" i="89"/>
  <c r="F222" i="89" a="1"/>
  <c r="I222" i="89" l="1"/>
  <c r="K228" i="89" s="1"/>
  <c r="M222" i="89"/>
  <c r="F222" i="89"/>
  <c r="AA222" i="89" a="1"/>
  <c r="N222" i="89" a="1"/>
  <c r="I226" i="89" l="1"/>
  <c r="M229" i="89" s="1"/>
  <c r="I228" i="89"/>
  <c r="I230" i="89" s="1"/>
  <c r="AA222" i="89"/>
  <c r="N222" i="89"/>
  <c r="P222" i="89" l="1"/>
  <c r="P226" i="89" l="1"/>
  <c r="Q226" i="89" s="1"/>
  <c r="Q222" i="89"/>
  <c r="W221" i="89"/>
  <c r="J221" i="89"/>
  <c r="I221" i="89"/>
  <c r="S222" i="89" a="1"/>
  <c r="S222" i="89" l="1"/>
  <c r="R222" i="89" a="1"/>
  <c r="R222" i="89" l="1"/>
  <c r="AC222" i="89"/>
  <c r="Y222" i="89"/>
  <c r="U222" i="89"/>
  <c r="J222" i="89"/>
  <c r="Y227" i="89" l="1"/>
  <c r="W213" i="89" a="1"/>
  <c r="W213" i="89" l="1"/>
  <c r="L213" i="89" a="1"/>
  <c r="L213" i="89" l="1"/>
  <c r="K213" i="89" a="1"/>
  <c r="K213" i="89" l="1"/>
  <c r="M213" i="89"/>
  <c r="I213" i="89"/>
  <c r="F213" i="89" a="1"/>
  <c r="F213" i="89" l="1"/>
  <c r="I218" i="89"/>
  <c r="N213" i="89" a="1"/>
  <c r="N213" i="89" l="1"/>
  <c r="P213" i="89" l="1"/>
  <c r="Q213" i="89" s="1"/>
  <c r="AC213" i="89" l="1"/>
  <c r="Y213" i="89"/>
  <c r="U213" i="89"/>
  <c r="J213" i="89"/>
  <c r="W212" i="89" a="1"/>
  <c r="W212" i="89" l="1"/>
  <c r="L212" i="89" a="1"/>
  <c r="L212" i="89" l="1"/>
  <c r="K212" i="89" a="1"/>
  <c r="K212" i="89" l="1"/>
  <c r="K215" i="89"/>
  <c r="M212" i="89"/>
  <c r="I212" i="89"/>
  <c r="F212" i="89" a="1"/>
  <c r="F212" i="89" l="1"/>
  <c r="N212" i="89" a="1"/>
  <c r="N212" i="89" l="1"/>
  <c r="P212" i="89" l="1"/>
  <c r="S212" i="89" a="1"/>
  <c r="S212" i="89" l="1"/>
  <c r="Q212" i="89"/>
  <c r="R212" i="89" a="1"/>
  <c r="R212" i="89" l="1"/>
  <c r="AC212" i="89"/>
  <c r="Y212" i="89"/>
  <c r="U212" i="89"/>
  <c r="J212" i="89"/>
  <c r="W211" i="89" a="1"/>
  <c r="W211" i="89" l="1"/>
  <c r="L211" i="89" a="1"/>
  <c r="L211" i="89" l="1"/>
  <c r="K211" i="89" a="1"/>
  <c r="K211" i="89" l="1"/>
  <c r="K216" i="89" s="1"/>
  <c r="M211" i="89"/>
  <c r="I211" i="89"/>
  <c r="H211" i="89"/>
  <c r="F211" i="89" a="1"/>
  <c r="F211" i="89" l="1"/>
  <c r="K217" i="89"/>
  <c r="I215" i="89"/>
  <c r="M218" i="89" s="1"/>
  <c r="I217" i="89"/>
  <c r="I219" i="89" s="1"/>
  <c r="N211" i="89" a="1"/>
  <c r="N211" i="89" l="1"/>
  <c r="P211" i="89" l="1"/>
  <c r="W210" i="89"/>
  <c r="I210" i="89"/>
  <c r="S211" i="89" a="1"/>
  <c r="S211" i="89" l="1"/>
  <c r="P215" i="89"/>
  <c r="Q211" i="89"/>
  <c r="R211" i="89" a="1"/>
  <c r="R211" i="89" l="1"/>
  <c r="Q215" i="89"/>
  <c r="C217" i="89"/>
  <c r="C218" i="89" s="1"/>
  <c r="AC211" i="89"/>
  <c r="Y211" i="89"/>
  <c r="U211" i="89"/>
  <c r="J211" i="89"/>
  <c r="Y216" i="89" l="1"/>
  <c r="W205" i="89" a="1"/>
  <c r="W205" i="89" l="1"/>
  <c r="L205" i="89" a="1"/>
  <c r="L205" i="89" l="1"/>
  <c r="K205" i="89" a="1"/>
  <c r="K205" i="89" l="1"/>
  <c r="M205" i="89"/>
  <c r="I205" i="89"/>
  <c r="H205" i="89"/>
  <c r="F205" i="89" a="1"/>
  <c r="F205" i="89" l="1"/>
  <c r="AE205" i="89"/>
  <c r="N205" i="89" a="1"/>
  <c r="N205" i="89" l="1"/>
  <c r="P205" i="89" l="1"/>
  <c r="Q205" i="89" s="1"/>
  <c r="AE204" i="89" l="1"/>
  <c r="S205" i="89" a="1"/>
  <c r="S205" i="89" l="1"/>
  <c r="R205" i="89" a="1"/>
  <c r="R205" i="89" l="1"/>
  <c r="AC205" i="89"/>
  <c r="Y205" i="89"/>
  <c r="U205" i="89"/>
  <c r="J205" i="89"/>
  <c r="W204" i="89" a="1"/>
  <c r="W204" i="89" l="1"/>
  <c r="L204" i="89" a="1"/>
  <c r="L204" i="89" l="1"/>
  <c r="K204" i="89" a="1"/>
  <c r="K204" i="89" l="1"/>
  <c r="K206" i="89"/>
  <c r="M204" i="89"/>
  <c r="I204" i="89"/>
  <c r="F204" i="89" a="1"/>
  <c r="F204" i="89" l="1"/>
  <c r="N204" i="89" a="1"/>
  <c r="N204" i="89" l="1"/>
  <c r="P204" i="89" l="1"/>
  <c r="Q204" i="89" l="1"/>
  <c r="S204" i="89"/>
  <c r="R204" i="89" s="1" a="1"/>
  <c r="R204" i="89" l="1"/>
  <c r="AC204" i="89"/>
  <c r="Y204" i="89"/>
  <c r="U204" i="89"/>
  <c r="J204" i="89"/>
  <c r="W203" i="89" a="1"/>
  <c r="W203" i="89" l="1"/>
  <c r="L203" i="89" a="1"/>
  <c r="L203" i="89" l="1"/>
  <c r="K203" i="89" a="1"/>
  <c r="K203" i="89" l="1"/>
  <c r="K207" i="89" s="1"/>
  <c r="M203" i="89"/>
  <c r="I203" i="89"/>
  <c r="H203" i="89"/>
  <c r="F203" i="89" a="1"/>
  <c r="F203" i="89" l="1"/>
  <c r="I206" i="89"/>
  <c r="I208" i="89"/>
  <c r="AE203" i="89"/>
  <c r="N203" i="89" a="1"/>
  <c r="N203" i="89" l="1"/>
  <c r="P203" i="89" l="1"/>
  <c r="P206" i="89" l="1"/>
  <c r="Q206" i="89" s="1"/>
  <c r="Q203" i="89"/>
  <c r="Q202" i="89" s="1"/>
  <c r="I202" i="89"/>
  <c r="S203" i="89" a="1"/>
  <c r="S203" i="89" l="1"/>
  <c r="R203" i="89" a="1"/>
  <c r="R203" i="89" l="1"/>
  <c r="AC203" i="89"/>
  <c r="Y203" i="89"/>
  <c r="U203" i="89"/>
  <c r="J203" i="89"/>
  <c r="Y207" i="89" l="1"/>
  <c r="W197" i="89" a="1"/>
  <c r="W197" i="89" l="1"/>
  <c r="L197" i="89" a="1"/>
  <c r="L197" i="89" l="1"/>
  <c r="K197" i="89" a="1"/>
  <c r="K197" i="89" l="1"/>
  <c r="M197" i="89" s="1"/>
  <c r="H197" i="89"/>
  <c r="F197" i="89" a="1"/>
  <c r="I197" i="89" l="1"/>
  <c r="F197" i="89"/>
  <c r="AE197" i="89"/>
  <c r="AA197" i="89" a="1"/>
  <c r="N197" i="89" a="1"/>
  <c r="AA197" i="89" l="1"/>
  <c r="N197" i="89"/>
  <c r="P197" i="89" l="1"/>
  <c r="Q197" i="89" s="1"/>
  <c r="AE196" i="89" l="1"/>
  <c r="AC197" i="89" l="1"/>
  <c r="Y197" i="89"/>
  <c r="U197" i="89"/>
  <c r="J197" i="89"/>
  <c r="W196" i="89" a="1"/>
  <c r="W196" i="89" l="1"/>
  <c r="L196" i="89" a="1"/>
  <c r="L196" i="89" l="1"/>
  <c r="K196" i="89" a="1"/>
  <c r="K196" i="89" l="1"/>
  <c r="M196" i="89" s="1"/>
  <c r="K198" i="89"/>
  <c r="I196" i="89"/>
  <c r="AA196" i="89" a="1"/>
  <c r="F196" i="89" a="1"/>
  <c r="AA196" i="89" l="1"/>
  <c r="F196" i="89"/>
  <c r="N196" i="89" a="1"/>
  <c r="N196" i="89" l="1"/>
  <c r="P196" i="89" l="1"/>
  <c r="Q196" i="89" l="1"/>
  <c r="S196" i="89"/>
  <c r="R196" i="89" s="1" a="1"/>
  <c r="R196" i="89" l="1"/>
  <c r="AC196" i="89"/>
  <c r="Y196" i="89"/>
  <c r="U196" i="89"/>
  <c r="J196" i="89"/>
  <c r="W195" i="89" a="1"/>
  <c r="W195" i="89" l="1"/>
  <c r="L195" i="89" a="1"/>
  <c r="L195" i="89" l="1"/>
  <c r="K195" i="89" a="1"/>
  <c r="K195" i="89" l="1"/>
  <c r="K199" i="89" s="1"/>
  <c r="I195" i="89"/>
  <c r="H195" i="89"/>
  <c r="AA195" i="89" a="1"/>
  <c r="F195" i="89" a="1"/>
  <c r="M195" i="89" l="1"/>
  <c r="AA195" i="89"/>
  <c r="F195" i="89"/>
  <c r="I198" i="89"/>
  <c r="I200" i="89"/>
  <c r="AE195" i="89"/>
  <c r="N195" i="89" a="1"/>
  <c r="N195" i="89" l="1"/>
  <c r="P195" i="89" l="1"/>
  <c r="P198" i="89" l="1"/>
  <c r="Q198" i="89" s="1"/>
  <c r="Q195" i="89"/>
  <c r="Q194" i="89" s="1"/>
  <c r="I194" i="89"/>
  <c r="Q193" i="89"/>
  <c r="I193" i="89"/>
  <c r="S195" i="89" a="1"/>
  <c r="S195" i="89" l="1"/>
  <c r="R195" i="89" a="1"/>
  <c r="R195" i="89" l="1"/>
  <c r="AC195" i="89"/>
  <c r="Y195" i="89"/>
  <c r="U195" i="89"/>
  <c r="J195" i="89"/>
  <c r="Y199" i="89" l="1"/>
  <c r="W188" i="89" a="1"/>
  <c r="W188" i="89" l="1"/>
  <c r="L188" i="89" a="1"/>
  <c r="L188" i="89" l="1"/>
  <c r="K188" i="89" a="1"/>
  <c r="K188" i="89" l="1"/>
  <c r="M188" i="89" s="1"/>
  <c r="H188" i="89"/>
  <c r="F188" i="89" a="1"/>
  <c r="I188" i="89" l="1"/>
  <c r="F188" i="89"/>
  <c r="AE188" i="89"/>
  <c r="AA188" i="89" a="1"/>
  <c r="N188" i="89" a="1"/>
  <c r="AA188" i="89" l="1"/>
  <c r="N188" i="89"/>
  <c r="D188" i="89"/>
  <c r="P188" i="89" l="1"/>
  <c r="Q188" i="89" s="1"/>
  <c r="AE187" i="89"/>
  <c r="AC188" i="89" l="1"/>
  <c r="Y188" i="89"/>
  <c r="U188" i="89"/>
  <c r="J188" i="89"/>
  <c r="W187" i="89" a="1"/>
  <c r="W187" i="89" l="1"/>
  <c r="L187" i="89" a="1"/>
  <c r="L187" i="89" l="1"/>
  <c r="K187" i="89" a="1"/>
  <c r="K187" i="89" l="1"/>
  <c r="M187" i="89" s="1"/>
  <c r="K189" i="89"/>
  <c r="I187" i="89"/>
  <c r="AA187" i="89" a="1"/>
  <c r="F187" i="89" a="1"/>
  <c r="AA187" i="89" l="1"/>
  <c r="F187" i="89"/>
  <c r="N187" i="89" a="1"/>
  <c r="N187" i="89" l="1"/>
  <c r="D187" i="89"/>
  <c r="P187" i="89" l="1"/>
  <c r="S187" i="89" a="1"/>
  <c r="S187" i="89" l="1"/>
  <c r="Q187" i="89"/>
  <c r="R187" i="89" a="1"/>
  <c r="R187" i="89" l="1"/>
  <c r="AC187" i="89"/>
  <c r="Y187" i="89"/>
  <c r="U187" i="89"/>
  <c r="J187" i="89"/>
  <c r="W186" i="89" a="1"/>
  <c r="W186" i="89" l="1"/>
  <c r="L186" i="89" a="1"/>
  <c r="L186" i="89" l="1"/>
  <c r="K186" i="89" a="1"/>
  <c r="K186" i="89" l="1"/>
  <c r="K190" i="89" s="1"/>
  <c r="H186" i="89"/>
  <c r="F186" i="89" a="1"/>
  <c r="I186" i="89" l="1"/>
  <c r="I191" i="89" s="1"/>
  <c r="M186" i="89"/>
  <c r="F186" i="89"/>
  <c r="AE186" i="89"/>
  <c r="AA186" i="89" a="1"/>
  <c r="N186" i="89" a="1"/>
  <c r="I189" i="89" l="1"/>
  <c r="AA186" i="89"/>
  <c r="N186" i="89"/>
  <c r="D186" i="89"/>
  <c r="P186" i="89" l="1"/>
  <c r="J185" i="89"/>
  <c r="I185" i="89"/>
  <c r="AE180" i="89"/>
  <c r="S186" i="89" a="1"/>
  <c r="K185" i="89" l="1"/>
  <c r="S186" i="89"/>
  <c r="P189" i="89"/>
  <c r="Q189" i="89" s="1"/>
  <c r="Q186" i="89"/>
  <c r="Q185" i="89" s="1"/>
  <c r="R186" i="89" a="1"/>
  <c r="R186" i="89" l="1"/>
  <c r="AC186" i="89"/>
  <c r="Y186" i="89"/>
  <c r="U186" i="89"/>
  <c r="J186" i="89"/>
  <c r="Y190" i="89" l="1"/>
  <c r="W180" i="89" a="1"/>
  <c r="W180" i="89" l="1"/>
  <c r="L180" i="89" a="1"/>
  <c r="L180" i="89" l="1"/>
  <c r="K180" i="89" a="1"/>
  <c r="K180" i="89" l="1"/>
  <c r="M180" i="89" s="1"/>
  <c r="I180" i="89"/>
  <c r="AA180" i="89" a="1"/>
  <c r="F180" i="89" a="1"/>
  <c r="AA180" i="89" l="1"/>
  <c r="F180" i="89"/>
  <c r="N180" i="89" a="1"/>
  <c r="N180" i="89" l="1"/>
  <c r="D180" i="89"/>
  <c r="P180" i="89" l="1"/>
  <c r="Q180" i="89" s="1"/>
  <c r="AE179" i="89"/>
  <c r="S180" i="89" a="1"/>
  <c r="S180" i="89" l="1"/>
  <c r="R180" i="89" a="1"/>
  <c r="R180" i="89" l="1"/>
  <c r="AC180" i="89"/>
  <c r="Y180" i="89"/>
  <c r="U180" i="89"/>
  <c r="J180" i="89"/>
  <c r="W179" i="89" a="1"/>
  <c r="W179" i="89" l="1"/>
  <c r="L179" i="89" a="1"/>
  <c r="L179" i="89" l="1"/>
  <c r="K179" i="89" a="1"/>
  <c r="K179" i="89" l="1"/>
  <c r="K181" i="89"/>
  <c r="M179" i="89"/>
  <c r="I179" i="89"/>
  <c r="F179" i="89" a="1"/>
  <c r="F179" i="89" l="1"/>
  <c r="N179" i="89" a="1"/>
  <c r="N179" i="89" l="1"/>
  <c r="D179" i="89"/>
  <c r="P179" i="89" l="1"/>
  <c r="AB179" i="89" a="1"/>
  <c r="S179" i="89" a="1"/>
  <c r="AB179" i="89" l="1"/>
  <c r="S179" i="89"/>
  <c r="Q179" i="89"/>
  <c r="R179" i="89" a="1"/>
  <c r="R179" i="89" l="1"/>
  <c r="AC179" i="89"/>
  <c r="Y179" i="89"/>
  <c r="U179" i="89"/>
  <c r="J179" i="89"/>
  <c r="W178" i="89" a="1"/>
  <c r="W178" i="89" l="1"/>
  <c r="L178" i="89" a="1"/>
  <c r="L178" i="89" l="1"/>
  <c r="K178" i="89" a="1"/>
  <c r="K178" i="89" l="1"/>
  <c r="K182" i="89" s="1"/>
  <c r="M178" i="89"/>
  <c r="I178" i="89"/>
  <c r="H178" i="89"/>
  <c r="F178" i="89" a="1"/>
  <c r="F178" i="89" l="1"/>
  <c r="I183" i="89"/>
  <c r="I181" i="89"/>
  <c r="AE178" i="89"/>
  <c r="N178" i="89" a="1"/>
  <c r="N178" i="89" l="1"/>
  <c r="D178" i="89"/>
  <c r="P178" i="89" l="1"/>
  <c r="J177" i="89"/>
  <c r="K177" i="89" s="1"/>
  <c r="I177" i="89"/>
  <c r="S178" i="89" a="1"/>
  <c r="AB178" i="89" a="1"/>
  <c r="AB178" i="89" l="1"/>
  <c r="S178" i="89"/>
  <c r="P181" i="89"/>
  <c r="Q181" i="89" s="1"/>
  <c r="Q178" i="89"/>
  <c r="Q177" i="89" s="1"/>
  <c r="R178" i="89" a="1"/>
  <c r="R178" i="89" l="1"/>
  <c r="AC178" i="89"/>
  <c r="Y178" i="89"/>
  <c r="U178" i="89"/>
  <c r="J178" i="89"/>
  <c r="Y182" i="89" l="1"/>
  <c r="W171" i="89" a="1"/>
  <c r="W171" i="89" l="1"/>
  <c r="L171" i="89" a="1"/>
  <c r="L171" i="89" l="1"/>
  <c r="K171" i="89" a="1"/>
  <c r="K171" i="89" l="1"/>
  <c r="M171" i="89" s="1"/>
  <c r="H171" i="89"/>
  <c r="F171" i="89" a="1"/>
  <c r="I171" i="89" l="1"/>
  <c r="F171" i="89"/>
  <c r="AE171" i="89"/>
  <c r="AA171" i="89" a="1"/>
  <c r="N171" i="89" a="1"/>
  <c r="AA171" i="89" l="1"/>
  <c r="N171" i="89"/>
  <c r="D171" i="89"/>
  <c r="P171" i="89" l="1"/>
  <c r="Q171" i="89" s="1"/>
  <c r="AE170" i="89"/>
  <c r="S171" i="89" a="1"/>
  <c r="S171" i="89" l="1"/>
  <c r="R171" i="89" a="1"/>
  <c r="R171" i="89" l="1"/>
  <c r="AC171" i="89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I170" i="89"/>
  <c r="AA170" i="89" a="1"/>
  <c r="F170" i="89" a="1"/>
  <c r="AA170" i="89" l="1"/>
  <c r="F170" i="89"/>
  <c r="I175" i="89"/>
  <c r="N170" i="89" a="1"/>
  <c r="N170" i="89" l="1"/>
  <c r="D170" i="89"/>
  <c r="P170" i="89" l="1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H169" i="89"/>
  <c r="F169" i="89" a="1"/>
  <c r="M169" i="89" l="1"/>
  <c r="I169" i="89"/>
  <c r="I174" i="89" s="1"/>
  <c r="F169" i="89"/>
  <c r="AE169" i="89"/>
  <c r="AA169" i="89" a="1"/>
  <c r="N169" i="89" a="1"/>
  <c r="I172" i="89" l="1"/>
  <c r="AA169" i="89"/>
  <c r="N169" i="89"/>
  <c r="D169" i="89"/>
  <c r="P169" i="89" l="1"/>
  <c r="I168" i="89"/>
  <c r="I167" i="89"/>
  <c r="AG160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W160" i="89" a="1"/>
  <c r="W160" i="89" l="1"/>
  <c r="T162" i="89" l="1"/>
  <c r="L160" i="89" a="1"/>
  <c r="L160" i="89" l="1"/>
  <c r="K160" i="89" a="1"/>
  <c r="K160" i="89" l="1"/>
  <c r="L164" i="89"/>
  <c r="K162" i="89"/>
  <c r="M160" i="89"/>
  <c r="I160" i="89"/>
  <c r="I162" i="89" l="1"/>
  <c r="I163" i="89" s="1"/>
  <c r="P160" i="89"/>
  <c r="Q160" i="89" s="1"/>
  <c r="Q162" i="89" s="1"/>
  <c r="K164" i="89"/>
  <c r="K163" i="89"/>
  <c r="AG154" i="89" l="1"/>
  <c r="AC160" i="89" l="1"/>
  <c r="Y160" i="89"/>
  <c r="U160" i="89"/>
  <c r="J160" i="89"/>
  <c r="Y162" i="89" l="1"/>
  <c r="Y163" i="89" s="1"/>
  <c r="W154" i="89" a="1"/>
  <c r="W154" i="89" l="1"/>
  <c r="L154" i="89" a="1"/>
  <c r="L154" i="89" l="1"/>
  <c r="K154" i="89" a="1"/>
  <c r="K154" i="89" l="1"/>
  <c r="M154" i="89" s="1"/>
  <c r="F154" i="89" a="1"/>
  <c r="I154" i="89" l="1"/>
  <c r="I155" i="89" s="1"/>
  <c r="F154" i="89"/>
  <c r="AA154" i="89" a="1"/>
  <c r="N154" i="89" a="1"/>
  <c r="AA154" i="89" l="1"/>
  <c r="N154" i="89"/>
  <c r="P154" i="89" l="1"/>
  <c r="Q154" i="89" s="1"/>
  <c r="AG153" i="89" l="1"/>
  <c r="AC154" i="89" l="1"/>
  <c r="Y154" i="89"/>
  <c r="U154" i="89"/>
  <c r="J154" i="89"/>
  <c r="W153" i="89" a="1"/>
  <c r="W153" i="89" l="1"/>
  <c r="T155" i="89" l="1"/>
  <c r="I156" i="89" s="1"/>
  <c r="L153" i="89" a="1"/>
  <c r="L153" i="89" l="1"/>
  <c r="K153" i="89" a="1"/>
  <c r="K153" i="89" l="1"/>
  <c r="M153" i="89" s="1"/>
  <c r="L157" i="89"/>
  <c r="L166" i="89" s="1"/>
  <c r="K155" i="89"/>
  <c r="F153" i="89" a="1"/>
  <c r="F153" i="89" l="1"/>
  <c r="K157" i="89"/>
  <c r="K166" i="89" s="1"/>
  <c r="K156" i="89"/>
  <c r="N153" i="89" a="1"/>
  <c r="N153" i="89" l="1"/>
  <c r="P153" i="89" l="1"/>
  <c r="Q153" i="89" s="1"/>
  <c r="Q155" i="89" s="1"/>
  <c r="Q165" i="89" s="1"/>
  <c r="Z152" i="89" l="1"/>
  <c r="S153" i="89" a="1"/>
  <c r="S153" i="89" l="1"/>
  <c r="R153" i="89" a="1"/>
  <c r="R153" i="89" l="1"/>
  <c r="AC153" i="89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M145" i="89"/>
  <c r="I145" i="89"/>
  <c r="H145" i="89"/>
  <c r="F145" i="89" a="1"/>
  <c r="F145" i="89" l="1"/>
  <c r="AG145" i="89"/>
  <c r="N145" i="89"/>
  <c r="P145" i="89" l="1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L148" i="89"/>
  <c r="K146" i="89"/>
  <c r="M144" i="89"/>
  <c r="I144" i="89"/>
  <c r="F144" i="89" a="1"/>
  <c r="F144" i="89" l="1"/>
  <c r="I146" i="89"/>
  <c r="I147" i="89" s="1"/>
  <c r="K148" i="89"/>
  <c r="K147" i="89"/>
  <c r="N144" i="89" a="1"/>
  <c r="N144" i="89" l="1"/>
  <c r="P144" i="89" l="1"/>
  <c r="Q144" i="89" s="1"/>
  <c r="Q146" i="89" s="1"/>
  <c r="S144" i="89" a="1"/>
  <c r="S144" i="89" l="1"/>
  <c r="R144" i="89" a="1"/>
  <c r="R144" i="89" l="1"/>
  <c r="AC144" i="89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/>
  <c r="I138" i="89"/>
  <c r="H138" i="89"/>
  <c r="F138" i="89" a="1"/>
  <c r="F138" i="89" l="1"/>
  <c r="AG138" i="89"/>
  <c r="N138" i="89"/>
  <c r="P138" i="89" l="1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M137" i="89"/>
  <c r="I137" i="89"/>
  <c r="F137" i="89" a="1"/>
  <c r="F137" i="89" l="1"/>
  <c r="N137" i="89"/>
  <c r="P137" i="89" l="1"/>
  <c r="Q137" i="89" l="1"/>
  <c r="S137" i="89" a="1"/>
  <c r="S137" i="89" l="1"/>
  <c r="R137" i="89" a="1"/>
  <c r="R137" i="89" l="1"/>
  <c r="AC137" i="89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M136" i="89"/>
  <c r="I136" i="89"/>
  <c r="H136" i="89"/>
  <c r="F136" i="89" a="1"/>
  <c r="F136" i="89" l="1"/>
  <c r="AG136" i="89"/>
  <c r="I139" i="89"/>
  <c r="I140" i="89" s="1"/>
  <c r="N136" i="89"/>
  <c r="P136" i="89" l="1"/>
  <c r="P139" i="89" l="1"/>
  <c r="Q139" i="89" s="1"/>
  <c r="Q148" i="89" s="1"/>
  <c r="Q136" i="89"/>
  <c r="K135" i="89" l="1"/>
  <c r="AG129" i="89"/>
  <c r="S136" i="89" a="1"/>
  <c r="S136" i="89" l="1"/>
  <c r="R136" i="89" a="1"/>
  <c r="R136" i="89" l="1"/>
  <c r="AC136" i="89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L133" i="89"/>
  <c r="K131" i="89"/>
  <c r="M129" i="89"/>
  <c r="I129" i="89"/>
  <c r="F129" i="89" a="1"/>
  <c r="F129" i="89" l="1"/>
  <c r="I131" i="89"/>
  <c r="I132" i="89" s="1"/>
  <c r="K132" i="89"/>
  <c r="K133" i="89"/>
  <c r="N129" i="89"/>
  <c r="P129" i="89" l="1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/>
  <c r="I123" i="89"/>
  <c r="H123" i="89"/>
  <c r="F123" i="89" a="1"/>
  <c r="F123" i="89" l="1"/>
  <c r="AG123" i="89"/>
  <c r="N123" i="89"/>
  <c r="P123" i="89" l="1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L126" i="89"/>
  <c r="K124" i="89"/>
  <c r="M122" i="89"/>
  <c r="I122" i="89"/>
  <c r="F122" i="89" a="1"/>
  <c r="F122" i="89" l="1"/>
  <c r="I124" i="89"/>
  <c r="I125" i="89" s="1"/>
  <c r="K126" i="89"/>
  <c r="K125" i="89"/>
  <c r="N122" i="89"/>
  <c r="P122" i="89" l="1"/>
  <c r="Q122" i="89" s="1"/>
  <c r="Q124" i="89" s="1"/>
  <c r="D121" i="89" l="1"/>
  <c r="I119" i="89"/>
  <c r="S122" i="89" a="1"/>
  <c r="S122" i="89" l="1"/>
  <c r="R122" i="89" a="1"/>
  <c r="R122" i="89" l="1"/>
  <c r="AC122" i="89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M116" i="89"/>
  <c r="I116" i="89"/>
  <c r="H116" i="89"/>
  <c r="F116" i="89" a="1"/>
  <c r="F116" i="89" l="1"/>
  <c r="AG116" i="89"/>
  <c r="N116" i="89"/>
  <c r="P116" i="89" l="1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M115" i="89"/>
  <c r="I115" i="89"/>
  <c r="F115" i="89" a="1"/>
  <c r="F115" i="89" l="1"/>
  <c r="I117" i="89"/>
  <c r="I118" i="89" s="1"/>
  <c r="N115" i="89"/>
  <c r="P115" i="89" l="1"/>
  <c r="Q115" i="89" s="1"/>
  <c r="Q117" i="89" s="1"/>
  <c r="D114" i="89" l="1"/>
  <c r="S115" i="89" a="1"/>
  <c r="S115" i="89" l="1"/>
  <c r="R115" i="89" a="1"/>
  <c r="R115" i="89" l="1"/>
  <c r="AC115" i="89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M109" i="89"/>
  <c r="I109" i="89"/>
  <c r="H109" i="89"/>
  <c r="F109" i="89" a="1"/>
  <c r="F109" i="89" l="1"/>
  <c r="AG109" i="89"/>
  <c r="N109" i="89"/>
  <c r="P109" i="89" l="1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M108" i="89"/>
  <c r="I108" i="89"/>
  <c r="F108" i="89" a="1"/>
  <c r="F108" i="89" l="1"/>
  <c r="I110" i="89"/>
  <c r="I111" i="89" s="1"/>
  <c r="N108" i="89"/>
  <c r="P108" i="89" l="1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/>
  <c r="I102" i="89"/>
  <c r="H102" i="89"/>
  <c r="AG102" i="89" l="1"/>
  <c r="P102" i="89"/>
  <c r="Q102" i="89" s="1"/>
  <c r="AG101" i="89" l="1"/>
  <c r="AC102" i="89" l="1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L105" i="89"/>
  <c r="K103" i="89"/>
  <c r="M101" i="89"/>
  <c r="I101" i="89"/>
  <c r="I103" i="89" l="1"/>
  <c r="I104" i="89" s="1"/>
  <c r="P101" i="89"/>
  <c r="Q101" i="89" s="1"/>
  <c r="Q103" i="89" s="1"/>
  <c r="K104" i="89"/>
  <c r="K105" i="89"/>
  <c r="P100" i="89" l="1"/>
  <c r="I100" i="89"/>
  <c r="D100" i="89"/>
  <c r="S101" i="89" a="1"/>
  <c r="S101" i="89" l="1"/>
  <c r="R101" i="89" a="1"/>
  <c r="R101" i="89" l="1"/>
  <c r="AC101" i="89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/>
  <c r="I96" i="89"/>
  <c r="H96" i="89"/>
  <c r="F96" i="89" a="1"/>
  <c r="F96" i="89" l="1"/>
  <c r="AG96" i="89"/>
  <c r="N96" i="89"/>
  <c r="P96" i="89" l="1"/>
  <c r="Q96" i="89" s="1"/>
  <c r="AG95" i="89" l="1"/>
  <c r="S96" i="89" a="1"/>
  <c r="S96" i="89" l="1"/>
  <c r="R96" i="89" a="1"/>
  <c r="R96" i="89" l="1"/>
  <c r="AC96" i="89"/>
  <c r="Y96" i="89"/>
  <c r="U96" i="89"/>
  <c r="J96" i="89"/>
  <c r="W95" i="89" a="1"/>
  <c r="W95" i="89" l="1"/>
  <c r="T97" i="89" l="1"/>
  <c r="L95" i="89" a="1"/>
  <c r="L95" i="89" l="1"/>
  <c r="K95" i="89" a="1"/>
  <c r="K95" i="89" l="1"/>
  <c r="L99" i="89"/>
  <c r="L106" i="89" s="1"/>
  <c r="K97" i="89"/>
  <c r="M95" i="89"/>
  <c r="I95" i="89"/>
  <c r="I97" i="89" l="1"/>
  <c r="I98" i="89" s="1"/>
  <c r="P95" i="89"/>
  <c r="Q95" i="89" s="1"/>
  <c r="Q97" i="89" s="1"/>
  <c r="K98" i="89"/>
  <c r="K99" i="89"/>
  <c r="K106" i="89" s="1"/>
  <c r="P94" i="89" l="1"/>
  <c r="K94" i="89"/>
  <c r="I94" i="89"/>
  <c r="I99" i="89" s="1"/>
  <c r="D94" i="89"/>
  <c r="Q93" i="89"/>
  <c r="L93" i="89"/>
  <c r="S95" i="89" a="1"/>
  <c r="S95" i="89" l="1"/>
  <c r="R95" i="89" a="1"/>
  <c r="R95" i="89" l="1"/>
  <c r="AC95" i="89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M90" i="89"/>
  <c r="I90" i="89"/>
  <c r="H90" i="89"/>
  <c r="F90" i="89" a="1"/>
  <c r="F90" i="89" l="1"/>
  <c r="AG90" i="89"/>
  <c r="N90" i="89"/>
  <c r="P90" i="89" l="1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M89" i="89"/>
  <c r="I89" i="89"/>
  <c r="F89" i="89" a="1"/>
  <c r="F89" i="89" l="1"/>
  <c r="N89" i="89"/>
  <c r="P89" i="89" l="1"/>
  <c r="Q89" i="89" s="1"/>
  <c r="Q91" i="89" s="1"/>
  <c r="D88" i="89" l="1"/>
  <c r="L87" i="89"/>
  <c r="S89" i="89" a="1"/>
  <c r="S89" i="89" l="1"/>
  <c r="R89" i="89" a="1"/>
  <c r="R89" i="89" l="1"/>
  <c r="AC89" i="89"/>
  <c r="Y89" i="89"/>
  <c r="U89" i="89"/>
  <c r="J89" i="89"/>
  <c r="Y91" i="89" l="1"/>
  <c r="Y92" i="89" s="1"/>
  <c r="M82" i="89" l="1"/>
  <c r="I82" i="89"/>
  <c r="H82" i="89"/>
  <c r="Z82" i="89" a="1"/>
  <c r="AA82" i="89" a="1"/>
  <c r="Z82" i="89" l="1"/>
  <c r="AA82" i="89"/>
  <c r="AE82" i="89"/>
  <c r="P82" i="89"/>
  <c r="Q82" i="89" s="1"/>
  <c r="AE81" i="89" l="1"/>
  <c r="S82" i="89" a="1"/>
  <c r="S82" i="89" l="1"/>
  <c r="R82" i="89" a="1"/>
  <c r="R82" i="89" l="1"/>
  <c r="AC82" i="89"/>
  <c r="Y82" i="89"/>
  <c r="U82" i="89"/>
  <c r="J82" i="89"/>
  <c r="T83" i="89" l="1"/>
  <c r="K84" i="89" l="1"/>
  <c r="K83" i="89"/>
  <c r="M81" i="89"/>
  <c r="I81" i="89"/>
  <c r="AA81" i="89" a="1"/>
  <c r="AA81" i="89" l="1"/>
  <c r="I83" i="89"/>
  <c r="I84" i="89" s="1"/>
  <c r="N81" i="89" a="1"/>
  <c r="S81" i="89" a="1"/>
  <c r="N81" i="89" l="1"/>
  <c r="S81" i="89"/>
  <c r="Z81" i="89" a="1"/>
  <c r="R81" i="89" a="1"/>
  <c r="Z81" i="89" l="1"/>
  <c r="R81" i="89"/>
  <c r="P81" i="89"/>
  <c r="Q81" i="89" s="1"/>
  <c r="Q83" i="89" s="1"/>
  <c r="AC81" i="89"/>
  <c r="Y81" i="89"/>
  <c r="U81" i="89"/>
  <c r="J81" i="89"/>
  <c r="Y84" i="89" l="1"/>
  <c r="Y85" i="89" s="1"/>
  <c r="W76" i="89" a="1"/>
  <c r="W76" i="89" l="1"/>
  <c r="L76" i="89" a="1"/>
  <c r="L76" i="89" l="1"/>
  <c r="K76" i="89" a="1"/>
  <c r="K76" i="89" l="1"/>
  <c r="M76" i="89"/>
  <c r="I76" i="89"/>
  <c r="H76" i="89"/>
  <c r="AE76" i="89" l="1"/>
  <c r="P76" i="89"/>
  <c r="Q76" i="89" s="1"/>
  <c r="AE75" i="89" l="1"/>
  <c r="S76" i="89" a="1"/>
  <c r="S76" i="89" l="1"/>
  <c r="R76" i="89" a="1"/>
  <c r="R76" i="89" l="1"/>
  <c r="AC76" i="89"/>
  <c r="Y76" i="89"/>
  <c r="U76" i="89"/>
  <c r="J76" i="89"/>
  <c r="W75" i="89" a="1"/>
  <c r="W75" i="89" l="1"/>
  <c r="W79" i="89" s="1"/>
  <c r="T77" i="89" l="1"/>
  <c r="L75" i="89" a="1"/>
  <c r="L75" i="89" l="1"/>
  <c r="K75" i="89" a="1"/>
  <c r="K75" i="89" l="1"/>
  <c r="K78" i="89" s="1"/>
  <c r="K77" i="89"/>
  <c r="M75" i="89"/>
  <c r="I75" i="89"/>
  <c r="F75" i="89" a="1"/>
  <c r="F75" i="89" l="1"/>
  <c r="I77" i="89"/>
  <c r="I78" i="89" s="1"/>
  <c r="K85" i="89"/>
  <c r="N75" i="89" a="1"/>
  <c r="N75" i="89" l="1"/>
  <c r="P75" i="89" l="1"/>
  <c r="Q75" i="89" s="1"/>
  <c r="Q77" i="89" s="1"/>
  <c r="L74" i="89" l="1"/>
  <c r="S75" i="89" a="1"/>
  <c r="S75" i="89" l="1"/>
  <c r="R75" i="89" a="1"/>
  <c r="R75" i="89" l="1"/>
  <c r="AC75" i="89"/>
  <c r="Y75" i="89"/>
  <c r="U75" i="89"/>
  <c r="J75" i="89"/>
  <c r="Y78" i="89" l="1"/>
  <c r="Y79" i="89" s="1"/>
  <c r="W69" i="89" a="1"/>
  <c r="W69" i="89" l="1"/>
  <c r="L69" i="89" a="1"/>
  <c r="L69" i="89" l="1"/>
  <c r="K69" i="89" a="1"/>
  <c r="K69" i="89" l="1"/>
  <c r="M69" i="89"/>
  <c r="I69" i="89"/>
  <c r="H69" i="89"/>
  <c r="F69" i="89" a="1"/>
  <c r="F69" i="89" l="1"/>
  <c r="AE69" i="89"/>
  <c r="N69" i="89" a="1"/>
  <c r="N69" i="89" l="1"/>
  <c r="P69" i="89" l="1"/>
  <c r="Q69" i="89" s="1"/>
  <c r="AE68" i="89" l="1"/>
  <c r="S69" i="89" a="1"/>
  <c r="S69" i="89" l="1"/>
  <c r="R69" i="89" a="1"/>
  <c r="R69" i="89" l="1"/>
  <c r="AC69" i="89"/>
  <c r="Y69" i="89"/>
  <c r="U69" i="89"/>
  <c r="J69" i="89"/>
  <c r="W68" i="89" a="1"/>
  <c r="W68" i="89" l="1"/>
  <c r="T70" i="89" l="1"/>
  <c r="L68" i="89" a="1"/>
  <c r="L68" i="89" l="1"/>
  <c r="K68" i="89" a="1"/>
  <c r="K68" i="89" l="1"/>
  <c r="K71" i="89" s="1"/>
  <c r="L72" i="89"/>
  <c r="K70" i="89"/>
  <c r="M68" i="89"/>
  <c r="I68" i="89"/>
  <c r="F68" i="89" a="1"/>
  <c r="F68" i="89" l="1"/>
  <c r="I70" i="89"/>
  <c r="I71" i="89" s="1"/>
  <c r="N79" i="89"/>
  <c r="K79" i="89"/>
  <c r="N68" i="89" a="1"/>
  <c r="N68" i="89" l="1"/>
  <c r="S68" i="89" a="1"/>
  <c r="S68" i="89" l="1"/>
  <c r="P68" i="89"/>
  <c r="Q68" i="89" s="1"/>
  <c r="Q70" i="89" s="1"/>
  <c r="R68" i="89" a="1"/>
  <c r="R68" i="89" l="1"/>
  <c r="AC68" i="89"/>
  <c r="Y68" i="89"/>
  <c r="U68" i="89"/>
  <c r="J68" i="89"/>
  <c r="Y71" i="89" l="1"/>
  <c r="Y72" i="89" s="1"/>
  <c r="W63" i="89" a="1"/>
  <c r="W63" i="89" l="1"/>
  <c r="L63" i="89" a="1"/>
  <c r="L63" i="89" l="1"/>
  <c r="K63" i="89" a="1"/>
  <c r="K63" i="89" l="1"/>
  <c r="M63" i="89" s="1"/>
  <c r="I63" i="89"/>
  <c r="H63" i="89"/>
  <c r="AA63" i="89" a="1"/>
  <c r="F63" i="89" a="1"/>
  <c r="AA63" i="89" l="1"/>
  <c r="F63" i="89"/>
  <c r="AE63" i="89"/>
  <c r="N63" i="89" a="1"/>
  <c r="N63" i="89" l="1"/>
  <c r="P63" i="89" l="1"/>
  <c r="Q63" i="89" s="1"/>
  <c r="AE62" i="89" l="1"/>
  <c r="AC63" i="89" l="1"/>
  <c r="Y63" i="89"/>
  <c r="U63" i="89"/>
  <c r="J63" i="89"/>
  <c r="W62" i="89" a="1"/>
  <c r="W62" i="89" l="1"/>
  <c r="T64" i="89" l="1"/>
  <c r="L62" i="89" a="1"/>
  <c r="L62" i="89" l="1"/>
  <c r="K62" i="89" a="1"/>
  <c r="K62" i="89" l="1"/>
  <c r="M62" i="89" s="1"/>
  <c r="K64" i="89"/>
  <c r="I62" i="89"/>
  <c r="AA62" i="89" a="1"/>
  <c r="F62" i="89" a="1"/>
  <c r="AA62" i="89" l="1"/>
  <c r="F62" i="89"/>
  <c r="I64" i="89"/>
  <c r="I65" i="89" s="1"/>
  <c r="K72" i="89"/>
  <c r="K65" i="89"/>
  <c r="K73" i="89" s="1"/>
  <c r="N62" i="89" a="1"/>
  <c r="N62" i="89" l="1"/>
  <c r="P62" i="89" l="1"/>
  <c r="P72" i="89" l="1"/>
  <c r="Q62" i="89"/>
  <c r="Q64" i="89" s="1"/>
  <c r="L61" i="89"/>
  <c r="S62" i="89" a="1"/>
  <c r="S62" i="89" l="1"/>
  <c r="R62" i="89" a="1"/>
  <c r="R62" i="89" l="1"/>
  <c r="AC62" i="89"/>
  <c r="Y62" i="89"/>
  <c r="U62" i="89"/>
  <c r="J62" i="89"/>
  <c r="T61" i="89"/>
  <c r="Y64" i="89" l="1"/>
  <c r="Z65" i="89" s="1"/>
  <c r="W56" i="89" a="1"/>
  <c r="W56" i="89" l="1"/>
  <c r="L56" i="89" a="1"/>
  <c r="L56" i="89" l="1"/>
  <c r="K56" i="89" a="1"/>
  <c r="K56" i="89" l="1"/>
  <c r="M56" i="89"/>
  <c r="I56" i="89"/>
  <c r="H56" i="89"/>
  <c r="F56" i="89" a="1"/>
  <c r="F56" i="89" l="1"/>
  <c r="AE56" i="89"/>
  <c r="N56" i="89" a="1"/>
  <c r="N56" i="89" l="1"/>
  <c r="P56" i="89" l="1"/>
  <c r="Q56" i="89" s="1"/>
  <c r="AE55" i="89" l="1"/>
  <c r="AC56" i="89" l="1"/>
  <c r="Y56" i="89"/>
  <c r="U56" i="89"/>
  <c r="J56" i="89"/>
  <c r="W55" i="89" a="1"/>
  <c r="W55" i="89" l="1"/>
  <c r="T57" i="89" l="1"/>
  <c r="L55" i="89" a="1"/>
  <c r="L55" i="89" l="1"/>
  <c r="K55" i="89" a="1"/>
  <c r="K55" i="89" l="1"/>
  <c r="K58" i="89" s="1"/>
  <c r="K57" i="89"/>
  <c r="I55" i="89"/>
  <c r="F55" i="89" a="1"/>
  <c r="M55" i="89" l="1"/>
  <c r="F55" i="89"/>
  <c r="I57" i="89"/>
  <c r="N55" i="89" a="1"/>
  <c r="N55" i="89" l="1"/>
  <c r="G57" i="89"/>
  <c r="I60" i="89"/>
  <c r="I58" i="89"/>
  <c r="P55" i="89" l="1"/>
  <c r="Q55" i="89" s="1"/>
  <c r="Q57" i="89" s="1"/>
  <c r="P54" i="89" l="1"/>
  <c r="A51" i="89"/>
  <c r="S55" i="89" a="1"/>
  <c r="S55" i="89" l="1"/>
  <c r="R55" i="89" a="1"/>
  <c r="R55" i="89" l="1"/>
  <c r="AC55" i="89"/>
  <c r="Y55" i="89"/>
  <c r="U55" i="89"/>
  <c r="J55" i="89"/>
  <c r="J54" i="89" s="1"/>
  <c r="Y58" i="89" l="1"/>
  <c r="Y59" i="89" s="1"/>
  <c r="W50" i="89" a="1"/>
  <c r="W50" i="89" l="1"/>
  <c r="L50" i="89" a="1"/>
  <c r="L50" i="89" l="1"/>
  <c r="K50" i="89" a="1"/>
  <c r="K50" i="89" l="1"/>
  <c r="M50" i="89"/>
  <c r="I50" i="89"/>
  <c r="H50" i="89"/>
  <c r="F50" i="89" a="1"/>
  <c r="F50" i="89" l="1"/>
  <c r="AE50" i="89"/>
  <c r="N50" i="89" a="1"/>
  <c r="N50" i="89" l="1"/>
  <c r="P50" i="89" l="1"/>
  <c r="Q50" i="89" s="1"/>
  <c r="AE49" i="89" l="1"/>
  <c r="AC50" i="89" l="1"/>
  <c r="Y50" i="89"/>
  <c r="U50" i="89"/>
  <c r="J50" i="89"/>
  <c r="W49" i="89" a="1"/>
  <c r="W49" i="89" l="1"/>
  <c r="T51" i="89" l="1"/>
  <c r="I52" i="89" s="1"/>
  <c r="L49" i="89" a="1"/>
  <c r="L49" i="89" l="1"/>
  <c r="K49" i="89" a="1"/>
  <c r="K49" i="89" l="1"/>
  <c r="K52" i="89" s="1"/>
  <c r="K51" i="89"/>
  <c r="I49" i="89"/>
  <c r="F49" i="89" a="1"/>
  <c r="M49" i="89" l="1"/>
  <c r="F49" i="89"/>
  <c r="K60" i="89"/>
  <c r="K59" i="89"/>
  <c r="N49" i="89" a="1"/>
  <c r="N49" i="89" l="1"/>
  <c r="P49" i="89" l="1"/>
  <c r="Q49" i="89" s="1"/>
  <c r="Q51" i="89" s="1"/>
  <c r="I48" i="89" l="1"/>
  <c r="P47" i="89"/>
  <c r="L46" i="89"/>
  <c r="K46" i="89"/>
  <c r="AE40" i="89"/>
  <c r="S49" i="89" a="1"/>
  <c r="S49" i="89" l="1"/>
  <c r="R49" i="89" a="1"/>
  <c r="R49" i="89" l="1"/>
  <c r="AC49" i="89"/>
  <c r="Y49" i="89"/>
  <c r="U49" i="89"/>
  <c r="J49" i="89"/>
  <c r="Y51" i="89" l="1"/>
  <c r="Z52" i="89" s="1"/>
  <c r="W40" i="89" a="1"/>
  <c r="W40" i="89" l="1"/>
  <c r="L40" i="89" a="1"/>
  <c r="L40" i="89" l="1"/>
  <c r="K40" i="89" a="1"/>
  <c r="K40" i="89" l="1"/>
  <c r="M40" i="89" s="1"/>
  <c r="I40" i="89"/>
  <c r="AA40" i="89" a="1"/>
  <c r="F40" i="89" a="1"/>
  <c r="AA40" i="89" l="1"/>
  <c r="F40" i="89"/>
  <c r="N40" i="89" a="1"/>
  <c r="N40" i="89" l="1"/>
  <c r="P40" i="89" l="1"/>
  <c r="Q40" i="89" s="1"/>
  <c r="AE39" i="89" l="1"/>
  <c r="AC40" i="89" l="1"/>
  <c r="Y40" i="89"/>
  <c r="U40" i="89"/>
  <c r="J40" i="89"/>
  <c r="A40" i="89"/>
  <c r="W39" i="89" a="1"/>
  <c r="W39" i="89" l="1"/>
  <c r="W43" i="89" s="1"/>
  <c r="T41" i="89" l="1"/>
  <c r="L39" i="89" a="1"/>
  <c r="L39" i="89" l="1"/>
  <c r="K39" i="89" a="1"/>
  <c r="K39" i="89" l="1"/>
  <c r="K42" i="89" s="1"/>
  <c r="K41" i="89"/>
  <c r="M39" i="89"/>
  <c r="I39" i="89"/>
  <c r="F39" i="89" a="1"/>
  <c r="F39" i="89" l="1"/>
  <c r="I41" i="89"/>
  <c r="I42" i="89" s="1"/>
  <c r="N39" i="89" a="1"/>
  <c r="N39" i="89" l="1"/>
  <c r="P39" i="89" l="1"/>
  <c r="P42" i="89" l="1"/>
  <c r="Q39" i="89"/>
  <c r="Q41" i="89" s="1"/>
  <c r="S39" i="89" a="1"/>
  <c r="S39" i="89" l="1"/>
  <c r="R39" i="89" a="1"/>
  <c r="R39" i="89" l="1"/>
  <c r="AC39" i="89"/>
  <c r="Y39" i="89"/>
  <c r="U39" i="89"/>
  <c r="J39" i="89"/>
  <c r="J38" i="89" s="1"/>
  <c r="A39" i="89"/>
  <c r="Y41" i="89" l="1"/>
  <c r="W34" i="89" a="1"/>
  <c r="W34" i="89" l="1"/>
  <c r="Y42" i="89"/>
  <c r="P43" i="89"/>
  <c r="L34" i="89" a="1"/>
  <c r="L34" i="89" l="1"/>
  <c r="K34" i="89" a="1"/>
  <c r="K34" i="89" l="1"/>
  <c r="M34" i="89" s="1"/>
  <c r="H34" i="89"/>
  <c r="F34" i="89" a="1"/>
  <c r="I34" i="89" l="1"/>
  <c r="F34" i="89"/>
  <c r="AE34" i="89"/>
  <c r="AA34" i="89" a="1"/>
  <c r="N34" i="89" a="1"/>
  <c r="AA34" i="89" l="1"/>
  <c r="N34" i="89"/>
  <c r="P34" i="89" l="1"/>
  <c r="Q34" i="89" s="1"/>
  <c r="AE33" i="89" l="1"/>
  <c r="AC34" i="89" l="1"/>
  <c r="Y34" i="89"/>
  <c r="U34" i="89"/>
  <c r="J34" i="89"/>
  <c r="W33" i="89" a="1"/>
  <c r="W33" i="89" l="1"/>
  <c r="W37" i="89" s="1"/>
  <c r="T35" i="89" l="1"/>
  <c r="L33" i="89" a="1"/>
  <c r="L33" i="89" l="1"/>
  <c r="K33" i="89" a="1"/>
  <c r="K33" i="89" l="1"/>
  <c r="K36" i="89" s="1"/>
  <c r="K35" i="89"/>
  <c r="M33" i="89"/>
  <c r="I33" i="89"/>
  <c r="AA33" i="89" a="1"/>
  <c r="F33" i="89" a="1"/>
  <c r="AA33" i="89" l="1"/>
  <c r="F33" i="89"/>
  <c r="K37" i="89"/>
  <c r="I35" i="89"/>
  <c r="K44" i="89"/>
  <c r="L44" i="89"/>
  <c r="K43" i="89"/>
  <c r="N33" i="89" a="1"/>
  <c r="N33" i="89" l="1"/>
  <c r="I36" i="89"/>
  <c r="P33" i="89" l="1"/>
  <c r="P36" i="89" l="1"/>
  <c r="Q33" i="89"/>
  <c r="Q35" i="89" s="1"/>
  <c r="AE27" i="89"/>
  <c r="S33" i="89"/>
  <c r="R33" i="89" s="1" a="1"/>
  <c r="R33" i="89" l="1"/>
  <c r="AC33" i="89"/>
  <c r="Y33" i="89"/>
  <c r="U33" i="89"/>
  <c r="J33" i="89"/>
  <c r="I37" i="89"/>
  <c r="P44" i="89"/>
  <c r="P37" i="89"/>
  <c r="Y35" i="89" l="1"/>
  <c r="Y36" i="89" s="1"/>
  <c r="Y43" i="89" s="1"/>
  <c r="W27" i="89" a="1"/>
  <c r="W27" i="89" l="1"/>
  <c r="L27" i="89" a="1"/>
  <c r="L27" i="89" l="1"/>
  <c r="K27" i="89" a="1"/>
  <c r="K27" i="89" l="1"/>
  <c r="M27" i="89" s="1"/>
  <c r="F27" i="89" a="1"/>
  <c r="I27" i="89" l="1"/>
  <c r="F27" i="89"/>
  <c r="AA27" i="89" a="1"/>
  <c r="N27" i="89" a="1"/>
  <c r="AA27" i="89" l="1"/>
  <c r="N27" i="89"/>
  <c r="P27" i="89" l="1"/>
  <c r="Q27" i="89" s="1"/>
  <c r="A27" i="89" l="1"/>
  <c r="AE26" i="89"/>
  <c r="S27" i="89" a="1"/>
  <c r="S27" i="89" l="1"/>
  <c r="R27" i="89" a="1"/>
  <c r="R27" i="89" l="1"/>
  <c r="AC27" i="89"/>
  <c r="Y27" i="89"/>
  <c r="U27" i="89"/>
  <c r="J27" i="89"/>
  <c r="W26" i="89" a="1"/>
  <c r="W26" i="89" l="1"/>
  <c r="T28" i="89" l="1"/>
  <c r="L26" i="89" a="1"/>
  <c r="L26" i="89" l="1"/>
  <c r="K26" i="89" a="1"/>
  <c r="K26" i="89" l="1"/>
  <c r="M26" i="89" s="1"/>
  <c r="L30" i="89"/>
  <c r="K28" i="89"/>
  <c r="I26" i="89"/>
  <c r="AA26" i="89" a="1"/>
  <c r="F26" i="89" a="1"/>
  <c r="AA26" i="89" l="1"/>
  <c r="F26" i="89"/>
  <c r="I28" i="89"/>
  <c r="K31" i="89"/>
  <c r="K30" i="89"/>
  <c r="K29" i="89"/>
  <c r="N26" i="89" a="1"/>
  <c r="N26" i="89" l="1"/>
  <c r="I29" i="89"/>
  <c r="P26" i="89" l="1"/>
  <c r="P29" i="89" l="1"/>
  <c r="Q26" i="89"/>
  <c r="Q28" i="89" s="1"/>
  <c r="A26" i="89"/>
  <c r="A29" i="89" s="1"/>
  <c r="I25" i="89"/>
  <c r="AL24" i="89"/>
  <c r="AK24" i="89"/>
  <c r="AL21" i="89"/>
  <c r="AK21" i="89"/>
  <c r="AJ20" i="89"/>
  <c r="S26" i="89" a="1"/>
  <c r="S26" i="89" l="1"/>
  <c r="R26" i="89" a="1"/>
  <c r="R26" i="89" l="1"/>
  <c r="AC26" i="89"/>
  <c r="Y26" i="89"/>
  <c r="U26" i="89"/>
  <c r="J26" i="89"/>
  <c r="I30" i="89"/>
  <c r="Y28" i="89" l="1"/>
  <c r="W20" i="89" a="1"/>
  <c r="W20" i="89" l="1"/>
  <c r="Y30" i="89"/>
  <c r="X30" i="89" s="1"/>
  <c r="P30" i="89"/>
  <c r="L20" i="89" a="1"/>
  <c r="L20" i="89" l="1"/>
  <c r="K20" i="89" a="1"/>
  <c r="K20" i="89" l="1"/>
  <c r="M20" i="89" s="1"/>
  <c r="H20" i="89"/>
  <c r="F20" i="89" a="1"/>
  <c r="I20" i="89" l="1"/>
  <c r="I23" i="89" s="1"/>
  <c r="F20" i="89"/>
  <c r="AE20" i="89"/>
  <c r="AA20" i="89" a="1"/>
  <c r="N20" i="89" a="1"/>
  <c r="AA20" i="89" l="1"/>
  <c r="N20" i="89"/>
  <c r="P20" i="89" l="1"/>
  <c r="Q20" i="89" s="1"/>
  <c r="AJ19" i="89" l="1"/>
  <c r="AE19" i="89"/>
  <c r="AC20" i="89" l="1"/>
  <c r="Y20" i="89"/>
  <c r="U20" i="89"/>
  <c r="J20" i="89"/>
  <c r="W19" i="89"/>
  <c r="T21" i="89" l="1"/>
  <c r="L19" i="89"/>
  <c r="K19" i="89"/>
  <c r="K23" i="89" l="1"/>
  <c r="K22" i="89"/>
  <c r="L23" i="89"/>
  <c r="K21" i="89"/>
  <c r="M19" i="89"/>
  <c r="I19" i="89"/>
  <c r="AA19" i="89" a="1"/>
  <c r="F19" i="89"/>
  <c r="S19" i="89" a="1"/>
  <c r="AA19" i="89" l="1"/>
  <c r="S19" i="89"/>
  <c r="I21" i="89"/>
  <c r="I22" i="89" s="1"/>
  <c r="G18" i="89"/>
  <c r="R19" i="89" a="1"/>
  <c r="N19" i="89" a="1"/>
  <c r="R19" i="89" l="1"/>
  <c r="J19" i="89"/>
  <c r="N19" i="89"/>
  <c r="AC19" i="89"/>
  <c r="Y19" i="89"/>
  <c r="U19" i="89"/>
  <c r="P19" i="89" l="1"/>
  <c r="Y21" i="89"/>
  <c r="Y22" i="89" s="1"/>
  <c r="Q19" i="89" l="1"/>
  <c r="Q21" i="89" s="1"/>
  <c r="P22" i="89"/>
  <c r="P23" i="89" s="1"/>
  <c r="W14" i="89" a="1"/>
  <c r="W14" i="89" l="1"/>
  <c r="L14" i="89" a="1"/>
  <c r="L14" i="89" l="1"/>
  <c r="K14" i="89" a="1"/>
  <c r="K14" i="89" l="1"/>
  <c r="M14" i="89" s="1"/>
  <c r="H14" i="89"/>
  <c r="F14" i="89" a="1"/>
  <c r="I14" i="89" l="1"/>
  <c r="F14" i="89"/>
  <c r="AE14" i="89"/>
  <c r="AF14" i="89"/>
  <c r="AA14" i="89" a="1"/>
  <c r="N14" i="89" a="1"/>
  <c r="AA14" i="89" l="1"/>
  <c r="N14" i="89"/>
  <c r="P14" i="89" l="1"/>
  <c r="Q14" i="89" s="1"/>
  <c r="AF13" i="89" l="1"/>
  <c r="AE13" i="89"/>
  <c r="S14" i="89" a="1"/>
  <c r="S14" i="89" l="1"/>
  <c r="R14" i="89" a="1"/>
  <c r="R14" i="89" l="1"/>
  <c r="AC14" i="89"/>
  <c r="Y14" i="89"/>
  <c r="U14" i="89"/>
  <c r="J14" i="89"/>
  <c r="W13" i="89" a="1"/>
  <c r="W13" i="89" l="1"/>
  <c r="W16" i="89" s="1"/>
  <c r="T15" i="89" l="1"/>
  <c r="L13" i="89" a="1"/>
  <c r="L13" i="89" l="1"/>
  <c r="K13" i="89" a="1"/>
  <c r="K13" i="89" l="1"/>
  <c r="M13" i="89" s="1"/>
  <c r="L17" i="89"/>
  <c r="K15" i="89"/>
  <c r="I13" i="89"/>
  <c r="AA13" i="89" a="1"/>
  <c r="F13" i="89" a="1"/>
  <c r="AA13" i="89" l="1"/>
  <c r="F13" i="89"/>
  <c r="I15" i="89"/>
  <c r="I16" i="89" s="1"/>
  <c r="K17" i="89"/>
  <c r="K16" i="89"/>
  <c r="N13" i="89" a="1"/>
  <c r="N13" i="89" l="1"/>
  <c r="P13" i="89" l="1"/>
  <c r="P16" i="89" l="1"/>
  <c r="Q13" i="89"/>
  <c r="Q15" i="89" s="1"/>
  <c r="Q17" i="89" s="1"/>
  <c r="AI12" i="89"/>
  <c r="AH12" i="89"/>
  <c r="AI11" i="89"/>
  <c r="AH11" i="89"/>
  <c r="AJ11" i="89" s="1"/>
  <c r="S13" i="89" a="1"/>
  <c r="S13" i="89" l="1"/>
  <c r="R13" i="89" a="1"/>
  <c r="R13" i="89" l="1"/>
  <c r="AC13" i="89"/>
  <c r="Y13" i="89"/>
  <c r="U13" i="89"/>
  <c r="J13" i="89"/>
  <c r="J17" i="89" s="1"/>
  <c r="Y15" i="89" l="1"/>
  <c r="W8" i="89" a="1"/>
  <c r="W8" i="89" l="1"/>
  <c r="Y16" i="89"/>
  <c r="P17" i="89"/>
  <c r="L8" i="89" a="1"/>
  <c r="L8" i="89" l="1"/>
  <c r="K8" i="89" a="1"/>
  <c r="K8" i="89" l="1"/>
  <c r="M8" i="89" s="1"/>
  <c r="I8" i="89"/>
  <c r="H8" i="89"/>
  <c r="AA8" i="89" a="1"/>
  <c r="F8" i="89" a="1"/>
  <c r="AA8" i="89" l="1"/>
  <c r="F8" i="89"/>
  <c r="AF8" i="89"/>
  <c r="AE8" i="89"/>
  <c r="N8" i="89" a="1"/>
  <c r="N8" i="89" l="1"/>
  <c r="P8" i="89" l="1"/>
  <c r="Q8" i="89" s="1"/>
  <c r="AF7" i="89" l="1"/>
  <c r="AE7" i="89"/>
  <c r="W7" i="89" a="1"/>
  <c r="W7" i="89" l="1"/>
  <c r="AC8" i="89"/>
  <c r="Y8" i="89"/>
  <c r="U8" i="89"/>
  <c r="J8" i="89"/>
  <c r="T9" i="89" l="1"/>
  <c r="L7" i="89" a="1"/>
  <c r="L7" i="89" l="1"/>
  <c r="K7" i="89" a="1"/>
  <c r="K7" i="89" l="1"/>
  <c r="M7" i="89" s="1"/>
  <c r="L11" i="89"/>
  <c r="K9" i="89"/>
  <c r="I7" i="89"/>
  <c r="AA7" i="89"/>
  <c r="F7" i="89" a="1"/>
  <c r="F7" i="89" l="1"/>
  <c r="I9" i="89"/>
  <c r="I10" i="89" s="1"/>
  <c r="K11" i="89"/>
  <c r="K10" i="89"/>
  <c r="K18" i="89" s="1"/>
  <c r="N7" i="89" a="1"/>
  <c r="N7" i="89" l="1"/>
  <c r="K5" i="89"/>
  <c r="H46" i="2"/>
  <c r="H45" i="2"/>
  <c r="H44" i="2"/>
  <c r="H43" i="2"/>
  <c r="J41" i="2"/>
  <c r="J40" i="2"/>
  <c r="J39" i="2"/>
  <c r="J38" i="2"/>
  <c r="J37" i="2"/>
  <c r="J36" i="2"/>
  <c r="J35" i="2"/>
  <c r="J34" i="2"/>
  <c r="I32" i="2"/>
  <c r="I31" i="2"/>
  <c r="I28" i="2"/>
  <c r="BA26" i="2"/>
  <c r="S7" i="89" a="1"/>
  <c r="J43" i="2" l="1"/>
  <c r="I43" i="2" s="1"/>
  <c r="J46" i="2"/>
  <c r="I46" i="2" s="1"/>
  <c r="J45" i="2"/>
  <c r="I45" i="2" s="1"/>
  <c r="J44" i="2"/>
  <c r="I44" i="2" s="1"/>
  <c r="S7" i="89"/>
  <c r="P7" i="89"/>
  <c r="R7" i="89" a="1"/>
  <c r="R7" i="89" l="1"/>
  <c r="P10" i="89"/>
  <c r="Q7" i="89"/>
  <c r="Q9" i="89" s="1"/>
  <c r="AC7" i="89"/>
  <c r="Y7" i="89"/>
  <c r="U7" i="89"/>
  <c r="J7" i="89"/>
  <c r="J11" i="89" s="1"/>
  <c r="Y9" i="89" l="1"/>
  <c r="Y10" i="89" s="1"/>
  <c r="Q11" i="89"/>
  <c r="Q5" i="89"/>
  <c r="AN26" i="2" a="1"/>
  <c r="P11" i="89" l="1"/>
  <c r="AN26" i="2"/>
  <c r="AF26" i="2" a="1"/>
  <c r="AF26" i="2" l="1"/>
  <c r="Q26" i="2" a="1"/>
  <c r="Q26" i="2" l="1"/>
  <c r="P26" i="2" a="1"/>
  <c r="P26" i="2" l="1"/>
  <c r="R26" i="2" s="1"/>
  <c r="L26" i="2" a="1"/>
  <c r="L26" i="2" l="1"/>
  <c r="J26" i="2"/>
  <c r="BB26" i="2" s="1"/>
  <c r="BC26" i="2" s="1"/>
  <c r="G26" i="2" a="1"/>
  <c r="G26" i="2" l="1"/>
  <c r="K26" i="2"/>
  <c r="O26" i="2"/>
  <c r="S26" i="2" a="1"/>
  <c r="S26" i="2" l="1"/>
  <c r="AO26" i="2" l="1"/>
  <c r="AP26" i="2"/>
  <c r="U26" i="2"/>
  <c r="Z26" i="2"/>
  <c r="AV26" i="2" s="1" a="1"/>
  <c r="AV26" i="2" l="1"/>
  <c r="AE26" i="2"/>
  <c r="AT26" i="2"/>
  <c r="AS26" i="2"/>
  <c r="AL26" i="2"/>
  <c r="AB26" i="2"/>
  <c r="M26" i="2"/>
  <c r="BA25" i="2"/>
  <c r="AM26" i="2" l="1"/>
  <c r="X26" i="2"/>
  <c r="Y26" i="2" s="1"/>
  <c r="AN25" i="2" a="1"/>
  <c r="AN25" i="2" l="1"/>
  <c r="AF25" i="2" a="1"/>
  <c r="AF25" i="2" l="1"/>
  <c r="L29" i="2" l="1"/>
  <c r="I30" i="2" l="1"/>
  <c r="Q25" i="2" a="1"/>
  <c r="Q25" i="2" l="1"/>
  <c r="P25" i="2" a="1"/>
  <c r="P25" i="2" l="1"/>
  <c r="R25" i="2" s="1"/>
  <c r="L25" i="2" a="1"/>
  <c r="L25" i="2" l="1"/>
  <c r="J25" i="2"/>
  <c r="BB25" i="2" s="1"/>
  <c r="BC25" i="2" s="1"/>
  <c r="G25" i="2" a="1"/>
  <c r="G25" i="2" l="1"/>
  <c r="K25" i="2"/>
  <c r="L28" i="2"/>
  <c r="L30" i="2" s="1"/>
  <c r="O25" i="2"/>
  <c r="S25" i="2" a="1"/>
  <c r="S25" i="2" l="1"/>
  <c r="AO25" i="2" l="1"/>
  <c r="AP25" i="2"/>
  <c r="U25" i="2"/>
  <c r="Z25" i="2"/>
  <c r="AV25" i="2" s="1" a="1"/>
  <c r="AV25" i="2" l="1"/>
  <c r="AE25" i="2"/>
  <c r="AT25" i="2"/>
  <c r="AS25" i="2"/>
  <c r="AL25" i="2"/>
  <c r="AB25" i="2"/>
  <c r="M25" i="2"/>
  <c r="BA23" i="2"/>
  <c r="AM25" i="2" l="1"/>
  <c r="X25" i="2"/>
  <c r="Y25" i="2" s="1"/>
  <c r="AN23" i="2" a="1"/>
  <c r="AN23" i="2" l="1"/>
  <c r="AF23" i="2" a="1"/>
  <c r="AF23" i="2" l="1"/>
  <c r="Q23" i="2" a="1"/>
  <c r="Q23" i="2" l="1"/>
  <c r="P23" i="2" a="1"/>
  <c r="P23" i="2" l="1"/>
  <c r="R23" i="2" s="1"/>
  <c r="L23" i="2" a="1"/>
  <c r="L23" i="2" l="1"/>
  <c r="J23" i="2"/>
  <c r="BB23" i="2" s="1"/>
  <c r="BC23" i="2" s="1"/>
  <c r="G23" i="2" a="1"/>
  <c r="G23" i="2" l="1"/>
  <c r="K23" i="2"/>
  <c r="O23" i="2"/>
  <c r="S23" i="2" a="1"/>
  <c r="S23" i="2" l="1"/>
  <c r="AO23" i="2" l="1"/>
  <c r="AP23" i="2"/>
  <c r="U23" i="2"/>
  <c r="Z23" i="2"/>
  <c r="AV23" i="2" s="1" a="1"/>
  <c r="AV23" i="2" l="1"/>
  <c r="AE23" i="2"/>
  <c r="AT23" i="2"/>
  <c r="AS23" i="2"/>
  <c r="AL23" i="2"/>
  <c r="AB23" i="2"/>
  <c r="M23" i="2"/>
  <c r="BA22" i="2"/>
  <c r="AM23" i="2" l="1"/>
  <c r="X23" i="2"/>
  <c r="Y23" i="2" s="1"/>
  <c r="AN22" i="2" a="1"/>
  <c r="AN22" i="2" l="1"/>
  <c r="AF22" i="2" a="1"/>
  <c r="AF22" i="2" l="1"/>
  <c r="Q22" i="2" a="1"/>
  <c r="Q22" i="2" l="1"/>
  <c r="P22" i="2" a="1"/>
  <c r="P22" i="2" l="1"/>
  <c r="R22" i="2" s="1"/>
  <c r="L22" i="2" a="1"/>
  <c r="L22" i="2" l="1"/>
  <c r="J22" i="2"/>
  <c r="BB22" i="2" s="1"/>
  <c r="BC22" i="2" s="1"/>
  <c r="G22" i="2" a="1"/>
  <c r="G22" i="2" l="1"/>
  <c r="K22" i="2"/>
  <c r="O22" i="2"/>
  <c r="S22" i="2" a="1"/>
  <c r="S22" i="2" l="1"/>
  <c r="AO22" i="2" l="1"/>
  <c r="AP22" i="2"/>
  <c r="U22" i="2"/>
  <c r="Z22" i="2"/>
  <c r="AV22" i="2" s="1" a="1"/>
  <c r="AV22" i="2" l="1"/>
  <c r="AE22" i="2"/>
  <c r="AT22" i="2"/>
  <c r="AS22" i="2"/>
  <c r="AL22" i="2"/>
  <c r="AB22" i="2"/>
  <c r="M22" i="2"/>
  <c r="BA21" i="2"/>
  <c r="AM22" i="2" l="1"/>
  <c r="X22" i="2"/>
  <c r="Y22" i="2" s="1"/>
  <c r="AN21" i="2" a="1"/>
  <c r="AN21" i="2" l="1"/>
  <c r="AF21" i="2" a="1"/>
  <c r="AF21" i="2" l="1"/>
  <c r="Q21" i="2" a="1"/>
  <c r="Q21" i="2" l="1"/>
  <c r="P21" i="2" a="1"/>
  <c r="P21" i="2" l="1"/>
  <c r="R21" i="2" s="1"/>
  <c r="L21" i="2" a="1"/>
  <c r="L21" i="2" l="1"/>
  <c r="J21" i="2"/>
  <c r="BB21" i="2" s="1"/>
  <c r="BC21" i="2" s="1"/>
  <c r="G21" i="2" a="1"/>
  <c r="G21" i="2" l="1"/>
  <c r="K21" i="2"/>
  <c r="K32" i="2" s="1"/>
  <c r="L32" i="2"/>
  <c r="O21" i="2"/>
  <c r="S21" i="2" a="1"/>
  <c r="S21" i="2" l="1"/>
  <c r="AO21" i="2" l="1"/>
  <c r="AP21" i="2"/>
  <c r="U21" i="2"/>
  <c r="Z21" i="2"/>
  <c r="AV21" i="2" s="1" a="1"/>
  <c r="AV21" i="2" l="1"/>
  <c r="AE21" i="2"/>
  <c r="AT21" i="2"/>
  <c r="AS21" i="2"/>
  <c r="AL21" i="2"/>
  <c r="AB21" i="2"/>
  <c r="M21" i="2"/>
  <c r="BA20" i="2"/>
  <c r="AM21" i="2" l="1"/>
  <c r="X21" i="2"/>
  <c r="Y21" i="2" s="1"/>
  <c r="AN20" i="2" a="1"/>
  <c r="AN20" i="2" l="1"/>
  <c r="Q20" i="2" a="1"/>
  <c r="Q20" i="2" l="1"/>
  <c r="P20" i="2" a="1"/>
  <c r="P20" i="2" l="1"/>
  <c r="R20" i="2" s="1"/>
  <c r="J20" i="2"/>
  <c r="BB20" i="2" s="1"/>
  <c r="BC20" i="2" s="1"/>
  <c r="G20" i="2" a="1"/>
  <c r="G20" i="2" l="1"/>
  <c r="K20" i="2"/>
  <c r="S20" i="2" a="1"/>
  <c r="S20" i="2" l="1"/>
  <c r="AP20" i="2"/>
  <c r="O20" i="2"/>
  <c r="U20" i="2" l="1"/>
  <c r="AO20" i="2"/>
  <c r="Z20" i="2"/>
  <c r="AV20" i="2" s="1" a="1"/>
  <c r="AV20" i="2" l="1"/>
  <c r="AE20" i="2"/>
  <c r="AT20" i="2"/>
  <c r="AS20" i="2"/>
  <c r="AL20" i="2"/>
  <c r="AB20" i="2"/>
  <c r="M20" i="2"/>
  <c r="BB19" i="2"/>
  <c r="BA19" i="2"/>
  <c r="BC19" i="2" l="1"/>
  <c r="AM20" i="2"/>
  <c r="X20" i="2"/>
  <c r="Y20" i="2" s="1"/>
  <c r="AN19" i="2" a="1"/>
  <c r="AN19" i="2" l="1"/>
  <c r="AF19" i="2" a="1"/>
  <c r="AF19" i="2" l="1"/>
  <c r="Q19" i="2" a="1"/>
  <c r="Q19" i="2" l="1"/>
  <c r="P19" i="2" a="1"/>
  <c r="P19" i="2" l="1"/>
  <c r="R19" i="2" s="1"/>
  <c r="L19" i="2" a="1"/>
  <c r="L19" i="2" l="1"/>
  <c r="G19" i="2" a="1"/>
  <c r="G19" i="2" l="1"/>
  <c r="O19" i="2"/>
  <c r="S19" i="2" a="1"/>
  <c r="S19" i="2" l="1"/>
  <c r="AO19" i="2" l="1"/>
  <c r="AP19" i="2"/>
  <c r="U19" i="2"/>
  <c r="Z19" i="2"/>
  <c r="AV19" i="2" s="1" a="1"/>
  <c r="AV19" i="2" l="1"/>
  <c r="AE19" i="2"/>
  <c r="AT19" i="2"/>
  <c r="AS19" i="2"/>
  <c r="AL19" i="2"/>
  <c r="AB19" i="2"/>
  <c r="M19" i="2"/>
  <c r="BB18" i="2"/>
  <c r="BA18" i="2"/>
  <c r="BC18" i="2" l="1"/>
  <c r="AM19" i="2"/>
  <c r="X19" i="2"/>
  <c r="Y19" i="2" s="1"/>
  <c r="AN18" i="2" a="1"/>
  <c r="AN18" i="2" l="1"/>
  <c r="AF18" i="2" a="1"/>
  <c r="AF18" i="2" l="1"/>
  <c r="Q18" i="2" a="1"/>
  <c r="Q18" i="2" l="1"/>
  <c r="P18" i="2" a="1"/>
  <c r="P18" i="2" l="1"/>
  <c r="R18" i="2" s="1"/>
  <c r="L18" i="2" a="1"/>
  <c r="L18" i="2" l="1"/>
  <c r="G18" i="2" a="1"/>
  <c r="G18" i="2" l="1"/>
  <c r="O18" i="2"/>
  <c r="S18" i="2" a="1"/>
  <c r="S18" i="2" l="1"/>
  <c r="AO18" i="2" l="1"/>
  <c r="AP18" i="2"/>
  <c r="U18" i="2"/>
  <c r="Z18" i="2"/>
  <c r="AV18" i="2" s="1" a="1"/>
  <c r="AV18" i="2" l="1"/>
  <c r="AE18" i="2"/>
  <c r="AS18" i="2"/>
  <c r="AT18" i="2"/>
  <c r="AL18" i="2"/>
  <c r="AB18" i="2"/>
  <c r="M18" i="2"/>
  <c r="BA17" i="2"/>
  <c r="AM18" i="2" l="1"/>
  <c r="X18" i="2"/>
  <c r="Y18" i="2" s="1"/>
  <c r="AN17" i="2" a="1"/>
  <c r="AN17" i="2" l="1"/>
  <c r="AF17" i="2" a="1"/>
  <c r="AF17" i="2" l="1"/>
  <c r="Q17" i="2" a="1"/>
  <c r="Q17" i="2" l="1"/>
  <c r="P17" i="2" a="1"/>
  <c r="P17" i="2" l="1"/>
  <c r="R17" i="2" s="1"/>
  <c r="L17" i="2" a="1"/>
  <c r="L17" i="2" l="1"/>
  <c r="J17" i="2"/>
  <c r="BB17" i="2" s="1"/>
  <c r="BC17" i="2" s="1"/>
  <c r="G17" i="2" a="1"/>
  <c r="G17" i="2" l="1"/>
  <c r="K17" i="2"/>
  <c r="O17" i="2"/>
  <c r="S17" i="2" a="1"/>
  <c r="S17" i="2" l="1"/>
  <c r="AO17" i="2" l="1"/>
  <c r="AP17" i="2"/>
  <c r="U17" i="2"/>
  <c r="Z17" i="2"/>
  <c r="AV17" i="2" s="1" a="1"/>
  <c r="AV17" i="2" l="1"/>
  <c r="AE17" i="2"/>
  <c r="AT17" i="2"/>
  <c r="AS17" i="2"/>
  <c r="AL17" i="2"/>
  <c r="AB17" i="2"/>
  <c r="M17" i="2"/>
  <c r="BA16" i="2"/>
  <c r="AM17" i="2" l="1"/>
  <c r="X17" i="2"/>
  <c r="Y17" i="2" s="1"/>
  <c r="AN16" i="2" a="1"/>
  <c r="AN16" i="2" l="1"/>
  <c r="AF16" i="2" a="1"/>
  <c r="AF16" i="2" l="1"/>
  <c r="Q16" i="2" a="1"/>
  <c r="Q16" i="2" l="1"/>
  <c r="P16" i="2" a="1"/>
  <c r="P16" i="2" l="1"/>
  <c r="R16" i="2" s="1"/>
  <c r="L16" i="2" a="1"/>
  <c r="L16" i="2" l="1"/>
  <c r="J16" i="2"/>
  <c r="BB16" i="2" s="1"/>
  <c r="BC16" i="2" s="1"/>
  <c r="G16" i="2" a="1"/>
  <c r="G16" i="2" l="1"/>
  <c r="K16" i="2"/>
  <c r="O16" i="2"/>
  <c r="S16" i="2" a="1"/>
  <c r="S16" i="2" l="1"/>
  <c r="AO16" i="2" l="1"/>
  <c r="U16" i="2"/>
  <c r="AP16" i="2"/>
  <c r="Z16" i="2"/>
  <c r="AV16" i="2" s="1" a="1"/>
  <c r="AV16" i="2" l="1"/>
  <c r="AE16" i="2"/>
  <c r="AT16" i="2"/>
  <c r="AS16" i="2"/>
  <c r="AL16" i="2"/>
  <c r="AB16" i="2"/>
  <c r="M16" i="2"/>
  <c r="BA15" i="2"/>
  <c r="AM16" i="2" l="1"/>
  <c r="X16" i="2"/>
  <c r="Y16" i="2" s="1"/>
  <c r="AN15" i="2" a="1"/>
  <c r="AN15" i="2" l="1"/>
  <c r="AF15" i="2" a="1"/>
  <c r="AF15" i="2" l="1"/>
  <c r="Q15" i="2" a="1"/>
  <c r="Q15" i="2" l="1"/>
  <c r="P15" i="2" a="1"/>
  <c r="P15" i="2" l="1"/>
  <c r="R15" i="2" s="1"/>
  <c r="L15" i="2" a="1"/>
  <c r="L15" i="2" l="1"/>
  <c r="J15" i="2"/>
  <c r="BB15" i="2" s="1"/>
  <c r="BC15" i="2" s="1"/>
  <c r="G15" i="2" a="1"/>
  <c r="G15" i="2" l="1"/>
  <c r="K15" i="2"/>
  <c r="O15" i="2"/>
  <c r="S15" i="2" a="1"/>
  <c r="S15" i="2" l="1"/>
  <c r="AO15" i="2" l="1"/>
  <c r="AP15" i="2"/>
  <c r="U15" i="2"/>
  <c r="Z15" i="2"/>
  <c r="AV15" i="2" s="1" a="1"/>
  <c r="AV15" i="2" l="1"/>
  <c r="AE15" i="2"/>
  <c r="AT15" i="2"/>
  <c r="AS15" i="2"/>
  <c r="AL15" i="2"/>
  <c r="AB15" i="2"/>
  <c r="M15" i="2"/>
  <c r="BA14" i="2"/>
  <c r="AM15" i="2" l="1"/>
  <c r="X15" i="2"/>
  <c r="Y15" i="2" s="1"/>
  <c r="AN14" i="2" a="1"/>
  <c r="AN14" i="2" l="1"/>
  <c r="AF14" i="2" a="1"/>
  <c r="AF14" i="2" l="1"/>
  <c r="Q14" i="2" a="1"/>
  <c r="Q14" i="2" l="1"/>
  <c r="P14" i="2" a="1"/>
  <c r="P14" i="2" l="1"/>
  <c r="R14" i="2"/>
  <c r="L14" i="2" a="1"/>
  <c r="L14" i="2" l="1"/>
  <c r="J14" i="2"/>
  <c r="BB14" i="2" s="1"/>
  <c r="BC14" i="2" s="1"/>
  <c r="G14" i="2" a="1"/>
  <c r="G14" i="2" l="1"/>
  <c r="K14" i="2"/>
  <c r="O14" i="2"/>
  <c r="S14" i="2" a="1"/>
  <c r="S14" i="2" l="1"/>
  <c r="AO14" i="2" l="1"/>
  <c r="AP14" i="2"/>
  <c r="U14" i="2"/>
  <c r="Z14" i="2"/>
  <c r="AV14" i="2" s="1" a="1"/>
  <c r="AV14" i="2" l="1"/>
  <c r="AE14" i="2"/>
  <c r="AT14" i="2"/>
  <c r="AS14" i="2"/>
  <c r="AL14" i="2"/>
  <c r="AB14" i="2"/>
  <c r="M14" i="2"/>
  <c r="BA13" i="2"/>
  <c r="AM14" i="2" l="1"/>
  <c r="X14" i="2"/>
  <c r="Y14" i="2" s="1"/>
  <c r="AN13" i="2" a="1"/>
  <c r="AN13" i="2" l="1"/>
  <c r="AF13" i="2" a="1"/>
  <c r="AF13" i="2" l="1"/>
  <c r="Q13" i="2" a="1"/>
  <c r="Q13" i="2" l="1"/>
  <c r="P13" i="2" a="1"/>
  <c r="P13" i="2" l="1"/>
  <c r="R13" i="2" s="1"/>
  <c r="L13" i="2" a="1"/>
  <c r="L13" i="2" l="1"/>
  <c r="J13" i="2"/>
  <c r="BB13" i="2" s="1"/>
  <c r="BC13" i="2" s="1"/>
  <c r="G13" i="2" a="1"/>
  <c r="G13" i="2" l="1"/>
  <c r="K13" i="2"/>
  <c r="O13" i="2"/>
  <c r="S13" i="2" a="1"/>
  <c r="S13" i="2" l="1"/>
  <c r="AO13" i="2" l="1"/>
  <c r="AP13" i="2"/>
  <c r="U13" i="2"/>
  <c r="Z13" i="2"/>
  <c r="AV13" i="2" s="1" a="1"/>
  <c r="AV13" i="2" l="1"/>
  <c r="AE13" i="2"/>
  <c r="AT13" i="2"/>
  <c r="AS13" i="2"/>
  <c r="AL13" i="2"/>
  <c r="AB13" i="2"/>
  <c r="M13" i="2"/>
  <c r="BA12" i="2"/>
  <c r="AM13" i="2" l="1"/>
  <c r="X13" i="2"/>
  <c r="Y13" i="2" s="1"/>
  <c r="AN12" i="2" a="1"/>
  <c r="AN12" i="2" l="1"/>
  <c r="AF12" i="2" a="1"/>
  <c r="AF12" i="2" l="1"/>
  <c r="Q12" i="2" a="1"/>
  <c r="Q12" i="2" l="1"/>
  <c r="P12" i="2" a="1"/>
  <c r="P12" i="2" l="1"/>
  <c r="R12" i="2" s="1"/>
  <c r="L12" i="2" a="1"/>
  <c r="L12" i="2" l="1"/>
  <c r="J12" i="2"/>
  <c r="BB12" i="2" s="1"/>
  <c r="BC12" i="2" s="1"/>
  <c r="G12" i="2" a="1"/>
  <c r="G12" i="2" l="1"/>
  <c r="K12" i="2"/>
  <c r="O12" i="2"/>
  <c r="S12" i="2" a="1"/>
  <c r="S12" i="2" l="1"/>
  <c r="AO12" i="2" l="1"/>
  <c r="AP12" i="2"/>
  <c r="U12" i="2"/>
  <c r="Z12" i="2"/>
  <c r="AV12" i="2" s="1" a="1"/>
  <c r="AV12" i="2" l="1"/>
  <c r="AE12" i="2"/>
  <c r="AT12" i="2"/>
  <c r="AS12" i="2"/>
  <c r="AL12" i="2"/>
  <c r="AB12" i="2"/>
  <c r="M12" i="2"/>
  <c r="BA11" i="2"/>
  <c r="AM12" i="2" l="1"/>
  <c r="X12" i="2"/>
  <c r="Y12" i="2" s="1"/>
  <c r="AN11" i="2" a="1"/>
  <c r="AN11" i="2" l="1"/>
  <c r="AF11" i="2" a="1"/>
  <c r="AF11" i="2" l="1"/>
  <c r="Q11" i="2" a="1"/>
  <c r="Q11" i="2" l="1"/>
  <c r="P11" i="2" a="1"/>
  <c r="P11" i="2" l="1"/>
  <c r="R11" i="2" s="1"/>
  <c r="L11" i="2" a="1"/>
  <c r="L11" i="2" l="1"/>
  <c r="J11" i="2"/>
  <c r="BB11" i="2" s="1"/>
  <c r="BC11" i="2" s="1"/>
  <c r="G11" i="2" a="1"/>
  <c r="G11" i="2" l="1"/>
  <c r="K11" i="2"/>
  <c r="O11" i="2"/>
  <c r="S11" i="2" a="1"/>
  <c r="S11" i="2" l="1"/>
  <c r="AO11" i="2" l="1"/>
  <c r="U11" i="2"/>
  <c r="AP11" i="2"/>
  <c r="Z11" i="2"/>
  <c r="AV11" i="2" s="1" a="1"/>
  <c r="AV11" i="2" l="1"/>
  <c r="AE11" i="2"/>
  <c r="AS11" i="2"/>
  <c r="AT11" i="2"/>
  <c r="AL11" i="2"/>
  <c r="AB11" i="2"/>
  <c r="M11" i="2"/>
  <c r="BA10" i="2"/>
  <c r="AM11" i="2" l="1"/>
  <c r="X11" i="2"/>
  <c r="Y11" i="2" s="1"/>
  <c r="AN10" i="2" a="1"/>
  <c r="AN10" i="2" l="1"/>
  <c r="AF10" i="2" a="1"/>
  <c r="AF10" i="2" l="1"/>
  <c r="Q10" i="2" a="1"/>
  <c r="Q10" i="2" l="1"/>
  <c r="P10" i="2" a="1"/>
  <c r="P10" i="2" l="1"/>
  <c r="R10" i="2" s="1"/>
  <c r="L10" i="2" a="1"/>
  <c r="L10" i="2" l="1"/>
  <c r="J10" i="2"/>
  <c r="BB10" i="2" s="1"/>
  <c r="BC10" i="2" s="1"/>
  <c r="G10" i="2" a="1"/>
  <c r="G10" i="2" l="1"/>
  <c r="K10" i="2"/>
  <c r="O10" i="2"/>
  <c r="S10" i="2" a="1"/>
  <c r="S10" i="2" l="1"/>
  <c r="AO10" i="2" l="1"/>
  <c r="AP10" i="2"/>
  <c r="U10" i="2"/>
  <c r="Z10" i="2"/>
  <c r="AV10" i="2" s="1" a="1"/>
  <c r="AV10" i="2" l="1"/>
  <c r="AE10" i="2"/>
  <c r="AT10" i="2"/>
  <c r="AS10" i="2"/>
  <c r="AL10" i="2"/>
  <c r="AB10" i="2"/>
  <c r="M10" i="2"/>
  <c r="BA9" i="2"/>
  <c r="AM10" i="2" l="1"/>
  <c r="X10" i="2"/>
  <c r="Y10" i="2" s="1"/>
  <c r="AN9" i="2" a="1"/>
  <c r="AN9" i="2" l="1"/>
  <c r="AF9" i="2" a="1"/>
  <c r="AF9" i="2" l="1"/>
  <c r="Q9" i="2" a="1"/>
  <c r="Q9" i="2" l="1"/>
  <c r="P9" i="2" a="1"/>
  <c r="P9" i="2" l="1"/>
  <c r="R9" i="2" s="1"/>
  <c r="L9" i="2" a="1"/>
  <c r="L9" i="2" l="1"/>
  <c r="J9" i="2"/>
  <c r="BB9" i="2" s="1"/>
  <c r="BC9" i="2" s="1"/>
  <c r="G9" i="2" a="1"/>
  <c r="G9" i="2" l="1"/>
  <c r="K9" i="2"/>
  <c r="O9" i="2"/>
  <c r="S9" i="2" a="1"/>
  <c r="S9" i="2" l="1"/>
  <c r="AO9" i="2" l="1"/>
  <c r="AP9" i="2"/>
  <c r="U9" i="2"/>
  <c r="AE9" i="2" l="1"/>
  <c r="AT9" i="2"/>
  <c r="AS9" i="2"/>
  <c r="AL9" i="2"/>
  <c r="AB9" i="2"/>
  <c r="M9" i="2"/>
  <c r="BA8" i="2"/>
  <c r="AM9" i="2" l="1"/>
  <c r="X9" i="2"/>
  <c r="Y9" i="2" s="1"/>
  <c r="AN8" i="2" a="1"/>
  <c r="AN8" i="2" l="1"/>
  <c r="AF8" i="2" a="1"/>
  <c r="AF8" i="2" l="1"/>
  <c r="Q8" i="2" a="1"/>
  <c r="Q8" i="2" l="1"/>
  <c r="P8" i="2" a="1"/>
  <c r="P8" i="2" l="1"/>
  <c r="R8" i="2" s="1"/>
  <c r="L8" i="2" a="1"/>
  <c r="L8" i="2" l="1"/>
  <c r="J8" i="2"/>
  <c r="BB8" i="2" s="1"/>
  <c r="BC8" i="2" s="1"/>
  <c r="G8" i="2" a="1"/>
  <c r="G8" i="2" l="1"/>
  <c r="K8" i="2"/>
  <c r="L31" i="2"/>
  <c r="O8" i="2"/>
  <c r="S8" i="2" a="1"/>
  <c r="S8" i="2" l="1"/>
  <c r="AO8" i="2" l="1"/>
  <c r="AP8" i="2"/>
  <c r="U8" i="2"/>
  <c r="Z8" i="2"/>
  <c r="AV8" i="2" s="1" a="1"/>
  <c r="AV8" i="2" l="1"/>
  <c r="AE8" i="2"/>
  <c r="AT8" i="2"/>
  <c r="AS8" i="2"/>
  <c r="AL8" i="2"/>
  <c r="AB8" i="2"/>
  <c r="M8" i="2"/>
  <c r="BA7" i="2"/>
  <c r="AM8" i="2" l="1"/>
  <c r="X8" i="2"/>
  <c r="Y8" i="2" s="1"/>
  <c r="AN7" i="2" a="1"/>
  <c r="AN7" i="2" l="1"/>
  <c r="AF7" i="2" a="1"/>
  <c r="AF7" i="2" l="1"/>
  <c r="Q7" i="2" a="1"/>
  <c r="Q7" i="2" l="1"/>
  <c r="P7" i="2" a="1"/>
  <c r="P7" i="2" l="1"/>
  <c r="R7" i="2" s="1"/>
  <c r="L7" i="2" a="1"/>
  <c r="L7" i="2" l="1"/>
  <c r="J7" i="2"/>
  <c r="BB7" i="2" s="1"/>
  <c r="BC7" i="2" s="1"/>
  <c r="G7" i="2" a="1"/>
  <c r="G7" i="2" l="1"/>
  <c r="K7" i="2"/>
  <c r="O7" i="2"/>
  <c r="S7" i="2" a="1"/>
  <c r="S7" i="2" l="1"/>
  <c r="AO7" i="2" l="1"/>
  <c r="AP7" i="2"/>
  <c r="U7" i="2"/>
  <c r="Z7" i="2"/>
  <c r="AV7" i="2" s="1" a="1"/>
  <c r="AV7" i="2" l="1"/>
  <c r="AE7" i="2"/>
  <c r="AT7" i="2"/>
  <c r="AS7" i="2"/>
  <c r="AL7" i="2"/>
  <c r="AB7" i="2"/>
  <c r="M7" i="2"/>
  <c r="BA5" i="2"/>
  <c r="AM7" i="2" l="1"/>
  <c r="X7" i="2"/>
  <c r="Y7" i="2" s="1"/>
  <c r="AN5" i="2" a="1"/>
  <c r="AN5" i="2" l="1"/>
  <c r="AF5" i="2" a="1"/>
  <c r="AF5" i="2" l="1"/>
  <c r="Q5" i="2" a="1"/>
  <c r="Q5" i="2" l="1"/>
  <c r="P5" i="2" a="1"/>
  <c r="P5" i="2" l="1"/>
  <c r="R5" i="2" s="1"/>
  <c r="L5" i="2" a="1"/>
  <c r="L5" i="2" l="1"/>
  <c r="J5" i="2"/>
  <c r="BB5" i="2" s="1"/>
  <c r="BC5" i="2" s="1"/>
  <c r="G5" i="2" a="1"/>
  <c r="G5" i="2" l="1"/>
  <c r="K5" i="2"/>
  <c r="O5" i="2"/>
  <c r="S5" i="2" a="1"/>
  <c r="S5" i="2" l="1"/>
  <c r="AO5" i="2" l="1"/>
  <c r="AP5" i="2"/>
  <c r="U5" i="2"/>
  <c r="AE5" i="2" l="1"/>
  <c r="AS5" i="2"/>
  <c r="AT5" i="2"/>
  <c r="AL5" i="2"/>
  <c r="AB5" i="2"/>
  <c r="M5" i="2"/>
  <c r="BA4" i="2"/>
  <c r="AM5" i="2" l="1"/>
  <c r="X5" i="2"/>
  <c r="Y5" i="2" s="1"/>
  <c r="AN4" i="2" a="1"/>
  <c r="AN4" i="2" l="1"/>
  <c r="AF4" i="2" a="1"/>
  <c r="AF4" i="2" l="1"/>
  <c r="Q4" i="2" a="1"/>
  <c r="Q4" i="2" l="1"/>
  <c r="P4" i="2" a="1"/>
  <c r="P4" i="2" l="1"/>
  <c r="R4" i="2" s="1"/>
  <c r="L4" i="2" a="1"/>
  <c r="L4" i="2" l="1"/>
  <c r="J4" i="2"/>
  <c r="BB4" i="2" s="1"/>
  <c r="BC4" i="2" s="1"/>
  <c r="G4" i="2" a="1"/>
  <c r="G4" i="2" l="1"/>
  <c r="K4" i="2"/>
  <c r="O4" i="2"/>
  <c r="S4" i="2" a="1"/>
  <c r="S4" i="2" l="1"/>
  <c r="AO4" i="2" l="1"/>
  <c r="AP4" i="2"/>
  <c r="U4" i="2"/>
  <c r="Z4" i="2"/>
  <c r="AV4" i="2" s="1" a="1"/>
  <c r="AV4" i="2" l="1"/>
  <c r="AE4" i="2"/>
  <c r="AS4" i="2"/>
  <c r="AT4" i="2"/>
  <c r="AL4" i="2"/>
  <c r="AB4" i="2"/>
  <c r="M4" i="2"/>
  <c r="U2" i="2"/>
  <c r="R2" i="2"/>
  <c r="Q2" i="2" a="1"/>
  <c r="Q2" i="2" l="1"/>
  <c r="S2" i="2" s="1"/>
  <c r="AM4" i="2"/>
  <c r="X4" i="2"/>
  <c r="Y4" i="2" s="1"/>
  <c r="P2" i="2" a="1"/>
  <c r="P2" i="2" l="1"/>
  <c r="L2" i="2" a="1"/>
  <c r="L2" i="2" l="1"/>
  <c r="I2" i="2" l="1"/>
  <c r="X1" i="2"/>
  <c r="R1" i="2"/>
  <c r="O1" i="2"/>
  <c r="H1" i="2"/>
  <c r="D58" i="54"/>
  <c r="B58" i="54"/>
  <c r="G54" i="54"/>
  <c r="E54" i="54"/>
  <c r="F53" i="54"/>
  <c r="F52" i="54"/>
  <c r="F54" i="54" s="1"/>
  <c r="I51" i="54"/>
  <c r="H51" i="54"/>
  <c r="I50" i="54" a="1"/>
  <c r="I50" i="54" l="1"/>
  <c r="H53" i="54"/>
  <c r="H52" i="54"/>
  <c r="H54" i="54" s="1"/>
  <c r="C43" i="54"/>
  <c r="C45" i="54" s="1"/>
  <c r="D45" i="54" s="1"/>
  <c r="F41" i="54"/>
  <c r="C36" i="54"/>
  <c r="C38" i="54" s="1"/>
  <c r="D38" i="54" s="1"/>
  <c r="I31" i="54"/>
  <c r="I32" i="54" s="1"/>
  <c r="I30" i="54"/>
  <c r="C29" i="54"/>
  <c r="C31" i="54" s="1"/>
  <c r="D31" i="54" s="1"/>
  <c r="E23" i="54"/>
  <c r="I22" i="54"/>
  <c r="K21" i="54"/>
  <c r="K19" i="54"/>
  <c r="E18" i="54"/>
  <c r="E17" i="54"/>
  <c r="G14" i="54"/>
  <c r="H14" i="54" s="1"/>
  <c r="G13" i="54"/>
  <c r="H13" i="54" s="1"/>
  <c r="G12" i="54"/>
  <c r="H12" i="54" s="1"/>
  <c r="H11" i="54"/>
  <c r="G11" i="54"/>
  <c r="G10" i="54"/>
  <c r="H10" i="54" s="1"/>
  <c r="G9" i="54"/>
  <c r="H9" i="54" s="1"/>
  <c r="C3" i="54"/>
  <c r="D3" i="54" s="1"/>
  <c r="D2" i="54"/>
  <c r="I53" i="54" l="1"/>
  <c r="J53" i="54" s="1"/>
  <c r="I52" i="54"/>
  <c r="I54" i="54" l="1"/>
  <c r="J52" i="54"/>
  <c r="J54" i="54" s="1"/>
  <c r="S49" i="1" l="1"/>
  <c r="Q49" i="1"/>
  <c r="I49" i="1" a="1"/>
  <c r="I49" i="1" l="1"/>
  <c r="N49" i="1" l="1"/>
  <c r="J49" i="1"/>
  <c r="T49" i="1" l="1"/>
  <c r="S48" i="1"/>
  <c r="Q48" i="1"/>
  <c r="I48" i="1" a="1"/>
  <c r="I48" i="1" l="1"/>
  <c r="N48" i="1" l="1"/>
  <c r="J48" i="1"/>
  <c r="T48" i="1" l="1"/>
  <c r="S47" i="1"/>
  <c r="Q47" i="1"/>
  <c r="I47" i="1" a="1"/>
  <c r="I47" i="1" l="1"/>
  <c r="N47" i="1" l="1"/>
  <c r="J47" i="1"/>
  <c r="T47" i="1" l="1"/>
  <c r="S46" i="1"/>
  <c r="Q46" i="1"/>
  <c r="I46" i="1" a="1"/>
  <c r="I46" i="1" l="1"/>
  <c r="N46" i="1" l="1"/>
  <c r="J46" i="1"/>
  <c r="T46" i="1" l="1"/>
  <c r="Q45" i="1"/>
  <c r="I45" i="1" a="1"/>
  <c r="I45" i="1" l="1"/>
  <c r="N45" i="1" l="1"/>
  <c r="J45" i="1"/>
  <c r="T45" i="1" l="1"/>
  <c r="S44" i="1"/>
  <c r="Q44" i="1"/>
  <c r="I44" i="1" a="1"/>
  <c r="I44" i="1" l="1"/>
  <c r="H44" i="1"/>
  <c r="Q53" i="385" l="1"/>
  <c r="C24" i="385"/>
  <c r="E24" i="385" s="1"/>
  <c r="N44" i="1"/>
  <c r="J44" i="1"/>
  <c r="T44" i="1" l="1"/>
  <c r="S53" i="385"/>
  <c r="R53" i="385"/>
  <c r="AA43" i="1" l="1"/>
  <c r="Z43" i="1"/>
  <c r="S43" i="1"/>
  <c r="Q43" i="1"/>
  <c r="N43" i="1" l="1"/>
  <c r="T43" i="1" l="1"/>
  <c r="J43" i="1"/>
  <c r="Q42" i="1" l="1"/>
  <c r="I42" i="1" a="1"/>
  <c r="I42" i="1" l="1"/>
  <c r="N42" i="1" l="1"/>
  <c r="J42" i="1"/>
  <c r="T42" i="1" l="1"/>
  <c r="I41" i="1" a="1"/>
  <c r="I41" i="1" l="1"/>
  <c r="N41" i="1" l="1"/>
  <c r="J41" i="1"/>
  <c r="T41" i="1" l="1"/>
  <c r="Q40" i="1"/>
  <c r="I40" i="1" a="1"/>
  <c r="I40" i="1" l="1"/>
  <c r="N40" i="1" l="1"/>
  <c r="J40" i="1"/>
  <c r="T40" i="1" l="1"/>
  <c r="Q39" i="1"/>
  <c r="I39" i="1" a="1"/>
  <c r="I39" i="1" l="1"/>
  <c r="N39" i="1" l="1"/>
  <c r="J39" i="1"/>
  <c r="T39" i="1" l="1"/>
  <c r="AA38" i="1"/>
  <c r="Z38" i="1"/>
  <c r="N38" i="1" l="1"/>
  <c r="J38" i="1"/>
  <c r="T38" i="1" l="1"/>
  <c r="I37" i="1" a="1"/>
  <c r="I37" i="1" l="1"/>
  <c r="N37" i="1" l="1"/>
  <c r="J37" i="1"/>
  <c r="T37" i="1" l="1"/>
  <c r="I36" i="1" a="1"/>
  <c r="I36" i="1" l="1"/>
  <c r="N36" i="1" l="1"/>
  <c r="J36" i="1"/>
  <c r="T36" i="1" l="1"/>
  <c r="S35" i="1"/>
  <c r="Q35" i="1"/>
  <c r="I35" i="1" a="1"/>
  <c r="I35" i="1" l="1"/>
  <c r="N35" i="1" l="1"/>
  <c r="J35" i="1"/>
  <c r="T35" i="1" l="1"/>
  <c r="I34" i="1" a="1"/>
  <c r="I34" i="1" l="1"/>
  <c r="N34" i="1" l="1"/>
  <c r="J34" i="1"/>
  <c r="T34" i="1" l="1"/>
  <c r="Q33" i="1"/>
  <c r="I33" i="1" a="1"/>
  <c r="I33" i="1" l="1"/>
  <c r="N33" i="1" l="1"/>
  <c r="J33" i="1"/>
  <c r="T33" i="1" l="1"/>
  <c r="I32" i="1" a="1"/>
  <c r="I32" i="1" l="1"/>
  <c r="N32" i="1" l="1"/>
  <c r="J32" i="1"/>
  <c r="T32" i="1" l="1"/>
  <c r="S31" i="1"/>
  <c r="Q31" i="1"/>
  <c r="I31" i="1" a="1"/>
  <c r="I31" i="1" l="1"/>
  <c r="N31" i="1" l="1"/>
  <c r="J31" i="1"/>
  <c r="T31" i="1" l="1"/>
  <c r="S30" i="1"/>
  <c r="Q30" i="1"/>
  <c r="I30" i="1" a="1"/>
  <c r="I30" i="1" l="1"/>
  <c r="N30" i="1" l="1"/>
  <c r="J30" i="1"/>
  <c r="T30" i="1" l="1"/>
  <c r="Q29" i="1"/>
  <c r="I29" i="1" a="1"/>
  <c r="I29" i="1" l="1"/>
  <c r="N29" i="1" l="1"/>
  <c r="J29" i="1"/>
  <c r="T29" i="1" l="1"/>
  <c r="Q28" i="1"/>
  <c r="I28" i="1" a="1"/>
  <c r="I28" i="1" l="1"/>
  <c r="N28" i="1" l="1"/>
  <c r="J28" i="1"/>
  <c r="T28" i="1" l="1"/>
  <c r="I27" i="1" a="1"/>
  <c r="I27" i="1" l="1"/>
  <c r="N27" i="1" l="1"/>
  <c r="J27" i="1"/>
  <c r="T27" i="1" l="1"/>
  <c r="I26" i="1" a="1"/>
  <c r="I26" i="1" l="1"/>
  <c r="N26" i="1" l="1"/>
  <c r="J26" i="1"/>
  <c r="T26" i="1" l="1"/>
  <c r="I25" i="1" a="1"/>
  <c r="I25" i="1" l="1"/>
  <c r="N25" i="1" l="1"/>
  <c r="J25" i="1"/>
  <c r="T25" i="1" l="1"/>
  <c r="I24" i="1" a="1"/>
  <c r="I24" i="1" l="1"/>
  <c r="N24" i="1" l="1"/>
  <c r="J24" i="1"/>
  <c r="T24" i="1" l="1"/>
  <c r="Q23" i="1"/>
  <c r="I23" i="1" a="1"/>
  <c r="I23" i="1" l="1"/>
  <c r="N23" i="1" l="1"/>
  <c r="J23" i="1"/>
  <c r="T23" i="1" l="1"/>
  <c r="S22" i="1"/>
  <c r="Q22" i="1"/>
  <c r="I22" i="1" a="1"/>
  <c r="I22" i="1" l="1"/>
  <c r="N22" i="1" l="1"/>
  <c r="J22" i="1"/>
  <c r="T22" i="1" l="1"/>
  <c r="S21" i="1"/>
  <c r="Q21" i="1"/>
  <c r="I21" i="1" a="1"/>
  <c r="I21" i="1" l="1"/>
  <c r="N21" i="1" l="1"/>
  <c r="J21" i="1"/>
  <c r="T21" i="1" l="1"/>
  <c r="S20" i="1"/>
  <c r="Q20" i="1"/>
  <c r="I20" i="1" a="1"/>
  <c r="I20" i="1" l="1"/>
  <c r="N20" i="1" l="1"/>
  <c r="J20" i="1"/>
  <c r="T20" i="1" l="1"/>
  <c r="I19" i="1" a="1"/>
  <c r="I19" i="1" l="1"/>
  <c r="N19" i="1" l="1"/>
  <c r="J19" i="1"/>
  <c r="T19" i="1" l="1"/>
  <c r="Q18" i="1"/>
  <c r="I18" i="1" a="1"/>
  <c r="I18" i="1" l="1"/>
  <c r="N18" i="1" l="1"/>
  <c r="J18" i="1"/>
  <c r="T18" i="1" l="1"/>
  <c r="S16" i="1"/>
  <c r="Q16" i="1"/>
  <c r="I16" i="1" a="1"/>
  <c r="I16" i="1" l="1"/>
  <c r="N16" i="1" l="1"/>
  <c r="J16" i="1"/>
  <c r="T16" i="1" l="1"/>
  <c r="F16" i="1" l="1"/>
  <c r="Q14" i="1"/>
  <c r="I14" i="1" a="1"/>
  <c r="I14" i="1" l="1"/>
  <c r="N14" i="1" l="1"/>
  <c r="J14" i="1"/>
  <c r="T14" i="1" l="1"/>
  <c r="F14" i="1" l="1"/>
  <c r="S13" i="1"/>
  <c r="Q13" i="1"/>
  <c r="I13" i="1" a="1"/>
  <c r="I13" i="1" l="1"/>
  <c r="N13" i="1" l="1"/>
  <c r="J13" i="1"/>
  <c r="T13" i="1" l="1"/>
  <c r="F13" i="1" l="1"/>
  <c r="S12" i="1"/>
  <c r="Q12" i="1"/>
  <c r="I12" i="1" a="1"/>
  <c r="I12" i="1" l="1"/>
  <c r="N12" i="1" l="1"/>
  <c r="J12" i="1"/>
  <c r="T12" i="1" l="1"/>
  <c r="I10" i="1" a="1"/>
  <c r="I10" i="1" l="1"/>
  <c r="J10" i="1" s="1"/>
  <c r="F12" i="1"/>
  <c r="C10" i="1" a="1"/>
  <c r="C10" i="1" l="1"/>
  <c r="D10" i="1" s="1"/>
  <c r="I9" i="1" a="1"/>
  <c r="I9" i="1" l="1"/>
  <c r="J9" i="1" s="1"/>
  <c r="C9" i="1" a="1"/>
  <c r="C9" i="1" l="1"/>
  <c r="D9" i="1" s="1"/>
  <c r="I8" i="1" a="1"/>
  <c r="I8" i="1" l="1"/>
  <c r="J8" i="1" s="1"/>
  <c r="C8" i="1" a="1"/>
  <c r="C8" i="1" l="1"/>
  <c r="D8" i="1" s="1"/>
  <c r="AD7" i="1"/>
  <c r="BD6" i="2" l="1"/>
  <c r="AI6" i="2"/>
  <c r="AK6" i="2"/>
  <c r="P15" i="1"/>
  <c r="V6" i="2"/>
  <c r="W6" i="2"/>
  <c r="AH15" i="1"/>
  <c r="BD26" i="2"/>
  <c r="V26" i="2"/>
  <c r="AK26" i="2"/>
  <c r="AI26" i="2"/>
  <c r="W26" i="2"/>
  <c r="BD25" i="2"/>
  <c r="AK25" i="2"/>
  <c r="V25" i="2"/>
  <c r="AI25" i="2"/>
  <c r="W25" i="2"/>
  <c r="BD23" i="2"/>
  <c r="AI23" i="2"/>
  <c r="V23" i="2"/>
  <c r="AK23" i="2"/>
  <c r="W23" i="2"/>
  <c r="BD22" i="2"/>
  <c r="V22" i="2"/>
  <c r="AI22" i="2"/>
  <c r="AK22" i="2"/>
  <c r="W22" i="2"/>
  <c r="BD21" i="2"/>
  <c r="V21" i="2"/>
  <c r="AI21" i="2"/>
  <c r="AK21" i="2"/>
  <c r="W21" i="2"/>
  <c r="BD20" i="2"/>
  <c r="AK20" i="2"/>
  <c r="V20" i="2"/>
  <c r="BD19" i="2"/>
  <c r="W20" i="2"/>
  <c r="AK19" i="2"/>
  <c r="V19" i="2"/>
  <c r="AI19" i="2"/>
  <c r="BD18" i="2"/>
  <c r="W19" i="2"/>
  <c r="V18" i="2"/>
  <c r="AK18" i="2"/>
  <c r="AI18" i="2"/>
  <c r="W18" i="2"/>
  <c r="BD17" i="2"/>
  <c r="AK17" i="2"/>
  <c r="V17" i="2"/>
  <c r="AI17" i="2"/>
  <c r="W17" i="2"/>
  <c r="BD16" i="2"/>
  <c r="AK16" i="2"/>
  <c r="AI16" i="2"/>
  <c r="V16" i="2"/>
  <c r="W16" i="2"/>
  <c r="BD15" i="2"/>
  <c r="V15" i="2"/>
  <c r="AK15" i="2"/>
  <c r="AI15" i="2"/>
  <c r="W15" i="2"/>
  <c r="BD14" i="2"/>
  <c r="V14" i="2"/>
  <c r="AK14" i="2"/>
  <c r="AI14" i="2"/>
  <c r="W14" i="2"/>
  <c r="BD13" i="2"/>
  <c r="V13" i="2"/>
  <c r="AK13" i="2"/>
  <c r="AI13" i="2"/>
  <c r="W13" i="2"/>
  <c r="BD12" i="2"/>
  <c r="AK12" i="2"/>
  <c r="V12" i="2"/>
  <c r="AI12" i="2"/>
  <c r="W12" i="2"/>
  <c r="BD11" i="2"/>
  <c r="AK11" i="2"/>
  <c r="V11" i="2"/>
  <c r="AI11" i="2"/>
  <c r="W11" i="2"/>
  <c r="BD10" i="2"/>
  <c r="AK10" i="2"/>
  <c r="S33" i="1" s="1"/>
  <c r="V10" i="2"/>
  <c r="AI10" i="2"/>
  <c r="W10" i="2"/>
  <c r="BD9" i="2"/>
  <c r="V9" i="2"/>
  <c r="AI9" i="2"/>
  <c r="AK9" i="2"/>
  <c r="W9" i="2"/>
  <c r="BD8" i="2"/>
  <c r="V8" i="2"/>
  <c r="AK8" i="2"/>
  <c r="AI8" i="2"/>
  <c r="W8" i="2"/>
  <c r="BD7" i="2"/>
  <c r="AK7" i="2"/>
  <c r="S39" i="1" s="1"/>
  <c r="V7" i="2"/>
  <c r="AI7" i="2"/>
  <c r="W7" i="2"/>
  <c r="BD5" i="2"/>
  <c r="V5" i="2"/>
  <c r="AK5" i="2"/>
  <c r="S14" i="1" s="1"/>
  <c r="AI5" i="2"/>
  <c r="W5" i="2"/>
  <c r="BD4" i="2"/>
  <c r="V4" i="2"/>
  <c r="AI4" i="2"/>
  <c r="AK4" i="2"/>
  <c r="S23" i="1" s="1"/>
  <c r="W4" i="2"/>
  <c r="J55" i="54"/>
  <c r="P49" i="1"/>
  <c r="AH49" i="1"/>
  <c r="P48" i="1"/>
  <c r="AH48" i="1"/>
  <c r="P47" i="1"/>
  <c r="AH47" i="1"/>
  <c r="P46" i="1"/>
  <c r="AH46" i="1"/>
  <c r="P45" i="1"/>
  <c r="AH45" i="1"/>
  <c r="P44" i="1"/>
  <c r="AH44" i="1"/>
  <c r="Y43" i="1"/>
  <c r="P43" i="1"/>
  <c r="AH43" i="1"/>
  <c r="P42" i="1"/>
  <c r="AH42" i="1"/>
  <c r="P41" i="1"/>
  <c r="AH41" i="1"/>
  <c r="P40" i="1"/>
  <c r="AH40" i="1"/>
  <c r="P39" i="1"/>
  <c r="Y38" i="1"/>
  <c r="AH39" i="1"/>
  <c r="P38" i="1"/>
  <c r="AH38" i="1"/>
  <c r="P37" i="1"/>
  <c r="AH37" i="1"/>
  <c r="P36" i="1"/>
  <c r="AH36" i="1"/>
  <c r="P35" i="1"/>
  <c r="AH35" i="1"/>
  <c r="P34" i="1"/>
  <c r="AH34" i="1"/>
  <c r="P33" i="1"/>
  <c r="AH33" i="1"/>
  <c r="P32" i="1"/>
  <c r="AH32" i="1"/>
  <c r="P31" i="1"/>
  <c r="AH31" i="1"/>
  <c r="P30" i="1"/>
  <c r="AH30" i="1"/>
  <c r="P29" i="1"/>
  <c r="AH29" i="1"/>
  <c r="P28" i="1"/>
  <c r="AH28" i="1"/>
  <c r="P27" i="1"/>
  <c r="AH27" i="1"/>
  <c r="P26" i="1"/>
  <c r="AH26" i="1"/>
  <c r="P25" i="1"/>
  <c r="AH25" i="1"/>
  <c r="P24" i="1"/>
  <c r="AH24" i="1"/>
  <c r="P23" i="1"/>
  <c r="AH23" i="1"/>
  <c r="P22" i="1"/>
  <c r="AH22" i="1"/>
  <c r="P21" i="1"/>
  <c r="AH21" i="1"/>
  <c r="P20" i="1"/>
  <c r="AH20" i="1"/>
  <c r="P19" i="1"/>
  <c r="AH19" i="1"/>
  <c r="P18" i="1"/>
  <c r="AH18" i="1"/>
  <c r="P16" i="1"/>
  <c r="AH16" i="1"/>
  <c r="P14" i="1"/>
  <c r="AH14" i="1"/>
  <c r="P13" i="1"/>
  <c r="AH13" i="1"/>
  <c r="P12" i="1"/>
  <c r="AH12" i="1"/>
  <c r="AH10" i="1" s="1"/>
  <c r="AD8" i="1"/>
  <c r="I7" i="1" a="1"/>
  <c r="AD15" i="1" l="1"/>
  <c r="V15" i="1"/>
  <c r="S28" i="1"/>
  <c r="V28" i="1" s="1"/>
  <c r="S40" i="1"/>
  <c r="V40" i="1" s="1"/>
  <c r="S18" i="1"/>
  <c r="V18" i="1" s="1"/>
  <c r="V9" i="1" s="1"/>
  <c r="W1" i="2"/>
  <c r="S42" i="1"/>
  <c r="V42" i="1" s="1"/>
  <c r="S45" i="1"/>
  <c r="V45" i="1" s="1"/>
  <c r="V1" i="2"/>
  <c r="S29" i="1"/>
  <c r="V29" i="1" s="1"/>
  <c r="I7" i="1"/>
  <c r="J7" i="1" s="1"/>
  <c r="AD23" i="1"/>
  <c r="V23" i="1"/>
  <c r="AD33" i="1"/>
  <c r="V33" i="1"/>
  <c r="AD12" i="1"/>
  <c r="V12" i="1"/>
  <c r="P10" i="1"/>
  <c r="P7" i="1"/>
  <c r="AD25" i="1"/>
  <c r="V25" i="1"/>
  <c r="AD44" i="1"/>
  <c r="V44" i="1"/>
  <c r="AD47" i="1"/>
  <c r="V47" i="1"/>
  <c r="AD14" i="1"/>
  <c r="V14" i="1"/>
  <c r="AD34" i="1"/>
  <c r="V34" i="1"/>
  <c r="AD26" i="1"/>
  <c r="V26" i="1"/>
  <c r="AD18" i="1"/>
  <c r="AD48" i="1"/>
  <c r="V48" i="1"/>
  <c r="AD24" i="1"/>
  <c r="V24" i="1"/>
  <c r="AD37" i="1"/>
  <c r="V37" i="1"/>
  <c r="AD29" i="1"/>
  <c r="AD39" i="1"/>
  <c r="V39" i="1"/>
  <c r="AD30" i="1"/>
  <c r="V30" i="1"/>
  <c r="AD49" i="1"/>
  <c r="V49" i="1"/>
  <c r="AD35" i="1"/>
  <c r="V35" i="1"/>
  <c r="AD16" i="1"/>
  <c r="V16" i="1"/>
  <c r="AD19" i="1"/>
  <c r="V19" i="1"/>
  <c r="AD20" i="1"/>
  <c r="V20" i="1"/>
  <c r="AD40" i="1"/>
  <c r="AD46" i="1"/>
  <c r="V46" i="1"/>
  <c r="AD31" i="1"/>
  <c r="V31" i="1"/>
  <c r="AD41" i="1"/>
  <c r="V41" i="1"/>
  <c r="AD43" i="1"/>
  <c r="V43" i="1"/>
  <c r="AD36" i="1"/>
  <c r="V36" i="1"/>
  <c r="AD27" i="1"/>
  <c r="V27" i="1"/>
  <c r="AD28" i="1"/>
  <c r="AD22" i="1"/>
  <c r="V22" i="1"/>
  <c r="AD32" i="1"/>
  <c r="V32" i="1"/>
  <c r="AI1" i="2"/>
  <c r="AJ24" i="2" s="1"/>
  <c r="AD13" i="1"/>
  <c r="V13" i="1"/>
  <c r="AD45" i="1"/>
  <c r="AD38" i="1"/>
  <c r="V38" i="1"/>
  <c r="AD21" i="1"/>
  <c r="V21" i="1"/>
  <c r="AD42" i="1"/>
  <c r="AJ20" i="2" l="1"/>
  <c r="AJ6" i="2"/>
  <c r="AJ12" i="2"/>
  <c r="S10" i="1"/>
  <c r="S7" i="1"/>
  <c r="AD10" i="1"/>
  <c r="AJ14" i="2"/>
  <c r="AJ19" i="2"/>
  <c r="AJ26" i="2"/>
  <c r="AJ8" i="2"/>
  <c r="AJ25" i="2"/>
  <c r="AJ10" i="2"/>
  <c r="AJ5" i="2"/>
  <c r="AJ21" i="2"/>
  <c r="AJ13" i="2"/>
  <c r="AJ11" i="2"/>
  <c r="AJ15" i="2"/>
  <c r="AJ23" i="2"/>
  <c r="AJ17" i="2"/>
  <c r="AJ7" i="2"/>
  <c r="AJ9" i="2"/>
  <c r="AJ22" i="2"/>
  <c r="AJ18" i="2"/>
  <c r="AJ16" i="2"/>
  <c r="AJ4" i="2"/>
  <c r="C7" i="1" a="1"/>
  <c r="C7" i="1" l="1"/>
  <c r="D7" i="1" s="1"/>
  <c r="AE6" i="1"/>
  <c r="V6" i="1"/>
  <c r="S6" i="1"/>
  <c r="P6" i="1"/>
  <c r="I6" i="1" a="1"/>
  <c r="I6" i="1" l="1"/>
  <c r="J6" i="1" s="1"/>
  <c r="C6" i="1" a="1"/>
  <c r="C6" i="1" l="1"/>
  <c r="D6" i="1" s="1"/>
  <c r="AE5" i="1"/>
  <c r="V5" i="1"/>
  <c r="V7" i="1" s="1"/>
  <c r="S5" i="1"/>
  <c r="P5" i="1"/>
  <c r="X237" i="89" l="1"/>
  <c r="AD237" i="89"/>
  <c r="X236" i="89"/>
  <c r="AD236" i="89"/>
  <c r="AD235" i="89"/>
  <c r="X235" i="89"/>
  <c r="AD234" i="89"/>
  <c r="X234" i="89"/>
  <c r="X233" i="89"/>
  <c r="AD233" i="89"/>
  <c r="X225" i="89"/>
  <c r="AD225" i="89"/>
  <c r="X224" i="89"/>
  <c r="AD224" i="89"/>
  <c r="X223" i="89"/>
  <c r="AD223" i="89"/>
  <c r="AD226" i="89" s="1"/>
  <c r="X222" i="89"/>
  <c r="AD222" i="89"/>
  <c r="X213" i="89"/>
  <c r="AD213" i="89"/>
  <c r="X212" i="89"/>
  <c r="AD212" i="89"/>
  <c r="AD215" i="89" s="1"/>
  <c r="AD211" i="89"/>
  <c r="X211" i="89"/>
  <c r="X205" i="89"/>
  <c r="AD205" i="89"/>
  <c r="X204" i="89"/>
  <c r="AD204" i="89"/>
  <c r="AD206" i="89" s="1"/>
  <c r="X203" i="89"/>
  <c r="AD203" i="89"/>
  <c r="X197" i="89"/>
  <c r="AD197" i="89"/>
  <c r="X196" i="89"/>
  <c r="AD196" i="89"/>
  <c r="AD198" i="89" s="1"/>
  <c r="X195" i="89"/>
  <c r="AD195" i="89"/>
  <c r="X188" i="89"/>
  <c r="AD188" i="89"/>
  <c r="X187" i="89"/>
  <c r="AD187" i="89"/>
  <c r="AD189" i="89" s="1"/>
  <c r="X186" i="89"/>
  <c r="AD186" i="89"/>
  <c r="X180" i="89"/>
  <c r="AD180" i="89"/>
  <c r="X179" i="89"/>
  <c r="AD179" i="89"/>
  <c r="AD181" i="89" s="1"/>
  <c r="X178" i="89"/>
  <c r="AD178" i="89"/>
  <c r="X171" i="89"/>
  <c r="AD171" i="89"/>
  <c r="X170" i="89"/>
  <c r="AD170" i="89"/>
  <c r="AD172" i="89" s="1"/>
  <c r="X169" i="89"/>
  <c r="AD169" i="89"/>
  <c r="AD160" i="89"/>
  <c r="AD162" i="89" s="1"/>
  <c r="X160" i="89"/>
  <c r="X162" i="89" s="1"/>
  <c r="X154" i="89"/>
  <c r="AD154" i="89"/>
  <c r="AD153" i="89"/>
  <c r="AD155" i="89" s="1"/>
  <c r="X153" i="89"/>
  <c r="X145" i="89"/>
  <c r="AD145" i="89"/>
  <c r="X144" i="89"/>
  <c r="AD144" i="89"/>
  <c r="AD146" i="89" s="1"/>
  <c r="X138" i="89"/>
  <c r="AD138" i="89"/>
  <c r="AD137" i="89"/>
  <c r="AD139" i="89" s="1"/>
  <c r="X137" i="89"/>
  <c r="AD136" i="89"/>
  <c r="X136" i="89"/>
  <c r="AD129" i="89"/>
  <c r="AD131" i="89" s="1"/>
  <c r="X129" i="89"/>
  <c r="X131" i="89" s="1"/>
  <c r="X123" i="89"/>
  <c r="AD123" i="89"/>
  <c r="X122" i="89"/>
  <c r="X124" i="89" s="1"/>
  <c r="AD122" i="89"/>
  <c r="AD124" i="89" s="1"/>
  <c r="X116" i="89"/>
  <c r="AD116" i="89"/>
  <c r="X115" i="89"/>
  <c r="X117" i="89" s="1"/>
  <c r="AD115" i="89"/>
  <c r="AD117" i="89" s="1"/>
  <c r="X109" i="89"/>
  <c r="AD109" i="89"/>
  <c r="X108" i="89"/>
  <c r="X110" i="89" s="1"/>
  <c r="AD108" i="89"/>
  <c r="AD110" i="89" s="1"/>
  <c r="X102" i="89"/>
  <c r="AD102" i="89"/>
  <c r="AD101" i="89"/>
  <c r="AD103" i="89" s="1"/>
  <c r="X101" i="89"/>
  <c r="X96" i="89"/>
  <c r="AD96" i="89"/>
  <c r="X95" i="89"/>
  <c r="AD95" i="89"/>
  <c r="AD97" i="89" s="1"/>
  <c r="X90" i="89"/>
  <c r="AD90" i="89"/>
  <c r="X89" i="89"/>
  <c r="X91" i="89" s="1"/>
  <c r="AD89" i="89"/>
  <c r="AD91" i="89" s="1"/>
  <c r="X82" i="89"/>
  <c r="AD82" i="89"/>
  <c r="AD81" i="89"/>
  <c r="AD83" i="89" s="1"/>
  <c r="X81" i="89"/>
  <c r="X76" i="89"/>
  <c r="AD76" i="89"/>
  <c r="X75" i="89"/>
  <c r="AD75" i="89"/>
  <c r="AD77" i="89" s="1"/>
  <c r="X69" i="89"/>
  <c r="AD69" i="89"/>
  <c r="X68" i="89"/>
  <c r="AD68" i="89"/>
  <c r="AD70" i="89" s="1"/>
  <c r="X63" i="89"/>
  <c r="AD63" i="89"/>
  <c r="AD62" i="89"/>
  <c r="AD64" i="89" s="1"/>
  <c r="X62" i="89"/>
  <c r="X56" i="89"/>
  <c r="AD56" i="89"/>
  <c r="X55" i="89"/>
  <c r="AD55" i="89"/>
  <c r="AD57" i="89" s="1"/>
  <c r="X50" i="89"/>
  <c r="AD50" i="89"/>
  <c r="X49" i="89"/>
  <c r="AD49" i="89"/>
  <c r="AD51" i="89" s="1"/>
  <c r="X40" i="89"/>
  <c r="AD40" i="89"/>
  <c r="X39" i="89"/>
  <c r="AD39" i="89"/>
  <c r="AD41" i="89" s="1"/>
  <c r="X34" i="89"/>
  <c r="AD34" i="89"/>
  <c r="AD33" i="89"/>
  <c r="AD35" i="89" s="1"/>
  <c r="X33" i="89"/>
  <c r="X27" i="89"/>
  <c r="AD27" i="89"/>
  <c r="X26" i="89"/>
  <c r="AD26" i="89"/>
  <c r="AD28" i="89" s="1"/>
  <c r="X20" i="89"/>
  <c r="AD20" i="89"/>
  <c r="X19" i="89"/>
  <c r="AD19" i="89"/>
  <c r="AD21" i="89" s="1"/>
  <c r="X14" i="89"/>
  <c r="AD14" i="89"/>
  <c r="X13" i="89"/>
  <c r="AD13" i="89"/>
  <c r="AD15" i="89" s="1"/>
  <c r="X8" i="89"/>
  <c r="AD8" i="89"/>
  <c r="X7" i="89"/>
  <c r="AD7" i="89"/>
  <c r="AD9" i="89" s="1"/>
  <c r="AE7" i="1"/>
  <c r="V10" i="1"/>
  <c r="B1" i="2" s="1"/>
  <c r="K1" i="2"/>
  <c r="L1" i="2"/>
  <c r="I5" i="1" a="1"/>
  <c r="O15" i="1" l="1"/>
  <c r="AH6" i="2"/>
  <c r="U15" i="1"/>
  <c r="AG6" i="2"/>
  <c r="X64" i="89"/>
  <c r="X57" i="89"/>
  <c r="X15" i="89"/>
  <c r="X28" i="89"/>
  <c r="X9" i="89"/>
  <c r="X21" i="89"/>
  <c r="X189" i="89"/>
  <c r="X51" i="89"/>
  <c r="X35" i="89"/>
  <c r="X70" i="89"/>
  <c r="X146" i="89"/>
  <c r="X97" i="89"/>
  <c r="X41" i="89"/>
  <c r="X103" i="89"/>
  <c r="X77" i="89"/>
  <c r="I5" i="1"/>
  <c r="J5" i="1" s="1"/>
  <c r="X198" i="89"/>
  <c r="X200" i="89" s="1"/>
  <c r="X181" i="89"/>
  <c r="X172" i="89"/>
  <c r="X12" i="89" s="1"/>
  <c r="X139" i="89"/>
  <c r="AG26" i="2"/>
  <c r="AH26" i="2"/>
  <c r="AG25" i="2"/>
  <c r="AH25" i="2"/>
  <c r="AG23" i="2"/>
  <c r="AH23" i="2"/>
  <c r="AG22" i="2"/>
  <c r="AH22" i="2"/>
  <c r="AG21" i="2"/>
  <c r="AH21" i="2"/>
  <c r="AG19" i="2"/>
  <c r="AH19" i="2"/>
  <c r="AG18" i="2"/>
  <c r="AH18" i="2"/>
  <c r="AG17" i="2"/>
  <c r="AH17" i="2"/>
  <c r="AG16" i="2"/>
  <c r="AH16" i="2"/>
  <c r="AG15" i="2"/>
  <c r="AH15" i="2"/>
  <c r="AG14" i="2"/>
  <c r="AH14" i="2"/>
  <c r="AG13" i="2"/>
  <c r="AH13" i="2"/>
  <c r="AG12" i="2"/>
  <c r="AH12" i="2"/>
  <c r="AG11" i="2"/>
  <c r="AH11" i="2"/>
  <c r="AG10" i="2"/>
  <c r="AH10" i="2"/>
  <c r="AG9" i="2"/>
  <c r="AH9" i="2"/>
  <c r="AG8" i="2"/>
  <c r="AH8" i="2"/>
  <c r="AG7" i="2"/>
  <c r="AH7" i="2"/>
  <c r="AG5" i="2"/>
  <c r="AH5" i="2"/>
  <c r="AG4" i="2"/>
  <c r="AH4" i="2"/>
  <c r="R49" i="1"/>
  <c r="O49" i="1"/>
  <c r="R48" i="1"/>
  <c r="U49" i="1"/>
  <c r="O48" i="1"/>
  <c r="R47" i="1"/>
  <c r="U48" i="1"/>
  <c r="O47" i="1"/>
  <c r="R46" i="1"/>
  <c r="U47" i="1"/>
  <c r="O46" i="1"/>
  <c r="R45" i="1"/>
  <c r="U46" i="1"/>
  <c r="O45" i="1"/>
  <c r="R44" i="1"/>
  <c r="U45" i="1"/>
  <c r="O44" i="1"/>
  <c r="U44" i="1"/>
  <c r="R42" i="1"/>
  <c r="O42" i="1"/>
  <c r="U42" i="1"/>
  <c r="O41" i="1"/>
  <c r="R40" i="1"/>
  <c r="U41" i="1"/>
  <c r="O40" i="1"/>
  <c r="R39" i="1"/>
  <c r="U40" i="1"/>
  <c r="O39" i="1"/>
  <c r="U39" i="1"/>
  <c r="O37" i="1"/>
  <c r="U37" i="1"/>
  <c r="O36" i="1"/>
  <c r="R35" i="1"/>
  <c r="U36" i="1"/>
  <c r="O35" i="1"/>
  <c r="U35" i="1"/>
  <c r="O34" i="1"/>
  <c r="R33" i="1"/>
  <c r="U34" i="1"/>
  <c r="O33" i="1"/>
  <c r="U33" i="1"/>
  <c r="O32" i="1"/>
  <c r="R31" i="1"/>
  <c r="U32" i="1"/>
  <c r="O31" i="1"/>
  <c r="R30" i="1"/>
  <c r="U31" i="1"/>
  <c r="O30" i="1"/>
  <c r="R29" i="1"/>
  <c r="U30" i="1"/>
  <c r="O29" i="1"/>
  <c r="R28" i="1"/>
  <c r="U29" i="1"/>
  <c r="O28" i="1"/>
  <c r="U28" i="1"/>
  <c r="O27" i="1"/>
  <c r="U27" i="1"/>
  <c r="O26" i="1"/>
  <c r="U26" i="1"/>
  <c r="O25" i="1"/>
  <c r="U25" i="1"/>
  <c r="O24" i="1"/>
  <c r="R23" i="1"/>
  <c r="U24" i="1"/>
  <c r="O23" i="1"/>
  <c r="R22" i="1"/>
  <c r="U23" i="1"/>
  <c r="O22" i="1"/>
  <c r="R21" i="1"/>
  <c r="U22" i="1"/>
  <c r="O21" i="1"/>
  <c r="R20" i="1"/>
  <c r="U21" i="1"/>
  <c r="O20" i="1"/>
  <c r="U20" i="1"/>
  <c r="O19" i="1"/>
  <c r="R18" i="1"/>
  <c r="U19" i="1"/>
  <c r="O18" i="1"/>
  <c r="R16" i="1"/>
  <c r="U18" i="1"/>
  <c r="O16" i="1"/>
  <c r="U16" i="1"/>
  <c r="R14" i="1"/>
  <c r="O14" i="1"/>
  <c r="U14" i="1"/>
  <c r="R13" i="1"/>
  <c r="O13" i="1"/>
  <c r="U13" i="1"/>
  <c r="R12" i="1"/>
  <c r="W10" i="1"/>
  <c r="O12" i="1"/>
  <c r="U12" i="1"/>
  <c r="X215" i="89"/>
  <c r="X226" i="89"/>
  <c r="X206" i="89"/>
  <c r="X208" i="89" s="1"/>
  <c r="X83" i="89"/>
  <c r="X155" i="89"/>
  <c r="W15" i="1" l="1"/>
  <c r="AA15" i="1"/>
  <c r="Y15" i="1"/>
  <c r="Z15" i="1"/>
  <c r="R6" i="1"/>
  <c r="R5" i="1"/>
  <c r="Y47" i="1"/>
  <c r="Z47" i="1"/>
  <c r="AA47" i="1"/>
  <c r="AA14" i="1"/>
  <c r="Y14" i="1"/>
  <c r="Z14" i="1"/>
  <c r="AA40" i="1"/>
  <c r="Y40" i="1"/>
  <c r="Z40" i="1"/>
  <c r="O6" i="1"/>
  <c r="O5" i="1"/>
  <c r="Z46" i="1"/>
  <c r="Y46" i="1"/>
  <c r="AA46" i="1"/>
  <c r="AA48" i="1"/>
  <c r="Y48" i="1"/>
  <c r="Z48" i="1"/>
  <c r="Z34" i="1"/>
  <c r="Y34" i="1"/>
  <c r="AA34" i="1"/>
  <c r="Z23" i="1"/>
  <c r="AA23" i="1"/>
  <c r="Y23" i="1"/>
  <c r="AA27" i="1"/>
  <c r="Z27" i="1"/>
  <c r="Y27" i="1"/>
  <c r="Z44" i="1"/>
  <c r="AA44" i="1"/>
  <c r="Y44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6" i="1"/>
  <c r="W14" i="1"/>
  <c r="W13" i="1"/>
  <c r="W12" i="1"/>
  <c r="AA30" i="1"/>
  <c r="Z30" i="1"/>
  <c r="Y30" i="1"/>
  <c r="AA25" i="1"/>
  <c r="Z25" i="1"/>
  <c r="Y25" i="1"/>
  <c r="AA33" i="1"/>
  <c r="Z33" i="1"/>
  <c r="Y33" i="1"/>
  <c r="AA42" i="1"/>
  <c r="Z42" i="1"/>
  <c r="Y42" i="1"/>
  <c r="AA31" i="1"/>
  <c r="Z31" i="1"/>
  <c r="Y31" i="1"/>
  <c r="AA41" i="1"/>
  <c r="Y41" i="1"/>
  <c r="Z41" i="1"/>
  <c r="AA18" i="1"/>
  <c r="Y18" i="1"/>
  <c r="Z18" i="1"/>
  <c r="U9" i="1"/>
  <c r="AA26" i="1"/>
  <c r="Z26" i="1"/>
  <c r="Y26" i="1"/>
  <c r="AA19" i="1"/>
  <c r="Z19" i="1"/>
  <c r="Y19" i="1"/>
  <c r="AA45" i="1"/>
  <c r="Y45" i="1"/>
  <c r="Z45" i="1"/>
  <c r="U6" i="1"/>
  <c r="AA37" i="1"/>
  <c r="Z37" i="1"/>
  <c r="Y37" i="1"/>
  <c r="AA22" i="1"/>
  <c r="Z22" i="1"/>
  <c r="Y22" i="1"/>
  <c r="AA13" i="1"/>
  <c r="Y13" i="1"/>
  <c r="Z13" i="1"/>
  <c r="Z39" i="1"/>
  <c r="AA39" i="1"/>
  <c r="Y39" i="1"/>
  <c r="AA16" i="1"/>
  <c r="Y16" i="1"/>
  <c r="Z16" i="1"/>
  <c r="Z49" i="1"/>
  <c r="AA49" i="1"/>
  <c r="Y49" i="1"/>
  <c r="AA35" i="1"/>
  <c r="Z35" i="1"/>
  <c r="Y35" i="1"/>
  <c r="AA36" i="1"/>
  <c r="Z36" i="1"/>
  <c r="Y36" i="1"/>
  <c r="AA24" i="1"/>
  <c r="Z24" i="1"/>
  <c r="Y24" i="1"/>
  <c r="AA32" i="1"/>
  <c r="Z32" i="1"/>
  <c r="Y32" i="1"/>
  <c r="Z20" i="1"/>
  <c r="AA20" i="1"/>
  <c r="Y20" i="1"/>
  <c r="U5" i="1"/>
  <c r="AA28" i="1"/>
  <c r="Z28" i="1"/>
  <c r="Y28" i="1"/>
  <c r="AA12" i="1"/>
  <c r="Y12" i="1"/>
  <c r="Z12" i="1"/>
  <c r="AA21" i="1"/>
  <c r="Z21" i="1"/>
  <c r="Y21" i="1"/>
  <c r="AA29" i="1"/>
  <c r="Z29" i="1"/>
  <c r="Y29" i="1"/>
  <c r="C5" i="1" a="1"/>
  <c r="AA6" i="1" l="1"/>
  <c r="AB6" i="1" s="1"/>
  <c r="Z10" i="1"/>
  <c r="AA5" i="1"/>
  <c r="C5" i="1"/>
  <c r="D5" i="1" s="1"/>
  <c r="U8" i="1"/>
  <c r="U7" i="1"/>
  <c r="W5" i="1"/>
  <c r="W6" i="1"/>
  <c r="O8" i="1"/>
  <c r="O7" i="1"/>
  <c r="R8" i="1"/>
  <c r="R7" i="1"/>
  <c r="AA7" i="1" l="1"/>
  <c r="AA10" i="1" s="1"/>
  <c r="AB5" i="1"/>
  <c r="AA8" i="1"/>
  <c r="U10" i="1"/>
  <c r="W7" i="1"/>
  <c r="I4" i="1" a="1"/>
  <c r="I4" i="1" l="1"/>
  <c r="J4" i="1" s="1"/>
  <c r="C4" i="1" a="1"/>
  <c r="C4" i="1" l="1"/>
  <c r="D4" i="1" s="1"/>
  <c r="AC3" i="1" a="1"/>
  <c r="X6" i="1" l="1"/>
  <c r="Y6" i="1" s="1"/>
  <c r="Z5" i="1"/>
  <c r="Z6" i="1"/>
  <c r="X5" i="1"/>
  <c r="Y5" i="1" s="1"/>
  <c r="AC3" i="1"/>
  <c r="AD3" i="1" s="1"/>
  <c r="U3" i="1"/>
  <c r="Y7" i="1" l="1"/>
  <c r="Z7" i="1"/>
  <c r="I3" i="1" a="1"/>
  <c r="I3" i="1" l="1"/>
  <c r="J3" i="1" s="1"/>
  <c r="C3" i="1" a="1"/>
  <c r="C3" i="1" l="1"/>
  <c r="D3" i="1" s="1"/>
  <c r="W2" i="1" l="1"/>
  <c r="I2" i="1" a="1"/>
  <c r="I2" i="1" l="1"/>
  <c r="J2" i="1" s="1"/>
  <c r="C2" i="1" a="1"/>
  <c r="C2" i="1" l="1"/>
  <c r="D2" i="1" s="1"/>
  <c r="T1" i="1"/>
  <c r="R1" i="1"/>
  <c r="M1" i="1"/>
  <c r="I1" i="1" a="1"/>
  <c r="S1" i="1" l="1"/>
  <c r="L6" i="1" s="1"/>
  <c r="I1" i="1"/>
  <c r="J1" i="1" s="1"/>
  <c r="C1" i="1" a="1"/>
  <c r="C1" i="1" l="1"/>
  <c r="D1" i="1" s="1"/>
  <c r="A11" i="24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K9" i="529"/>
  <c r="M9" i="529" s="1"/>
  <c r="M8" i="529"/>
  <c r="K8" i="529"/>
  <c r="M6" i="529"/>
  <c r="K6" i="529"/>
  <c r="K5" i="529"/>
  <c r="M5" i="529" s="1"/>
  <c r="Q48" i="446"/>
  <c r="Q47" i="446"/>
  <c r="Q46" i="446"/>
  <c r="Q45" i="446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G55" i="338"/>
  <c r="AF55" i="338"/>
  <c r="O55" i="338" l="1"/>
  <c r="I55" i="338" a="1"/>
  <c r="I55" i="338" l="1"/>
  <c r="AT55" i="338" l="1"/>
  <c r="G55" i="338" a="1"/>
  <c r="G55" i="338" l="1"/>
  <c r="AO55" i="338" l="1"/>
  <c r="K55" i="338"/>
  <c r="AD55" i="338" l="1"/>
  <c r="AB55" i="338"/>
  <c r="Z55" i="338"/>
  <c r="I54" i="338" a="1"/>
  <c r="N55" i="338" l="1"/>
  <c r="I54" i="338"/>
  <c r="J54" i="338" a="1"/>
  <c r="G54" i="338" a="1"/>
  <c r="J54" i="338" l="1"/>
  <c r="G54" i="338"/>
  <c r="A54" i="338"/>
  <c r="H54" i="338" a="1"/>
  <c r="H54" i="338" l="1"/>
  <c r="O54" i="338"/>
  <c r="K54" i="338"/>
  <c r="L54" i="338" a="1"/>
  <c r="V54" i="338" a="1"/>
  <c r="U54" i="338" a="1"/>
  <c r="U54" i="338" l="1"/>
  <c r="V54" i="338"/>
  <c r="L54" i="338"/>
  <c r="AD54" i="338"/>
  <c r="Z54" i="338"/>
  <c r="AB54" i="338"/>
  <c r="I53" i="338" a="1"/>
  <c r="N54" i="338" l="1"/>
  <c r="I53" i="338"/>
  <c r="J53" i="338" a="1"/>
  <c r="G53" i="338" a="1"/>
  <c r="J53" i="338" l="1"/>
  <c r="G53" i="338"/>
  <c r="A53" i="338"/>
  <c r="H53" i="338" a="1"/>
  <c r="H53" i="338" l="1"/>
  <c r="O53" i="338"/>
  <c r="K53" i="338"/>
  <c r="L53" i="338" a="1"/>
  <c r="V53" i="338" a="1"/>
  <c r="U53" i="338" a="1"/>
  <c r="U53" i="338" l="1"/>
  <c r="V53" i="338"/>
  <c r="L53" i="338"/>
  <c r="AD53" i="338"/>
  <c r="AB53" i="338"/>
  <c r="Z53" i="338"/>
  <c r="I52" i="338" a="1"/>
  <c r="N53" i="338" l="1"/>
  <c r="I52" i="338"/>
  <c r="J52" i="338" a="1"/>
  <c r="G52" i="338" a="1"/>
  <c r="J52" i="338" l="1"/>
  <c r="G52" i="338"/>
  <c r="A52" i="338"/>
  <c r="H52" i="338" a="1"/>
  <c r="H52" i="338" l="1"/>
  <c r="O52" i="338"/>
  <c r="K52" i="338"/>
  <c r="L52" i="338" a="1"/>
  <c r="U52" i="338" a="1"/>
  <c r="V52" i="338" a="1"/>
  <c r="V52" i="338" l="1"/>
  <c r="U52" i="338"/>
  <c r="L52" i="338"/>
  <c r="AD52" i="338"/>
  <c r="AB52" i="338"/>
  <c r="Z52" i="338"/>
  <c r="I51" i="338" a="1"/>
  <c r="N52" i="338" l="1"/>
  <c r="I51" i="338"/>
  <c r="J51" i="338" a="1"/>
  <c r="G51" i="338" a="1"/>
  <c r="J51" i="338" l="1"/>
  <c r="G51" i="338"/>
  <c r="A51" i="338"/>
  <c r="H51" i="338" a="1"/>
  <c r="H51" i="338" l="1"/>
  <c r="O51" i="338"/>
  <c r="K51" i="338"/>
  <c r="L51" i="338" a="1"/>
  <c r="U51" i="338" a="1"/>
  <c r="V51" i="338" a="1"/>
  <c r="V51" i="338" l="1"/>
  <c r="U51" i="338"/>
  <c r="L51" i="338"/>
  <c r="AD51" i="338"/>
  <c r="AB51" i="338"/>
  <c r="Z51" i="338"/>
  <c r="I50" i="338" a="1"/>
  <c r="N51" i="338" l="1"/>
  <c r="I50" i="338"/>
  <c r="J50" i="338" a="1"/>
  <c r="G50" i="338" a="1"/>
  <c r="J50" i="338" l="1"/>
  <c r="G50" i="338"/>
  <c r="A50" i="338"/>
  <c r="H50" i="338" a="1"/>
  <c r="H50" i="338" l="1"/>
  <c r="O50" i="338"/>
  <c r="K50" i="338"/>
  <c r="L50" i="338" a="1"/>
  <c r="U50" i="338" a="1"/>
  <c r="V50" i="338" a="1"/>
  <c r="V50" i="338" l="1"/>
  <c r="U50" i="338"/>
  <c r="L50" i="338"/>
  <c r="AD50" i="338"/>
  <c r="AB50" i="338"/>
  <c r="Z50" i="338"/>
  <c r="I49" i="338" a="1"/>
  <c r="N50" i="338" l="1"/>
  <c r="I49" i="338"/>
  <c r="J49" i="338" a="1"/>
  <c r="G49" i="338" a="1"/>
  <c r="J49" i="338" l="1"/>
  <c r="G49" i="338"/>
  <c r="A49" i="338"/>
  <c r="H49" i="338" a="1"/>
  <c r="H49" i="338" l="1"/>
  <c r="O49" i="338"/>
  <c r="K49" i="338"/>
  <c r="L49" i="338" a="1"/>
  <c r="V49" i="338" a="1"/>
  <c r="U49" i="338" a="1"/>
  <c r="U49" i="338" l="1"/>
  <c r="V49" i="338"/>
  <c r="L49" i="338"/>
  <c r="AD49" i="338"/>
  <c r="AB49" i="338"/>
  <c r="Z49" i="338"/>
  <c r="I48" i="338" a="1"/>
  <c r="N49" i="338" l="1"/>
  <c r="I48" i="338"/>
  <c r="J48" i="338" a="1"/>
  <c r="G48" i="338" a="1"/>
  <c r="J48" i="338" l="1"/>
  <c r="G48" i="338"/>
  <c r="A48" i="338"/>
  <c r="H48" i="338" a="1"/>
  <c r="H48" i="338" l="1"/>
  <c r="O48" i="338"/>
  <c r="K48" i="338"/>
  <c r="L48" i="338" a="1"/>
  <c r="U48" i="338" a="1"/>
  <c r="V48" i="338" a="1"/>
  <c r="V48" i="338" l="1"/>
  <c r="U48" i="338"/>
  <c r="L48" i="338"/>
  <c r="AD48" i="338"/>
  <c r="AB48" i="338"/>
  <c r="Z48" i="338"/>
  <c r="I47" i="338" a="1"/>
  <c r="N48" i="338" l="1"/>
  <c r="I47" i="338"/>
  <c r="J47" i="338" a="1"/>
  <c r="G47" i="338" a="1"/>
  <c r="J47" i="338" l="1"/>
  <c r="G47" i="338"/>
  <c r="A47" i="338"/>
  <c r="H47" i="338" a="1"/>
  <c r="H47" i="338" l="1"/>
  <c r="O47" i="338"/>
  <c r="K47" i="338"/>
  <c r="L47" i="338" a="1"/>
  <c r="V47" i="338" a="1"/>
  <c r="U47" i="338" a="1"/>
  <c r="U47" i="338" l="1"/>
  <c r="V47" i="338"/>
  <c r="L47" i="338"/>
  <c r="AD47" i="338"/>
  <c r="AB47" i="338"/>
  <c r="Z47" i="338"/>
  <c r="I46" i="338" a="1"/>
  <c r="N47" i="338" l="1"/>
  <c r="I46" i="338"/>
  <c r="J46" i="338" a="1"/>
  <c r="G46" i="338" a="1"/>
  <c r="J46" i="338" l="1"/>
  <c r="G46" i="338"/>
  <c r="A46" i="338"/>
  <c r="H46" i="338" a="1"/>
  <c r="H46" i="338" l="1"/>
  <c r="O46" i="338"/>
  <c r="K46" i="338"/>
  <c r="L46" i="338" a="1"/>
  <c r="U46" i="338" a="1"/>
  <c r="V46" i="338" a="1"/>
  <c r="V46" i="338" l="1"/>
  <c r="U46" i="338"/>
  <c r="L46" i="338"/>
  <c r="AD46" i="338"/>
  <c r="AB46" i="338"/>
  <c r="Z46" i="338"/>
  <c r="I45" i="338" a="1"/>
  <c r="N46" i="338" l="1"/>
  <c r="I45" i="338"/>
  <c r="J45" i="338" a="1"/>
  <c r="G45" i="338" a="1"/>
  <c r="J45" i="338" l="1"/>
  <c r="G45" i="338"/>
  <c r="A45" i="338"/>
  <c r="H45" i="338" a="1"/>
  <c r="H45" i="338" l="1"/>
  <c r="O45" i="338"/>
  <c r="K45" i="338"/>
  <c r="U45" i="338" a="1"/>
  <c r="V45" i="338" a="1"/>
  <c r="L45" i="338" a="1"/>
  <c r="L45" i="338" l="1"/>
  <c r="V45" i="338"/>
  <c r="U45" i="338"/>
  <c r="AD45" i="338"/>
  <c r="AB45" i="338"/>
  <c r="Z45" i="338"/>
  <c r="I44" i="338" a="1"/>
  <c r="N45" i="338" l="1"/>
  <c r="I44" i="338"/>
  <c r="J44" i="338" a="1"/>
  <c r="G44" i="338" a="1"/>
  <c r="J44" i="338" l="1"/>
  <c r="G44" i="338"/>
  <c r="A44" i="338"/>
  <c r="H44" i="338" a="1"/>
  <c r="H44" i="338" l="1"/>
  <c r="O44" i="338"/>
  <c r="K44" i="338"/>
  <c r="L44" i="338" a="1"/>
  <c r="U44" i="338" a="1"/>
  <c r="V44" i="338" a="1"/>
  <c r="V44" i="338" l="1"/>
  <c r="U44" i="338"/>
  <c r="L44" i="338"/>
  <c r="AD44" i="338"/>
  <c r="AB44" i="338"/>
  <c r="Z44" i="338"/>
  <c r="N44" i="338" l="1"/>
  <c r="O42" i="338"/>
  <c r="I42" i="338" a="1"/>
  <c r="I42" i="338" l="1"/>
  <c r="J42" i="338" a="1"/>
  <c r="G42" i="338" a="1"/>
  <c r="J42" i="338" l="1"/>
  <c r="G42" i="338"/>
  <c r="H42" i="338" a="1"/>
  <c r="H42" i="338" l="1"/>
  <c r="K42" i="338"/>
  <c r="L42" i="338" a="1"/>
  <c r="U42" i="338" a="1"/>
  <c r="V42" i="338" a="1"/>
  <c r="V42" i="338" l="1"/>
  <c r="U42" i="338"/>
  <c r="L42" i="338"/>
  <c r="AD42" i="338"/>
  <c r="AB42" i="338"/>
  <c r="Z42" i="338"/>
  <c r="N42" i="338" l="1"/>
  <c r="O41" i="338"/>
  <c r="I41" i="338" a="1"/>
  <c r="I41" i="338" l="1"/>
  <c r="J41" i="338" a="1"/>
  <c r="G41" i="338" a="1"/>
  <c r="J41" i="338" l="1"/>
  <c r="G41" i="338"/>
  <c r="H41" i="338" a="1"/>
  <c r="H41" i="338" l="1"/>
  <c r="K41" i="338"/>
  <c r="L41" i="338" a="1"/>
  <c r="V41" i="338" a="1"/>
  <c r="U41" i="338" a="1"/>
  <c r="U41" i="338" l="1"/>
  <c r="V41" i="338"/>
  <c r="L41" i="338"/>
  <c r="AD41" i="338"/>
  <c r="AB41" i="338"/>
  <c r="Z41" i="338"/>
  <c r="I40" i="338" a="1"/>
  <c r="N41" i="338" l="1"/>
  <c r="I40" i="338"/>
  <c r="J40" i="338" a="1"/>
  <c r="G40" i="338" a="1"/>
  <c r="J40" i="338" l="1"/>
  <c r="G40" i="338"/>
  <c r="A40" i="338"/>
  <c r="H40" i="338" a="1"/>
  <c r="H40" i="338" l="1"/>
  <c r="O40" i="338"/>
  <c r="K40" i="338"/>
  <c r="L40" i="338" a="1"/>
  <c r="V40" i="338" a="1"/>
  <c r="U40" i="338" a="1"/>
  <c r="U40" i="338" l="1"/>
  <c r="V40" i="338"/>
  <c r="L40" i="338"/>
  <c r="AD40" i="338"/>
  <c r="Z40" i="338"/>
  <c r="AB40" i="338"/>
  <c r="I39" i="338" a="1"/>
  <c r="N40" i="338" l="1"/>
  <c r="I39" i="338"/>
  <c r="J39" i="338" a="1"/>
  <c r="G39" i="338" a="1"/>
  <c r="J39" i="338" l="1"/>
  <c r="G39" i="338"/>
  <c r="A39" i="338"/>
  <c r="H39" i="338" a="1"/>
  <c r="H39" i="338" l="1"/>
  <c r="O39" i="338"/>
  <c r="K39" i="338"/>
  <c r="L39" i="338" a="1"/>
  <c r="V39" i="338" a="1"/>
  <c r="U39" i="338" a="1"/>
  <c r="U39" i="338" l="1"/>
  <c r="V39" i="338"/>
  <c r="L39" i="338"/>
  <c r="AD39" i="338"/>
  <c r="AB39" i="338"/>
  <c r="Z39" i="338"/>
  <c r="I38" i="338" a="1"/>
  <c r="N39" i="338" l="1"/>
  <c r="I38" i="338"/>
  <c r="J38" i="338" a="1"/>
  <c r="G38" i="338" a="1"/>
  <c r="J38" i="338" l="1"/>
  <c r="G38" i="338"/>
  <c r="A38" i="338"/>
  <c r="H38" i="338" a="1"/>
  <c r="H38" i="338" l="1"/>
  <c r="O38" i="338"/>
  <c r="K38" i="338"/>
  <c r="L38" i="338" a="1"/>
  <c r="U38" i="338" a="1"/>
  <c r="V38" i="338" a="1"/>
  <c r="V38" i="338" l="1"/>
  <c r="U38" i="338"/>
  <c r="L38" i="338"/>
  <c r="AD38" i="338"/>
  <c r="Z38" i="338"/>
  <c r="AB38" i="338"/>
  <c r="I37" i="338" a="1"/>
  <c r="N38" i="338" l="1"/>
  <c r="I37" i="338"/>
  <c r="J37" i="338" a="1"/>
  <c r="G37" i="338" a="1"/>
  <c r="J37" i="338" l="1"/>
  <c r="G37" i="338"/>
  <c r="A37" i="338"/>
  <c r="H37" i="338" a="1"/>
  <c r="H37" i="338" l="1"/>
  <c r="O37" i="338"/>
  <c r="K37" i="338"/>
  <c r="L37" i="338" a="1"/>
  <c r="V37" i="338" a="1"/>
  <c r="U37" i="338" a="1"/>
  <c r="U37" i="338" l="1"/>
  <c r="V37" i="338"/>
  <c r="L37" i="338"/>
  <c r="AD37" i="338"/>
  <c r="AB37" i="338"/>
  <c r="Z37" i="338"/>
  <c r="I36" i="338" a="1"/>
  <c r="N37" i="338" l="1"/>
  <c r="I36" i="338"/>
  <c r="J36" i="338" a="1"/>
  <c r="G36" i="338" a="1"/>
  <c r="J36" i="338" l="1"/>
  <c r="G36" i="338"/>
  <c r="A36" i="338"/>
  <c r="H36" i="338" a="1"/>
  <c r="H36" i="338" l="1"/>
  <c r="O36" i="338"/>
  <c r="K36" i="338"/>
  <c r="V36" i="338" a="1"/>
  <c r="U36" i="338" a="1"/>
  <c r="L36" i="338" a="1"/>
  <c r="L36" i="338" l="1"/>
  <c r="U36" i="338"/>
  <c r="V36" i="338"/>
  <c r="AD36" i="338"/>
  <c r="AB36" i="338"/>
  <c r="Z36" i="338"/>
  <c r="I35" i="338" a="1"/>
  <c r="N36" i="338" l="1"/>
  <c r="I35" i="338"/>
  <c r="J35" i="338" a="1"/>
  <c r="G35" i="338" a="1"/>
  <c r="J35" i="338" l="1"/>
  <c r="G35" i="338"/>
  <c r="A35" i="338"/>
  <c r="H35" i="338" a="1"/>
  <c r="H35" i="338" l="1"/>
  <c r="O35" i="338"/>
  <c r="K35" i="338"/>
  <c r="L35" i="338" a="1"/>
  <c r="U35" i="338" a="1"/>
  <c r="V35" i="338" a="1"/>
  <c r="V35" i="338" l="1"/>
  <c r="U35" i="338"/>
  <c r="L35" i="338"/>
  <c r="AD35" i="338"/>
  <c r="AB35" i="338"/>
  <c r="Z35" i="338"/>
  <c r="I34" i="338" a="1"/>
  <c r="N35" i="338" l="1"/>
  <c r="I34" i="338"/>
  <c r="J34" i="338" a="1"/>
  <c r="G34" i="338" a="1"/>
  <c r="J34" i="338" l="1"/>
  <c r="G34" i="338"/>
  <c r="A34" i="338"/>
  <c r="H34" i="338" a="1"/>
  <c r="H34" i="338" l="1"/>
  <c r="O34" i="338"/>
  <c r="K34" i="338"/>
  <c r="L34" i="338" a="1"/>
  <c r="V34" i="338" a="1"/>
  <c r="U34" i="338" a="1"/>
  <c r="U34" i="338" l="1"/>
  <c r="V34" i="338"/>
  <c r="L34" i="338"/>
  <c r="AD34" i="338"/>
  <c r="AB34" i="338"/>
  <c r="Z34" i="338"/>
  <c r="I33" i="338" a="1"/>
  <c r="N34" i="338" l="1"/>
  <c r="I33" i="338"/>
  <c r="J33" i="338" a="1"/>
  <c r="G33" i="338" a="1"/>
  <c r="J33" i="338" l="1"/>
  <c r="G33" i="338"/>
  <c r="A33" i="338"/>
  <c r="H33" i="338" a="1"/>
  <c r="H33" i="338" l="1"/>
  <c r="O33" i="338"/>
  <c r="K33" i="338"/>
  <c r="L33" i="338" a="1"/>
  <c r="U33" i="338" a="1"/>
  <c r="V33" i="338" a="1"/>
  <c r="V33" i="338" l="1"/>
  <c r="U33" i="338"/>
  <c r="L33" i="338"/>
  <c r="AD33" i="338"/>
  <c r="AB33" i="338"/>
  <c r="Z33" i="338"/>
  <c r="I32" i="338" a="1"/>
  <c r="N33" i="338" l="1"/>
  <c r="I32" i="338"/>
  <c r="J32" i="338" a="1"/>
  <c r="G32" i="338" a="1"/>
  <c r="J32" i="338" l="1"/>
  <c r="G32" i="338"/>
  <c r="A32" i="338"/>
  <c r="H32" i="338" a="1"/>
  <c r="H32" i="338" l="1"/>
  <c r="O32" i="338"/>
  <c r="K32" i="338"/>
  <c r="L32" i="338" a="1"/>
  <c r="V32" i="338" a="1"/>
  <c r="U32" i="338" a="1"/>
  <c r="U32" i="338" l="1"/>
  <c r="V32" i="338"/>
  <c r="L32" i="338"/>
  <c r="AD32" i="338"/>
  <c r="Z32" i="338"/>
  <c r="AB32" i="338"/>
  <c r="I31" i="338" a="1"/>
  <c r="N32" i="338" l="1"/>
  <c r="I31" i="338"/>
  <c r="J31" i="338" a="1"/>
  <c r="G31" i="338" a="1"/>
  <c r="J31" i="338" l="1"/>
  <c r="G31" i="338"/>
  <c r="A31" i="338"/>
  <c r="H31" i="338" a="1"/>
  <c r="H31" i="338" l="1"/>
  <c r="O31" i="338"/>
  <c r="K31" i="338"/>
  <c r="L31" i="338" a="1"/>
  <c r="V31" i="338" a="1"/>
  <c r="U31" i="338" a="1"/>
  <c r="U31" i="338" l="1"/>
  <c r="V31" i="338"/>
  <c r="L31" i="338"/>
  <c r="AD31" i="338"/>
  <c r="AB31" i="338"/>
  <c r="Z31" i="338"/>
  <c r="I30" i="338" a="1"/>
  <c r="N31" i="338" l="1"/>
  <c r="I30" i="338"/>
  <c r="J30" i="338" a="1"/>
  <c r="G30" i="338" a="1"/>
  <c r="J30" i="338" l="1"/>
  <c r="G30" i="338"/>
  <c r="A30" i="338"/>
  <c r="H30" i="338" a="1"/>
  <c r="H30" i="338" l="1"/>
  <c r="O30" i="338"/>
  <c r="K30" i="338"/>
  <c r="L30" i="338" a="1"/>
  <c r="U30" i="338" a="1"/>
  <c r="V30" i="338" a="1"/>
  <c r="V30" i="338" l="1"/>
  <c r="U30" i="338"/>
  <c r="L30" i="338"/>
  <c r="AD30" i="338"/>
  <c r="AB30" i="338"/>
  <c r="Z30" i="338"/>
  <c r="I29" i="338" a="1"/>
  <c r="N30" i="338" l="1"/>
  <c r="I29" i="338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L29" i="338" a="1"/>
  <c r="V29" i="338" a="1"/>
  <c r="U29" i="338" a="1"/>
  <c r="U29" i="338" l="1"/>
  <c r="V29" i="338"/>
  <c r="L29" i="338"/>
  <c r="AD29" i="338"/>
  <c r="AB29" i="338"/>
  <c r="Z29" i="338"/>
  <c r="N29" i="338" l="1"/>
  <c r="O18" i="338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L18" i="338" a="1"/>
  <c r="V18" i="338" a="1"/>
  <c r="U18" i="338" a="1"/>
  <c r="U18" i="338" l="1"/>
  <c r="V18" i="338"/>
  <c r="L18" i="338"/>
  <c r="AD18" i="338"/>
  <c r="AB18" i="338"/>
  <c r="Z18" i="338"/>
  <c r="I17" i="338" a="1"/>
  <c r="N18" i="338" l="1"/>
  <c r="I17" i="338"/>
  <c r="J17" i="338" a="1"/>
  <c r="G17" i="338" a="1"/>
  <c r="J17" i="338" l="1"/>
  <c r="G17" i="338"/>
  <c r="A17" i="338"/>
  <c r="H17" i="338" a="1"/>
  <c r="H17" i="338" l="1"/>
  <c r="O17" i="338"/>
  <c r="K17" i="338"/>
  <c r="L17" i="338" a="1"/>
  <c r="V17" i="338" a="1"/>
  <c r="U17" i="338" a="1"/>
  <c r="U17" i="338" l="1"/>
  <c r="V17" i="338"/>
  <c r="L17" i="338"/>
  <c r="AD17" i="338"/>
  <c r="AB17" i="338"/>
  <c r="Z17" i="338"/>
  <c r="I16" i="338" a="1"/>
  <c r="N17" i="338" l="1"/>
  <c r="I16" i="338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L16" i="338" a="1"/>
  <c r="U16" i="338" a="1"/>
  <c r="V16" i="338" a="1"/>
  <c r="V16" i="338" l="1"/>
  <c r="U16" i="338"/>
  <c r="L16" i="338"/>
  <c r="AD16" i="338"/>
  <c r="AB16" i="338"/>
  <c r="Z16" i="338"/>
  <c r="I15" i="338" a="1"/>
  <c r="N16" i="338" l="1"/>
  <c r="I15" i="338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L15" i="338" a="1"/>
  <c r="V15" i="338" a="1"/>
  <c r="U15" i="338" a="1"/>
  <c r="U15" i="338" l="1"/>
  <c r="V15" i="338"/>
  <c r="L15" i="338"/>
  <c r="AD15" i="338"/>
  <c r="AB15" i="338"/>
  <c r="Z15" i="338"/>
  <c r="N15" i="338" l="1"/>
  <c r="AG14" i="338"/>
  <c r="I14" i="338" a="1"/>
  <c r="I14" i="338" l="1"/>
  <c r="AT14" i="338" l="1"/>
  <c r="G14" i="338" a="1"/>
  <c r="G14" i="338" l="1"/>
  <c r="D14" i="338"/>
  <c r="A14" i="338"/>
  <c r="H14" i="338" a="1"/>
  <c r="H14" i="338" l="1"/>
  <c r="O14" i="338"/>
  <c r="K14" i="338"/>
  <c r="L14" i="338" a="1"/>
  <c r="V14" i="338" a="1"/>
  <c r="U14" i="338" a="1"/>
  <c r="U14" i="338" l="1"/>
  <c r="V14" i="338"/>
  <c r="L14" i="338"/>
  <c r="AD14" i="338"/>
  <c r="AB14" i="338"/>
  <c r="Z14" i="338"/>
  <c r="I13" i="338" a="1"/>
  <c r="N14" i="338" l="1"/>
  <c r="I13" i="338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L13" i="338" a="1"/>
  <c r="V13" i="338" a="1"/>
  <c r="U13" i="338" a="1"/>
  <c r="U13" i="338" l="1"/>
  <c r="V13" i="338"/>
  <c r="L13" i="338"/>
  <c r="AD13" i="338"/>
  <c r="AB13" i="338"/>
  <c r="Z13" i="338"/>
  <c r="I12" i="338" a="1"/>
  <c r="N13" i="338" l="1"/>
  <c r="I12" i="338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L12" i="338" a="1"/>
  <c r="V12" i="338" a="1"/>
  <c r="U12" i="338" a="1"/>
  <c r="U12" i="338" l="1"/>
  <c r="V12" i="338"/>
  <c r="L12" i="338"/>
  <c r="AD12" i="338"/>
  <c r="AB12" i="338"/>
  <c r="Z12" i="338"/>
  <c r="I11" i="338" a="1"/>
  <c r="N12" i="338" l="1"/>
  <c r="I11" i="338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L11" i="338" a="1"/>
  <c r="U11" i="338" a="1"/>
  <c r="V11" i="338" a="1"/>
  <c r="V11" i="338" l="1"/>
  <c r="U11" i="338"/>
  <c r="L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L10" i="338" a="1"/>
  <c r="V10" i="338" a="1"/>
  <c r="U10" i="338" a="1"/>
  <c r="U10" i="338" l="1"/>
  <c r="V10" i="338"/>
  <c r="L10" i="338"/>
  <c r="AD10" i="338"/>
  <c r="AB10" i="338"/>
  <c r="Z10" i="338"/>
  <c r="I9" i="338" a="1"/>
  <c r="N10" i="338" l="1"/>
  <c r="I9" i="338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L9" i="338" a="1"/>
  <c r="V9" i="338" a="1"/>
  <c r="U9" i="338" a="1"/>
  <c r="U9" i="338" l="1"/>
  <c r="V9" i="338"/>
  <c r="L9" i="338"/>
  <c r="AD9" i="338"/>
  <c r="Z9" i="338"/>
  <c r="AB9" i="338"/>
  <c r="I8" i="338" a="1"/>
  <c r="N9" i="338" l="1"/>
  <c r="I8" i="338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H8" i="338" a="1"/>
  <c r="AP18" i="338" a="1"/>
  <c r="AU11" i="338" a="1"/>
  <c r="AP16" i="338" a="1"/>
  <c r="AP40" i="338" a="1"/>
  <c r="AU12" i="338" a="1"/>
  <c r="AP52" i="338" a="1"/>
  <c r="AP53" i="338" a="1"/>
  <c r="AP30" i="338" a="1"/>
  <c r="AP45" i="338" a="1"/>
  <c r="AP54" i="338" a="1"/>
  <c r="AP13" i="338" a="1"/>
  <c r="AP41" i="338" a="1"/>
  <c r="AP46" i="338" a="1"/>
  <c r="AP38" i="338" a="1"/>
  <c r="AP29" i="338" a="1"/>
  <c r="AU41" i="338" a="1"/>
  <c r="AU48" i="338" a="1"/>
  <c r="AU47" i="338" a="1"/>
  <c r="AP33" i="338" a="1"/>
  <c r="AU45" i="338" a="1"/>
  <c r="AP42" i="338" a="1"/>
  <c r="AP49" i="338" a="1"/>
  <c r="AU31" i="338" a="1"/>
  <c r="AU33" i="338" a="1"/>
  <c r="AP11" i="338" a="1"/>
  <c r="AU49" i="338" a="1"/>
  <c r="AU51" i="338" a="1"/>
  <c r="AP34" i="338" a="1"/>
  <c r="AP37" i="338" a="1"/>
  <c r="AU9" i="338" a="1"/>
  <c r="AP10" i="338" a="1"/>
  <c r="AP17" i="338" a="1"/>
  <c r="AU52" i="338" a="1"/>
  <c r="AP39" i="338" a="1"/>
  <c r="AP50" i="338" a="1"/>
  <c r="AP31" i="338" a="1"/>
  <c r="AU35" i="338" a="1"/>
  <c r="AP8" i="338" a="1"/>
  <c r="AU40" i="338" a="1"/>
  <c r="AU16" i="338" a="1"/>
  <c r="AU38" i="338" a="1"/>
  <c r="AP15" i="338" a="1"/>
  <c r="AP51" i="338" a="1"/>
  <c r="AU34" i="338" a="1"/>
  <c r="AP12" i="338" a="1"/>
  <c r="AU36" i="338" a="1"/>
  <c r="AU39" i="338" a="1"/>
  <c r="AP32" i="338" a="1"/>
  <c r="AU17" i="338" a="1"/>
  <c r="AU37" i="338" a="1"/>
  <c r="AP9" i="338" a="1"/>
  <c r="AU15" i="338" a="1"/>
  <c r="AU54" i="338" a="1"/>
  <c r="AU13" i="338" a="1"/>
  <c r="AU44" i="338" a="1"/>
  <c r="AU42" i="338" a="1"/>
  <c r="AU29" i="338" a="1"/>
  <c r="AU30" i="338" a="1"/>
  <c r="AP14" i="338" a="1"/>
  <c r="AP35" i="338" a="1"/>
  <c r="AP44" i="338" a="1"/>
  <c r="AP47" i="338" a="1"/>
  <c r="AP48" i="338" a="1"/>
  <c r="AU32" i="338" a="1"/>
  <c r="AU46" i="338" a="1"/>
  <c r="AU50" i="338" a="1"/>
  <c r="AU8" i="338" a="1"/>
  <c r="AU10" i="338" a="1"/>
  <c r="AU18" i="338" a="1"/>
  <c r="AU53" i="338" a="1"/>
  <c r="AP36" i="338" a="1"/>
  <c r="H8" i="338" l="1"/>
  <c r="AP36" i="338"/>
  <c r="AU53" i="338"/>
  <c r="AU18" i="338"/>
  <c r="AU10" i="338"/>
  <c r="AU8" i="338"/>
  <c r="AU50" i="338"/>
  <c r="AU46" i="338"/>
  <c r="AU32" i="338"/>
  <c r="AP48" i="338"/>
  <c r="AP47" i="338"/>
  <c r="AP44" i="338"/>
  <c r="AP35" i="338"/>
  <c r="AP14" i="338"/>
  <c r="AU30" i="338"/>
  <c r="AU29" i="338"/>
  <c r="AU42" i="338"/>
  <c r="AU44" i="338"/>
  <c r="AU13" i="338"/>
  <c r="AU54" i="338"/>
  <c r="AU15" i="338"/>
  <c r="AP9" i="338"/>
  <c r="AU37" i="338"/>
  <c r="AU17" i="338"/>
  <c r="AP32" i="338"/>
  <c r="AU39" i="338"/>
  <c r="AU36" i="338"/>
  <c r="AP12" i="338"/>
  <c r="AU34" i="338"/>
  <c r="AP51" i="338"/>
  <c r="AP15" i="338"/>
  <c r="AU38" i="338"/>
  <c r="AU16" i="338"/>
  <c r="AU40" i="338"/>
  <c r="AP8" i="338"/>
  <c r="AU35" i="338"/>
  <c r="AP31" i="338"/>
  <c r="AP50" i="338"/>
  <c r="AP39" i="338"/>
  <c r="AU52" i="338"/>
  <c r="AP17" i="338"/>
  <c r="AP10" i="338"/>
  <c r="AU9" i="338"/>
  <c r="AP37" i="338"/>
  <c r="AP34" i="338"/>
  <c r="AU51" i="338"/>
  <c r="AU49" i="338"/>
  <c r="AP11" i="338"/>
  <c r="AU33" i="338"/>
  <c r="AU31" i="338"/>
  <c r="AP49" i="338"/>
  <c r="AP42" i="338"/>
  <c r="AU45" i="338"/>
  <c r="AP33" i="338"/>
  <c r="AU47" i="338"/>
  <c r="AU48" i="338"/>
  <c r="AU41" i="338"/>
  <c r="AP29" i="338"/>
  <c r="AP38" i="338"/>
  <c r="AP46" i="338"/>
  <c r="AP41" i="338"/>
  <c r="AP13" i="338"/>
  <c r="AP54" i="338"/>
  <c r="AP45" i="338"/>
  <c r="AP30" i="338"/>
  <c r="AP53" i="338"/>
  <c r="AP52" i="338"/>
  <c r="AU12" i="338"/>
  <c r="AP40" i="338"/>
  <c r="AP16" i="338"/>
  <c r="AU11" i="338"/>
  <c r="AP18" i="338"/>
  <c r="O8" i="338"/>
  <c r="AM3" i="338"/>
  <c r="Q2" i="338"/>
  <c r="Q4" i="338" s="1"/>
  <c r="AN3" i="338"/>
  <c r="E4" i="338"/>
  <c r="E2" i="338" s="1"/>
  <c r="K8" i="338"/>
  <c r="L8" i="338" a="1"/>
  <c r="U8" i="338" a="1"/>
  <c r="V8" i="338" a="1"/>
  <c r="Q11" i="338" a="1"/>
  <c r="Q37" i="338" a="1"/>
  <c r="Q36" i="338" a="1"/>
  <c r="Q35" i="338" a="1"/>
  <c r="Q34" i="338" a="1"/>
  <c r="Q44" i="338" a="1"/>
  <c r="Q17" i="338" a="1"/>
  <c r="Q52" i="338" a="1"/>
  <c r="Q38" i="338" a="1"/>
  <c r="Q16" i="338" a="1"/>
  <c r="Q39" i="338" a="1"/>
  <c r="Q15" i="338" a="1"/>
  <c r="Q47" i="338" a="1"/>
  <c r="Q51" i="338" a="1"/>
  <c r="Q41" i="338" a="1"/>
  <c r="Q31" i="338" a="1"/>
  <c r="Q33" i="338" a="1"/>
  <c r="Q14" i="338" a="1"/>
  <c r="Q30" i="338" a="1"/>
  <c r="Q9" i="338" a="1"/>
  <c r="Q40" i="338" a="1"/>
  <c r="Q46" i="338" a="1"/>
  <c r="Q32" i="338" a="1"/>
  <c r="Q50" i="338" a="1"/>
  <c r="Q8" i="338" a="1"/>
  <c r="Q13" i="338" a="1"/>
  <c r="Q42" i="338" a="1"/>
  <c r="Q53" i="338" a="1"/>
  <c r="Q48" i="338" a="1"/>
  <c r="Q10" i="338" a="1"/>
  <c r="Q12" i="338" a="1"/>
  <c r="Q49" i="338" a="1"/>
  <c r="Q54" i="338" a="1"/>
  <c r="Q45" i="338" a="1"/>
  <c r="Q29" i="338" a="1"/>
  <c r="Q18" i="338" a="1"/>
  <c r="Q55" i="338" a="1"/>
  <c r="V8" i="338" l="1"/>
  <c r="U8" i="338"/>
  <c r="L8" i="338"/>
  <c r="Q18" i="338"/>
  <c r="Q29" i="338"/>
  <c r="Q45" i="338"/>
  <c r="Q54" i="338"/>
  <c r="Q49" i="338"/>
  <c r="Q12" i="338"/>
  <c r="Q10" i="338"/>
  <c r="Q48" i="338"/>
  <c r="Q53" i="338"/>
  <c r="Q42" i="338"/>
  <c r="Q13" i="338"/>
  <c r="Q8" i="338"/>
  <c r="Q50" i="338"/>
  <c r="Q32" i="338"/>
  <c r="Q46" i="338"/>
  <c r="Q40" i="338"/>
  <c r="Q9" i="338"/>
  <c r="Q30" i="338"/>
  <c r="Q14" i="338"/>
  <c r="Q33" i="338"/>
  <c r="Q31" i="338"/>
  <c r="Q41" i="338"/>
  <c r="Q51" i="338"/>
  <c r="Q47" i="338"/>
  <c r="Q15" i="338"/>
  <c r="Q39" i="338"/>
  <c r="Q16" i="338"/>
  <c r="Q38" i="338"/>
  <c r="Q52" i="338"/>
  <c r="Q17" i="338"/>
  <c r="Q44" i="338"/>
  <c r="Q34" i="338"/>
  <c r="Q35" i="338"/>
  <c r="Q36" i="338"/>
  <c r="Q37" i="338"/>
  <c r="Q11" i="338"/>
  <c r="Q55" i="338"/>
  <c r="E1" i="338"/>
  <c r="AO8" i="338"/>
  <c r="V20" i="252"/>
  <c r="U20" i="252"/>
  <c r="AO15" i="338"/>
  <c r="AO35" i="338"/>
  <c r="AO46" i="338"/>
  <c r="AT15" i="338"/>
  <c r="AT35" i="338"/>
  <c r="AO47" i="338"/>
  <c r="AT47" i="338"/>
  <c r="AT37" i="338"/>
  <c r="AO18" i="338"/>
  <c r="AT38" i="338"/>
  <c r="AT8" i="338"/>
  <c r="AO50" i="338"/>
  <c r="AT39" i="338"/>
  <c r="AO30" i="338"/>
  <c r="AO40" i="338"/>
  <c r="AO51" i="338"/>
  <c r="AO10" i="338"/>
  <c r="AT51" i="338"/>
  <c r="AD8" i="338"/>
  <c r="AB8" i="338"/>
  <c r="Z8" i="338"/>
  <c r="AT11" i="338"/>
  <c r="AO32" i="338"/>
  <c r="AO42" i="338"/>
  <c r="AO53" i="338"/>
  <c r="AO13" i="338"/>
  <c r="AT33" i="338"/>
  <c r="AT44" i="338"/>
  <c r="AT54" i="338"/>
  <c r="AT16" i="338"/>
  <c r="AO17" i="338"/>
  <c r="AO48" i="338"/>
  <c r="AT17" i="338"/>
  <c r="AO49" i="338"/>
  <c r="AT18" i="338"/>
  <c r="AO39" i="338"/>
  <c r="AO9" i="338"/>
  <c r="AT29" i="338"/>
  <c r="AT9" i="338"/>
  <c r="AT40" i="338"/>
  <c r="AT10" i="338"/>
  <c r="AO31" i="338"/>
  <c r="AO41" i="338"/>
  <c r="AO52" i="338"/>
  <c r="AO12" i="338"/>
  <c r="AT32" i="338"/>
  <c r="AT42" i="338"/>
  <c r="AT53" i="338"/>
  <c r="AT13" i="338"/>
  <c r="AO34" i="338"/>
  <c r="AO45" i="338"/>
  <c r="AO14" i="338"/>
  <c r="AT34" i="338"/>
  <c r="AT45" i="338"/>
  <c r="AT46" i="338"/>
  <c r="AO16" i="338"/>
  <c r="AO36" i="338"/>
  <c r="AT36" i="338"/>
  <c r="AO37" i="338"/>
  <c r="AT48" i="338"/>
  <c r="AO38" i="338"/>
  <c r="AT49" i="338"/>
  <c r="AO29" i="338"/>
  <c r="AT50" i="338"/>
  <c r="AT30" i="338"/>
  <c r="AO11" i="338"/>
  <c r="AT31" i="338"/>
  <c r="AT41" i="338"/>
  <c r="AT52" i="338"/>
  <c r="AT12" i="338"/>
  <c r="AO33" i="338"/>
  <c r="AO44" i="338"/>
  <c r="AO54" i="338"/>
  <c r="AN31" i="338"/>
  <c r="AN38" i="338"/>
  <c r="AR40" i="338"/>
  <c r="AM49" i="338"/>
  <c r="AR32" i="338"/>
  <c r="AS51" i="338"/>
  <c r="AR18" i="338"/>
  <c r="AN49" i="338"/>
  <c r="AS32" i="338"/>
  <c r="AR51" i="338"/>
  <c r="AM29" i="338"/>
  <c r="AN16" i="338"/>
  <c r="AS46" i="338"/>
  <c r="AN18" i="338"/>
  <c r="AM51" i="338"/>
  <c r="AM10" i="338"/>
  <c r="AM31" i="338"/>
  <c r="AM38" i="338"/>
  <c r="AS40" i="338"/>
  <c r="AR42" i="338"/>
  <c r="AM39" i="338"/>
  <c r="AM14" i="338"/>
  <c r="AN15" i="338"/>
  <c r="AS12" i="338"/>
  <c r="AS39" i="338"/>
  <c r="AM54" i="338"/>
  <c r="AR12" i="338"/>
  <c r="AR39" i="338"/>
  <c r="AN54" i="338"/>
  <c r="AS9" i="338"/>
  <c r="AN34" i="338"/>
  <c r="AN51" i="338"/>
  <c r="AM32" i="338"/>
  <c r="AS42" i="338"/>
  <c r="AN39" i="338"/>
  <c r="AN14" i="338"/>
  <c r="AM15" i="338"/>
  <c r="AR48" i="338"/>
  <c r="AR13" i="338"/>
  <c r="AS45" i="338"/>
  <c r="AN47" i="338"/>
  <c r="AM11" i="338"/>
  <c r="AR8" i="338"/>
  <c r="AR9" i="338"/>
  <c r="AN11" i="338"/>
  <c r="AS37" i="338"/>
  <c r="AS44" i="338"/>
  <c r="AS48" i="338"/>
  <c r="AS13" i="338"/>
  <c r="AR45" i="338"/>
  <c r="AM47" i="338"/>
  <c r="AR47" i="338"/>
  <c r="AS47" i="338"/>
  <c r="AN29" i="338"/>
  <c r="AS16" i="338"/>
  <c r="AM16" i="338"/>
  <c r="AN12" i="338"/>
  <c r="AN30" i="338"/>
  <c r="AR37" i="338"/>
  <c r="AM34" i="338"/>
  <c r="AS53" i="338"/>
  <c r="AM50" i="338"/>
  <c r="AR53" i="338"/>
  <c r="AN41" i="338"/>
  <c r="AN50" i="338"/>
  <c r="AM35" i="338"/>
  <c r="AR31" i="338"/>
  <c r="AR46" i="338"/>
  <c r="AN35" i="338"/>
  <c r="AS31" i="338"/>
  <c r="AM13" i="338"/>
  <c r="AM41" i="338"/>
  <c r="AN32" i="338"/>
  <c r="AR44" i="338"/>
  <c r="AS15" i="338"/>
  <c r="AR41" i="338"/>
  <c r="AM42" i="338"/>
  <c r="AN48" i="338"/>
  <c r="AS49" i="338"/>
  <c r="AR15" i="338"/>
  <c r="AS41" i="338"/>
  <c r="AN42" i="338"/>
  <c r="AM48" i="338"/>
  <c r="AR49" i="338"/>
  <c r="AR10" i="338"/>
  <c r="AN10" i="338"/>
  <c r="AM46" i="338"/>
  <c r="AR29" i="338"/>
  <c r="AR38" i="338"/>
  <c r="AN40" i="338"/>
  <c r="AS36" i="338"/>
  <c r="AM45" i="338"/>
  <c r="AM9" i="338"/>
  <c r="AN45" i="338"/>
  <c r="AN37" i="338"/>
  <c r="AR50" i="338"/>
  <c r="AN46" i="338"/>
  <c r="AS29" i="338"/>
  <c r="AS38" i="338"/>
  <c r="AM40" i="338"/>
  <c r="AR36" i="338"/>
  <c r="AN9" i="338"/>
  <c r="AM36" i="338"/>
  <c r="AS30" i="338"/>
  <c r="AR33" i="338"/>
  <c r="AM37" i="338"/>
  <c r="AN36" i="338"/>
  <c r="AM17" i="338"/>
  <c r="AN13" i="338"/>
  <c r="AS35" i="338"/>
  <c r="AS52" i="338"/>
  <c r="AR30" i="338"/>
  <c r="AM44" i="338"/>
  <c r="AS33" i="338"/>
  <c r="AS50" i="338"/>
  <c r="AN44" i="338"/>
  <c r="AS10" i="338"/>
  <c r="AR35" i="338"/>
  <c r="AR52" i="338"/>
  <c r="AN8" i="338"/>
  <c r="AR54" i="338"/>
  <c r="AM33" i="338"/>
  <c r="AS11" i="338"/>
  <c r="AS34" i="338"/>
  <c r="AM53" i="338"/>
  <c r="AS17" i="338"/>
  <c r="AS18" i="338"/>
  <c r="AM12" i="338"/>
  <c r="AN17" i="338"/>
  <c r="AN52" i="338"/>
  <c r="AM8" i="338"/>
  <c r="AS54" i="338"/>
  <c r="AN33" i="338"/>
  <c r="AR11" i="338"/>
  <c r="AR34" i="338"/>
  <c r="AN53" i="338"/>
  <c r="AR17" i="338"/>
  <c r="AS8" i="338"/>
  <c r="AR16" i="338"/>
  <c r="AM30" i="338"/>
  <c r="AM52" i="338"/>
  <c r="AM18" i="338"/>
  <c r="N8" i="338" l="1"/>
  <c r="Q20" i="252"/>
  <c r="R20" i="252"/>
  <c r="H20" i="252" a="1"/>
  <c r="H20" i="252" l="1"/>
  <c r="K20" i="252" l="1"/>
  <c r="I20" i="252"/>
  <c r="V19" i="252" l="1"/>
  <c r="U19" i="252"/>
  <c r="R19" i="252" l="1"/>
  <c r="Q19" i="252"/>
  <c r="H19" i="252" a="1"/>
  <c r="H19" i="252" l="1"/>
  <c r="K19" i="252" l="1"/>
  <c r="I19" i="252"/>
  <c r="U18" i="252" l="1"/>
  <c r="V18" i="252"/>
  <c r="R18" i="252" l="1"/>
  <c r="Q18" i="252"/>
  <c r="H18" i="252" a="1"/>
  <c r="H18" i="252" l="1"/>
  <c r="K18" i="252" l="1"/>
  <c r="I18" i="252"/>
  <c r="V17" i="252" l="1"/>
  <c r="U17" i="252"/>
  <c r="R17" i="252" l="1"/>
  <c r="Q17" i="252"/>
  <c r="H17" i="252" a="1"/>
  <c r="H17" i="252" l="1"/>
  <c r="K17" i="252" l="1"/>
  <c r="I17" i="252"/>
  <c r="V16" i="252" l="1"/>
  <c r="U16" i="252"/>
  <c r="R16" i="252" l="1"/>
  <c r="Q16" i="252"/>
  <c r="H16" i="252" a="1"/>
  <c r="H16" i="252" l="1"/>
  <c r="K16" i="252" l="1"/>
  <c r="I16" i="252"/>
  <c r="H15" i="252" a="1"/>
  <c r="H15" i="252" l="1"/>
  <c r="C15" i="252" s="1"/>
  <c r="B15" i="252" l="1"/>
  <c r="A15" i="252" s="1"/>
  <c r="K15" i="252"/>
  <c r="I15" i="252"/>
  <c r="V14" i="252" l="1"/>
  <c r="U14" i="252"/>
  <c r="R14" i="252" l="1"/>
  <c r="Q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C12" i="252" s="1"/>
  <c r="B12" i="252" l="1"/>
  <c r="A12" i="252" s="1"/>
  <c r="K12" i="252"/>
  <c r="I12" i="252"/>
  <c r="V11" i="252" l="1"/>
  <c r="U11" i="252"/>
  <c r="R11" i="252" l="1"/>
  <c r="Q11" i="252"/>
  <c r="H11" i="252" a="1"/>
  <c r="H11" i="252" l="1"/>
  <c r="K11" i="252" l="1"/>
  <c r="I11" i="252"/>
  <c r="U10" i="252" l="1"/>
  <c r="V10" i="252"/>
  <c r="R10" i="252" l="1"/>
  <c r="Q10" i="252"/>
  <c r="H10" i="252" a="1"/>
  <c r="H10" i="252" l="1"/>
  <c r="K10" i="252" l="1"/>
  <c r="I10" i="252"/>
  <c r="H9" i="252" a="1"/>
  <c r="H9" i="252" l="1"/>
  <c r="C9" i="252" s="1"/>
  <c r="B9" i="252" l="1"/>
  <c r="A9" i="252" s="1"/>
  <c r="K9" i="252"/>
  <c r="I9" i="252"/>
  <c r="V8" i="252" l="1"/>
  <c r="U8" i="252"/>
  <c r="R8" i="252" l="1"/>
  <c r="Q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C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3" i="530"/>
  <c r="J34" i="530" s="1"/>
  <c r="J39" i="530" s="1"/>
  <c r="J40" i="530" s="1"/>
  <c r="I33" i="530"/>
  <c r="I34" i="530" s="1"/>
  <c r="I39" i="530" s="1"/>
  <c r="I40" i="530" s="1"/>
  <c r="H33" i="530"/>
  <c r="H34" i="530" s="1"/>
  <c r="H39" i="530" s="1"/>
  <c r="H40" i="530" s="1"/>
  <c r="G33" i="530"/>
  <c r="G34" i="530" s="1"/>
  <c r="G39" i="530" s="1"/>
  <c r="G40" i="530" s="1"/>
  <c r="F33" i="530"/>
  <c r="F34" i="530" s="1"/>
  <c r="F39" i="530" s="1"/>
  <c r="F40" i="530" s="1"/>
  <c r="E33" i="530"/>
  <c r="D33" i="530"/>
  <c r="D32" i="530"/>
  <c r="C34" i="530" s="1"/>
  <c r="C29" i="530"/>
  <c r="J27" i="530"/>
  <c r="D26" i="530"/>
  <c r="A26" i="530"/>
  <c r="C27" i="530" s="1"/>
  <c r="D25" i="530"/>
  <c r="U23" i="530"/>
  <c r="U24" i="530" s="1"/>
  <c r="C20" i="530"/>
  <c r="J19" i="530"/>
  <c r="L19" i="530" s="1"/>
  <c r="L18" i="530"/>
  <c r="L20" i="530" s="1"/>
  <c r="M20" i="530" s="1"/>
  <c r="D17" i="530"/>
  <c r="D16" i="530"/>
  <c r="C18" i="530" s="1"/>
  <c r="J14" i="530"/>
  <c r="J15" i="530" s="1"/>
  <c r="J16" i="530" s="1"/>
  <c r="G14" i="530"/>
  <c r="F12" i="530"/>
  <c r="C10" i="530"/>
  <c r="C8" i="530"/>
  <c r="D7" i="530"/>
  <c r="D6" i="530"/>
  <c r="F4" i="530"/>
  <c r="F3" i="530"/>
  <c r="B6" i="252" l="1"/>
  <c r="A6" i="252" s="1"/>
  <c r="I42" i="530"/>
  <c r="I41" i="530"/>
  <c r="H42" i="530"/>
  <c r="H41" i="530"/>
  <c r="F41" i="530"/>
  <c r="F42" i="530"/>
  <c r="J42" i="530"/>
  <c r="J41" i="530"/>
  <c r="G42" i="530"/>
  <c r="G41" i="530"/>
  <c r="L16" i="530"/>
  <c r="K16" i="530"/>
  <c r="K6" i="252"/>
  <c r="I6" i="25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<sst xmlns="http://schemas.openxmlformats.org/spreadsheetml/2006/main" count="16509" uniqueCount="2392">
  <si>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</si>
  <si>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</si>
  <si>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</si>
  <si>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</si>
  <si>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</si>
  <si>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</si>
  <si>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</si>
  <si>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</si>
  <si>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</si>
  <si>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</si>
  <si>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</si>
  <si>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</si>
  <si>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</si>
  <si>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</si>
  <si>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</si>
  <si>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</si>
  <si>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</si>
  <si>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</si>
  <si>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</si>
  <si>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</si>
  <si>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</si>
  <si>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</si>
  <si>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</si>
  <si>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</si>
  <si>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</si>
  <si>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</si>
  <si>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</si>
  <si>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</si>
  <si>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</si>
  <si>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</si>
  <si>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</si>
  <si>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</si>
  <si>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</si>
  <si>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</si>
  <si>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</si>
  <si>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</si>
  <si>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</si>
  <si>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</si>
  <si>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</si>
  <si>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</si>
  <si>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</si>
  <si>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</si>
  <si>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</si>
  <si>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</si>
  <si>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</si>
  <si>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</si>
  <si>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</si>
  <si>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</si>
  <si>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</si>
  <si>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</si>
  <si>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</si>
  <si>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</si>
  <si>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</si>
  <si>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</si>
  <si>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</si>
  <si>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</si>
  <si>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</si>
  <si>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</si>
  <si>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</si>
  <si>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</si>
  <si>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</si>
  <si>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</si>
  <si>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</si>
  <si>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</si>
  <si>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</si>
  <si>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</si>
  <si>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</si>
  <si>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</si>
  <si>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</si>
  <si>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</si>
  <si>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</si>
  <si>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</si>
  <si>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</si>
  <si>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</si>
  <si>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</si>
  <si>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</si>
  <si>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</si>
  <si>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</si>
  <si>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</si>
  <si>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</si>
  <si>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</si>
  <si>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</si>
  <si>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</si>
  <si>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</si>
  <si>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</si>
  <si>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</si>
  <si>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</si>
  <si>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</si>
  <si>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</si>
  <si>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</si>
  <si>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</si>
  <si>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</si>
  <si>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</si>
  <si>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</si>
  <si>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</si>
  <si>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</si>
  <si>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</si>
  <si>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</si>
  <si>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</si>
  <si>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</si>
  <si>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</si>
  <si>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</si>
  <si>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</si>
  <si>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</si>
  <si>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</si>
  <si>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</si>
  <si>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</si>
  <si>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</si>
  <si>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</si>
  <si>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</si>
  <si>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</si>
  <si>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</si>
  <si>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</si>
  <si>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</si>
  <si>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</si>
  <si>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</si>
  <si>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</si>
  <si>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</si>
  <si>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</si>
  <si>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</si>
  <si>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</si>
  <si>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</si>
  <si>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</si>
  <si>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</si>
  <si>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</si>
  <si>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</si>
  <si>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</si>
  <si>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</si>
  <si>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</si>
  <si>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</si>
  <si>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</si>
  <si>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</si>
  <si>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</si>
  <si>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</si>
  <si>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</si>
  <si>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</si>
  <si>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</si>
  <si>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</si>
  <si>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</si>
  <si>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</si>
  <si>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</si>
  <si>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</si>
  <si>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</si>
  <si>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</si>
  <si>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</si>
  <si>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</si>
  <si>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</si>
  <si>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</si>
  <si>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</si>
  <si>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</si>
  <si>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</si>
  <si>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</si>
  <si>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</si>
  <si>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</si>
  <si>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</si>
  <si>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</si>
  <si>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</si>
  <si>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</si>
  <si>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</si>
  <si>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</si>
  <si>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</si>
  <si>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</si>
  <si>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</si>
  <si>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</si>
  <si>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</si>
  <si>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</si>
  <si>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</si>
  <si>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</si>
  <si>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</si>
  <si>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</si>
  <si>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</si>
  <si>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</si>
  <si>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</si>
  <si>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</si>
  <si>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</si>
  <si>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</si>
  <si>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</si>
  <si>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</si>
  <si>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</si>
  <si>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</si>
  <si>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</si>
  <si>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</si>
  <si>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</si>
  <si>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</si>
  <si>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</si>
  <si>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</si>
  <si>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</si>
  <si>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</si>
  <si>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</si>
  <si>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</si>
  <si>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</si>
  <si>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</si>
  <si>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</si>
  <si>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</si>
  <si>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</si>
  <si>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</si>
  <si>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</si>
  <si>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</si>
  <si>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</si>
  <si>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</si>
  <si>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</si>
  <si>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</si>
  <si>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</si>
  <si>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</si>
  <si>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</si>
  <si>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</si>
  <si>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</si>
  <si>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</si>
  <si>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</si>
  <si>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</si>
  <si>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</si>
  <si>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</si>
  <si>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</si>
  <si>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</si>
  <si>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</si>
  <si>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</si>
  <si>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</si>
  <si>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</si>
  <si>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</si>
  <si>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</si>
  <si>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</si>
  <si>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</si>
  <si>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</si>
  <si>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</si>
  <si>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</si>
  <si>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</si>
  <si>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</si>
  <si>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</si>
  <si>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</si>
  <si>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</si>
  <si>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</si>
  <si>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</si>
  <si>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</si>
  <si>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</si>
  <si>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</si>
  <si>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</si>
  <si>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</si>
  <si>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</si>
  <si>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</si>
  <si>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</si>
  <si>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</si>
  <si>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</si>
  <si>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</si>
  <si>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</si>
  <si>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</si>
  <si>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</si>
  <si>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</si>
  <si>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</si>
  <si>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</si>
  <si>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</si>
  <si>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</si>
  <si>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</si>
  <si>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</si>
  <si>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</si>
  <si>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</si>
  <si>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</si>
  <si>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</si>
  <si>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</si>
  <si>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</si>
  <si>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</si>
  <si>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</si>
  <si>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</si>
  <si>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</si>
  <si>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</si>
  <si>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</si>
  <si>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</si>
  <si>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</si>
  <si>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</si>
  <si>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</si>
  <si>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</si>
  <si>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</si>
  <si>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</si>
  <si>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</si>
  <si>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</si>
  <si>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</si>
  <si>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</si>
  <si>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</si>
  <si>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</si>
  <si>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</si>
  <si>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</si>
  <si>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</si>
  <si>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</si>
  <si>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</si>
  <si>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</si>
  <si>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</si>
  <si>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</si>
  <si>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</si>
  <si>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</si>
  <si>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</si>
  <si>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</si>
  <si>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</si>
  <si>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</si>
  <si>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</si>
  <si>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</si>
  <si>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</si>
  <si>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</si>
  <si>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</si>
  <si>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</si>
  <si>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</si>
  <si>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</si>
  <si>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</si>
  <si>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</si>
  <si>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</si>
  <si>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</si>
  <si>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</si>
  <si>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</si>
  <si>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</si>
  <si>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</si>
  <si>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</si>
  <si>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</si>
  <si>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</si>
  <si>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</si>
  <si>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</si>
  <si>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</si>
  <si>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</si>
  <si>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</si>
  <si>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</si>
  <si>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</si>
  <si>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</si>
  <si>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</si>
  <si>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</si>
  <si>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</si>
  <si>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</si>
  <si>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</si>
  <si>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</si>
  <si>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</si>
  <si>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</si>
  <si>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</si>
  <si>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</si>
  <si>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</si>
  <si>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</si>
  <si>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</si>
  <si>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</si>
  <si>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</si>
  <si>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</si>
  <si>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</si>
  <si>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</si>
  <si>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</si>
  <si>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</si>
  <si>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</si>
  <si>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</si>
  <si>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</si>
  <si>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</si>
  <si>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</si>
  <si>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</si>
  <si>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</si>
  <si>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</si>
  <si>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</si>
  <si>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</si>
  <si>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</si>
  <si>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</si>
  <si>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</si>
  <si>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</si>
  <si>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</si>
  <si>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</si>
  <si>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</si>
  <si>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</si>
  <si>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</si>
  <si>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</si>
  <si>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</si>
  <si>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</si>
  <si>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</si>
  <si>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</si>
  <si>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</si>
  <si>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</si>
  <si>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</si>
  <si>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</si>
  <si>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</si>
  <si>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</si>
  <si>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</si>
  <si>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</si>
  <si>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</si>
  <si>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</si>
  <si>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</si>
  <si>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</si>
  <si>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</si>
  <si>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</si>
  <si>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</si>
  <si>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</si>
  <si>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</si>
  <si>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</si>
  <si>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</si>
  <si>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</si>
  <si>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</si>
  <si>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</si>
  <si>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</si>
  <si>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</si>
  <si>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</si>
  <si>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</si>
  <si>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</si>
  <si>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</si>
  <si>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</si>
  <si>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</si>
  <si>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</si>
  <si>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</si>
  <si>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</si>
  <si>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</si>
  <si>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</si>
  <si>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</si>
  <si>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</si>
  <si>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</si>
  <si>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</si>
  <si>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</si>
  <si>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</si>
  <si>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</si>
  <si>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</si>
  <si>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</si>
  <si>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</si>
  <si>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</si>
  <si>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</si>
  <si>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</si>
  <si>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</si>
  <si>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</si>
  <si>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</si>
  <si>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</si>
  <si>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</si>
  <si>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</si>
  <si>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</si>
  <si>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</si>
  <si>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</si>
  <si>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</si>
  <si>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</si>
  <si>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</si>
  <si>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</si>
  <si>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</si>
  <si>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</si>
  <si>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</si>
  <si>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</si>
  <si>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</si>
  <si>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</si>
  <si>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</si>
  <si>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</si>
  <si>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</si>
  <si>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</si>
  <si>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</si>
  <si>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</si>
  <si>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</si>
  <si>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</si>
  <si>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</si>
  <si>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</si>
  <si>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</si>
  <si>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</si>
  <si>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</si>
  <si>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</si>
  <si>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</si>
  <si>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</si>
  <si>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</si>
  <si>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</si>
  <si>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</si>
  <si>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</si>
  <si>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</si>
  <si>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</si>
  <si>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</si>
  <si>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</si>
  <si>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</si>
  <si>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</si>
  <si>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</si>
  <si>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</si>
  <si>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</si>
  <si>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</si>
  <si>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</si>
  <si>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</si>
  <si>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</si>
  <si>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</si>
  <si>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</si>
  <si>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</si>
  <si>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</si>
  <si>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</si>
  <si>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</si>
  <si>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</si>
  <si>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</si>
  <si>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</si>
  <si>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</si>
  <si>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</si>
  <si>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</si>
  <si>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</si>
  <si>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</si>
  <si>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</si>
  <si>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</si>
  <si>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</si>
  <si>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</si>
  <si>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</si>
  <si>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</si>
  <si>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</si>
  <si>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</si>
  <si>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</si>
  <si>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</si>
  <si>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</si>
  <si>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</si>
  <si>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</si>
  <si>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</si>
  <si>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</si>
  <si>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</si>
  <si>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</si>
  <si>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</si>
  <si>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</si>
  <si>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</si>
  <si>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</si>
  <si>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</si>
  <si>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</si>
  <si>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</si>
  <si>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</si>
  <si>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</si>
  <si>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</si>
  <si>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</si>
  <si>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</si>
  <si>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</si>
  <si>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</si>
  <si>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</si>
  <si>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</si>
  <si>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</si>
  <si>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</si>
  <si>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</si>
  <si>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</si>
  <si>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</si>
  <si>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</si>
  <si>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</si>
  <si>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</si>
  <si>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</si>
  <si>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</si>
  <si>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</si>
  <si>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</si>
  <si>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</si>
  <si>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</si>
  <si>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</si>
  <si>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</si>
  <si>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</si>
  <si>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</si>
  <si>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</si>
  <si>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</si>
  <si>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</si>
  <si>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</si>
  <si>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</si>
  <si>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</si>
  <si>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</si>
  <si>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</si>
  <si>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</si>
  <si>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</si>
  <si>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</si>
  <si>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</si>
  <si>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</si>
  <si>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</si>
  <si>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</si>
  <si>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</si>
  <si>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</si>
  <si>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</si>
  <si>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</si>
  <si>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</si>
  <si>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</si>
  <si>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</si>
  <si>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</si>
  <si>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</si>
  <si>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</si>
  <si>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</si>
  <si>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</si>
  <si>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</si>
  <si>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</si>
  <si>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</si>
  <si>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</si>
  <si>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</si>
  <si>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</si>
  <si>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</si>
  <si>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</si>
  <si>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</si>
  <si>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</si>
  <si>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</si>
  <si>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</si>
  <si>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</si>
  <si>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</si>
  <si>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</si>
  <si>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</si>
  <si>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</si>
  <si>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</si>
  <si>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</si>
  <si>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</si>
  <si>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</si>
  <si>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</si>
  <si>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</si>
  <si>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</si>
  <si>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</si>
  <si>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</si>
  <si>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</si>
  <si>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</si>
  <si>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</si>
  <si>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</si>
  <si>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</si>
  <si>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</si>
  <si>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</si>
  <si>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</si>
  <si>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</si>
  <si>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</si>
  <si>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</si>
  <si>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</si>
  <si>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</si>
  <si>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</si>
  <si>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</si>
  <si>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</si>
  <si>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</si>
  <si>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</si>
  <si>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</si>
  <si>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</si>
  <si>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</si>
  <si>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</si>
  <si>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</si>
  <si>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</si>
  <si>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</si>
  <si>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</si>
  <si>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</si>
  <si>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</si>
  <si>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</si>
  <si>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</si>
  <si>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</si>
  <si>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</si>
  <si>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</si>
  <si>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</si>
  <si>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</si>
  <si>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</si>
  <si>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</si>
  <si>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</si>
  <si>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</si>
  <si>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</si>
  <si>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</si>
  <si>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</si>
  <si>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</si>
  <si>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</si>
  <si>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</si>
  <si>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</si>
  <si>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</si>
  <si>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</si>
  <si>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</si>
  <si>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</si>
  <si>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</si>
  <si>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</si>
  <si>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</si>
  <si>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</si>
  <si>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</si>
  <si>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</si>
  <si>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</si>
  <si>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</si>
  <si>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</si>
  <si>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</si>
  <si>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</si>
  <si>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</si>
  <si>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</si>
  <si>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</si>
  <si>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</si>
  <si>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</si>
  <si>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</si>
  <si>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</si>
  <si>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</si>
  <si>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</si>
  <si>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</si>
  <si>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</si>
  <si>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</si>
  <si>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</si>
  <si>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</si>
  <si>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</si>
  <si>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</si>
  <si>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</si>
  <si>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</si>
  <si>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</si>
  <si>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</si>
  <si>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</si>
  <si>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</si>
  <si>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</si>
  <si>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</si>
  <si>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</si>
  <si>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</si>
  <si>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</si>
  <si>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</si>
  <si>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</si>
  <si>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</si>
  <si>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</si>
  <si>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</si>
  <si>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</si>
  <si>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</si>
  <si>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</si>
  <si>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</si>
  <si>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</si>
  <si>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</si>
  <si>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</si>
  <si>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</si>
  <si>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</si>
  <si>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</si>
  <si>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</si>
  <si>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</si>
  <si>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</si>
  <si>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</si>
  <si>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</si>
  <si>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</si>
  <si>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</si>
  <si>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</si>
  <si>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</si>
  <si>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</si>
  <si>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</si>
  <si>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</si>
  <si>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</si>
  <si>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</si>
  <si>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</si>
  <si>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</si>
  <si>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</si>
  <si>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</si>
  <si>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</si>
  <si>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</si>
  <si>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</si>
  <si>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</si>
  <si>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</si>
  <si>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</si>
  <si>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</si>
  <si>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</si>
  <si>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</si>
  <si>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</si>
  <si>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</si>
  <si>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</si>
  <si>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</si>
  <si>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</si>
  <si>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</si>
  <si>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</si>
  <si>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</si>
  <si>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</si>
  <si>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</si>
  <si>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</si>
  <si>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</si>
  <si>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</si>
  <si>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</si>
  <si>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</si>
  <si>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</si>
  <si>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</si>
  <si>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</si>
  <si>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</si>
  <si>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</si>
  <si>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</si>
  <si>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</si>
  <si>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</si>
  <si>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</si>
  <si>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</si>
  <si>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</si>
  <si>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</si>
  <si>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</si>
  <si>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</si>
  <si>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</si>
  <si>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</si>
  <si>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</si>
  <si>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</si>
  <si>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</si>
  <si>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</si>
  <si>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</si>
  <si>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</si>
  <si>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</si>
  <si>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</si>
  <si>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</si>
  <si>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</si>
  <si>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</si>
  <si>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</si>
  <si>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</si>
  <si>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</si>
  <si>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</si>
  <si>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</si>
  <si>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</si>
  <si>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</si>
  <si>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</si>
  <si>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</si>
  <si>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</si>
  <si>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</si>
  <si>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</si>
  <si>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</si>
  <si>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</si>
  <si>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</si>
  <si>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</si>
  <si>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</si>
  <si>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</si>
  <si>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</si>
  <si>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</si>
  <si>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</si>
  <si>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</si>
  <si>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</si>
  <si>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</si>
  <si>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</si>
  <si>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</si>
  <si>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</si>
  <si>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</si>
  <si>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</si>
  <si>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</si>
  <si>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</si>
  <si>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</si>
  <si>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</si>
  <si>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</si>
  <si>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</si>
  <si>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</si>
  <si>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</si>
  <si>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</si>
  <si>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</si>
  <si>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</si>
  <si>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</si>
  <si>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</si>
  <si>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</si>
  <si>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</si>
  <si>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</si>
  <si>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</si>
  <si>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</si>
  <si>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</si>
  <si>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</si>
  <si>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</si>
  <si>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</si>
  <si>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</si>
  <si>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</si>
  <si>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</si>
  <si>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</si>
  <si>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</si>
  <si>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</si>
  <si>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</si>
  <si>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</si>
  <si>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</si>
  <si>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</si>
  <si>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</si>
  <si>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</si>
  <si>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</si>
  <si>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</si>
  <si>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</si>
  <si>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</si>
  <si>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</si>
  <si>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</si>
  <si>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</si>
  <si>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</si>
  <si>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</si>
  <si>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</si>
  <si>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</si>
  <si>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</si>
  <si>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</si>
  <si>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</si>
  <si>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</si>
  <si>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</si>
  <si>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</si>
  <si>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</si>
  <si>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</si>
  <si>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</si>
  <si>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</si>
  <si>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</si>
  <si>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</si>
  <si>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</si>
  <si>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</si>
  <si>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</si>
  <si>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</si>
  <si>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</si>
  <si>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</si>
  <si>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</si>
  <si>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</si>
  <si>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</si>
  <si>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</si>
  <si>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</si>
  <si>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</si>
  <si>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</si>
  <si>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</si>
  <si>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</si>
  <si>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</si>
  <si>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</si>
  <si>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</si>
  <si>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</si>
  <si>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</si>
  <si>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</si>
  <si>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</si>
  <si>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</si>
  <si>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</si>
  <si>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</si>
  <si>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</si>
  <si>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</si>
  <si>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</si>
  <si>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</si>
  <si>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</si>
  <si>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</si>
  <si>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</si>
  <si>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</si>
  <si>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</si>
  <si>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</si>
  <si>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</si>
  <si>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</si>
  <si>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</si>
  <si>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</si>
  <si>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</si>
  <si>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</si>
  <si>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</si>
  <si>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</si>
  <si>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</si>
  <si>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</si>
  <si>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</si>
  <si>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</si>
  <si>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</si>
  <si>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</si>
  <si>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</si>
  <si>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</si>
  <si>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</si>
  <si>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</si>
  <si>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</si>
  <si>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</si>
  <si>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</si>
  <si>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</si>
  <si>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</si>
  <si>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</si>
  <si>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</si>
  <si>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</si>
  <si>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</si>
  <si>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</si>
  <si>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</si>
  <si>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</si>
  <si>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</si>
  <si>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</si>
  <si>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</si>
  <si>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</si>
  <si>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</si>
  <si>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</si>
  <si>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</si>
  <si>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</si>
  <si>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</si>
  <si>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</si>
  <si>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</si>
  <si>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</si>
  <si>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</si>
  <si>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</si>
  <si>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</si>
  <si>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</si>
  <si>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</si>
  <si>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</si>
  <si>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</si>
  <si>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</si>
  <si>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</si>
  <si>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</si>
  <si>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</si>
  <si>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</si>
  <si>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</si>
  <si>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</si>
  <si>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</si>
  <si>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</si>
  <si>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</si>
  <si>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</si>
  <si>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</si>
  <si>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</si>
  <si>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</si>
  <si>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</si>
  <si>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</si>
  <si>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</si>
  <si>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</si>
  <si>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</si>
  <si>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</si>
  <si>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</si>
  <si>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</si>
  <si>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</si>
  <si>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</si>
  <si>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</si>
  <si>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</si>
  <si>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</si>
  <si>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</si>
  <si>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</si>
  <si>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</si>
  <si>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</si>
  <si>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</si>
  <si>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</si>
  <si>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</si>
  <si>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</si>
  <si>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</si>
  <si>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</si>
  <si>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</si>
  <si>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</si>
  <si>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</si>
  <si>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</si>
  <si>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</si>
  <si>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</si>
  <si>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</si>
  <si>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</si>
  <si>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</si>
  <si>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</si>
  <si>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</si>
  <si>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</si>
  <si>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</si>
  <si>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</si>
  <si>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</si>
  <si>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</si>
  <si>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</si>
  <si>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</si>
  <si>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</si>
  <si>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</si>
  <si>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</si>
  <si>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</si>
  <si>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</si>
  <si>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</si>
  <si>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</si>
  <si>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</si>
  <si>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</si>
  <si>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</si>
  <si>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</si>
  <si>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</si>
  <si>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</si>
  <si>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</si>
  <si>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</si>
  <si>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</si>
  <si>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</si>
  <si>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</si>
  <si>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</si>
  <si>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</si>
  <si>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</si>
  <si>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</si>
  <si>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</si>
  <si>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</si>
  <si>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</si>
  <si>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</si>
  <si>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</si>
  <si>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</si>
  <si>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</si>
  <si>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</si>
  <si>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</si>
  <si>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</si>
  <si>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</si>
  <si>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</si>
  <si>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</si>
  <si>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</si>
  <si>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</si>
  <si>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</si>
  <si>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</si>
  <si>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</si>
  <si>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</si>
  <si>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</si>
  <si>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</si>
  <si>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</si>
  <si>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</si>
  <si>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</si>
  <si>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</si>
  <si>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</si>
  <si>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</si>
  <si>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</si>
  <si>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</si>
  <si>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</si>
  <si>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</si>
  <si>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</si>
  <si>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</si>
  <si>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</si>
  <si>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</si>
  <si>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</si>
  <si>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</si>
  <si>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</si>
  <si>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</si>
  <si>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</si>
  <si>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</si>
  <si>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</si>
  <si>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</si>
  <si>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</si>
  <si>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</si>
  <si>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</si>
  <si>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</si>
  <si>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</si>
  <si>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</si>
  <si>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</si>
  <si>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</si>
  <si>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</si>
  <si>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</si>
  <si>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</si>
  <si>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</si>
  <si>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</si>
  <si>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</si>
  <si>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</si>
  <si>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</si>
  <si>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</si>
  <si>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</si>
  <si>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</si>
  <si>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</si>
  <si>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</si>
  <si>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</si>
  <si>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</si>
  <si>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</si>
  <si>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</si>
  <si>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</si>
  <si>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</si>
  <si>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</si>
  <si>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</si>
  <si>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</si>
  <si>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</si>
  <si>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</si>
  <si>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</si>
  <si>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</si>
  <si>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</si>
  <si>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</si>
  <si>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</si>
  <si>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</si>
  <si>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</si>
  <si>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</si>
  <si>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</si>
  <si>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</si>
  <si>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</si>
  <si>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</si>
  <si>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</si>
  <si>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</si>
  <si>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</si>
  <si>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</si>
  <si>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</si>
  <si>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</si>
  <si>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</si>
  <si>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</si>
  <si>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</si>
  <si>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</si>
  <si>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</si>
  <si>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</si>
  <si>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</si>
  <si>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</si>
  <si>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</si>
  <si>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</si>
  <si>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</si>
  <si>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</si>
  <si>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</si>
  <si>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</si>
  <si>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</si>
  <si>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</si>
  <si>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</si>
  <si>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</si>
  <si>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</si>
  <si>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</si>
  <si>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</si>
  <si>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</si>
  <si>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</si>
  <si>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</si>
  <si>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</si>
  <si>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</si>
  <si>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</si>
  <si>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</si>
  <si>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</si>
  <si>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</si>
  <si>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</si>
  <si>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</si>
  <si>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</si>
  <si>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</si>
  <si>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</si>
  <si>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</si>
  <si>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</si>
  <si>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</si>
  <si>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</si>
  <si>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</si>
  <si>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</si>
  <si>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</si>
  <si>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</si>
  <si>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</si>
  <si>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</si>
  <si>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</si>
  <si>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</si>
  <si>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</si>
  <si>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</si>
  <si>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</si>
  <si>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</si>
  <si>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</si>
  <si>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</si>
  <si>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</si>
  <si>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</si>
  <si>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</si>
  <si>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</si>
  <si>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</si>
  <si>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</si>
  <si>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</si>
  <si>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</si>
  <si>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</si>
  <si>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</si>
  <si>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</si>
  <si>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</si>
  <si>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</si>
  <si>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</si>
  <si>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</si>
  <si>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</si>
  <si>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</si>
  <si>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</si>
  <si>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</si>
  <si>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</si>
  <si>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</si>
  <si>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</si>
  <si>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</si>
  <si>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</si>
  <si>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</si>
  <si>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</si>
  <si>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</si>
  <si>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</si>
  <si>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</si>
  <si>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</si>
  <si>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</si>
  <si>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</si>
  <si>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</si>
  <si>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</si>
  <si>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</si>
  <si>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</si>
  <si>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</si>
  <si>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</si>
  <si>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</si>
  <si>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</si>
  <si>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</si>
  <si>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</si>
  <si>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</si>
  <si>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</si>
  <si>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</si>
  <si>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</si>
  <si>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</si>
  <si>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</si>
  <si>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</si>
  <si>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</si>
  <si>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</si>
  <si>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</si>
  <si>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</si>
  <si>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</si>
  <si>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</si>
  <si>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</si>
  <si>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</si>
  <si>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</si>
  <si>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</si>
  <si>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</si>
  <si>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</si>
  <si>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</si>
  <si>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</si>
  <si>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</si>
  <si>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</si>
  <si>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</si>
  <si>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</si>
  <si>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</si>
  <si>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</si>
  <si>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</si>
  <si>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</si>
  <si>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</si>
  <si>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</si>
  <si>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</si>
  <si>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</si>
  <si>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</si>
  <si>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</si>
  <si>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</si>
  <si>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</si>
  <si>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</si>
  <si>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</si>
  <si>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</si>
  <si>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</si>
  <si>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</si>
  <si>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</si>
  <si>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</si>
  <si>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</si>
  <si>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</si>
  <si>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</si>
  <si>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</si>
  <si>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</si>
  <si>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</si>
  <si>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</si>
  <si>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</si>
  <si>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</si>
  <si>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</si>
  <si>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</si>
  <si>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</si>
  <si>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</si>
  <si>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</si>
  <si>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</si>
  <si>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</si>
  <si>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</si>
  <si>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</si>
  <si>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</si>
  <si>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</si>
  <si>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</si>
  <si>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</si>
  <si>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</si>
  <si>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</si>
  <si>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</si>
  <si>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</si>
  <si>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</si>
  <si>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</si>
  <si>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</si>
  <si>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</si>
  <si>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</si>
  <si>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</si>
  <si>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</si>
  <si>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</si>
  <si>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</si>
  <si>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</si>
  <si>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</si>
  <si>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</si>
  <si>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</si>
  <si>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</si>
  <si>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</si>
  <si>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</si>
  <si>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</si>
  <si>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</si>
  <si>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</si>
  <si>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</si>
  <si>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</si>
  <si>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</si>
  <si>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</si>
  <si>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</si>
  <si>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</si>
  <si>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</si>
  <si>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</si>
  <si>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</si>
  <si>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</si>
  <si>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</si>
  <si>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</si>
  <si>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</si>
  <si>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</si>
  <si>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</si>
  <si>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</si>
  <si>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</si>
  <si>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</si>
  <si>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</si>
  <si>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</si>
  <si>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</si>
  <si>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</si>
  <si>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</si>
  <si>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</si>
  <si>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</si>
  <si>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</si>
  <si>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</si>
  <si>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</si>
  <si>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</si>
  <si>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</si>
  <si>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</si>
  <si>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</si>
  <si>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</si>
  <si>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</si>
  <si>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</si>
  <si>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</si>
  <si>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</si>
  <si>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</si>
  <si>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</si>
  <si>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</si>
  <si>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</si>
  <si>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</si>
  <si>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</si>
  <si>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</si>
  <si>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</si>
  <si>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</si>
  <si>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</si>
  <si>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</si>
  <si>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</si>
  <si>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</si>
  <si>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</si>
  <si>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</si>
  <si>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</si>
  <si>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</si>
  <si>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</si>
  <si>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</si>
  <si>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</si>
  <si>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</si>
  <si>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</si>
  <si>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</si>
  <si>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</si>
  <si>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</si>
  <si>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</si>
  <si>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</si>
  <si>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</si>
  <si>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</si>
  <si>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</si>
  <si>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</si>
  <si>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</si>
  <si>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</si>
  <si>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</si>
  <si>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</si>
  <si>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</si>
  <si>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</si>
  <si>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</si>
  <si>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</si>
  <si>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</si>
  <si>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</si>
  <si>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</si>
  <si>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</si>
  <si>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</si>
  <si>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</si>
  <si>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</si>
  <si>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</si>
  <si>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</si>
  <si>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</si>
  <si>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</si>
  <si>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</si>
  <si>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</si>
  <si>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</si>
  <si>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</si>
  <si>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</si>
  <si>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</si>
  <si>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</si>
  <si>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</si>
  <si>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</si>
  <si>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</si>
  <si>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</si>
  <si>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</si>
  <si>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</si>
  <si>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</si>
  <si>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</si>
  <si>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</si>
  <si>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</si>
  <si>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</si>
  <si>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</si>
  <si>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</si>
  <si>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</si>
  <si>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</si>
  <si>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</si>
  <si>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</si>
  <si>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</si>
  <si>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</si>
  <si>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</si>
  <si>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</si>
  <si>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</si>
  <si>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</si>
  <si>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</si>
  <si>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</si>
  <si>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</si>
  <si>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</si>
  <si>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</si>
  <si>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</si>
  <si>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</si>
  <si>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</si>
  <si>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</si>
  <si>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</si>
  <si>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</si>
  <si>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</si>
  <si>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</si>
  <si>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</si>
  <si>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</si>
  <si>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</si>
  <si>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</si>
  <si>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</si>
  <si>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</si>
  <si>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</si>
  <si>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</si>
  <si>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</si>
  <si>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</si>
  <si>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</si>
  <si>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</si>
  <si>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</si>
  <si>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</si>
  <si>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</si>
  <si>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</si>
  <si>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</si>
  <si>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</si>
  <si>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</si>
  <si>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</si>
  <si>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</si>
  <si>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</si>
  <si>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</si>
  <si>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</si>
  <si>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</si>
  <si>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</si>
  <si>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</si>
  <si>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</si>
  <si>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</si>
  <si>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</si>
  <si>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</si>
  <si>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</si>
  <si>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</si>
  <si>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</si>
  <si>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</si>
  <si>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</si>
  <si>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</si>
  <si>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</si>
  <si>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</si>
  <si>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</si>
  <si>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</si>
  <si>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</si>
  <si>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</si>
  <si>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</si>
  <si>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</si>
  <si>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</si>
  <si>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</si>
  <si>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</si>
  <si>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</si>
  <si>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</si>
  <si>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</si>
  <si>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</si>
  <si>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</si>
  <si>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</si>
  <si>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</si>
  <si>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</si>
  <si>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</si>
  <si>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</si>
  <si>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</si>
  <si>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</si>
  <si>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</si>
  <si>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</si>
  <si>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</si>
  <si>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</si>
  <si>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</si>
  <si>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</si>
  <si>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</si>
  <si>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</si>
  <si>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</si>
  <si>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</si>
  <si>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</si>
  <si>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</si>
  <si>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</si>
  <si>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</si>
  <si>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</si>
  <si>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</si>
  <si>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</si>
  <si>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</si>
  <si>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</si>
  <si>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</si>
  <si>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</si>
  <si>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</si>
  <si>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</si>
  <si>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</si>
  <si>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</si>
  <si>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</si>
  <si>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</si>
  <si>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</si>
  <si>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</si>
  <si>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</si>
  <si>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</si>
  <si>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</si>
  <si>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</si>
  <si>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</si>
  <si>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</si>
  <si>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</si>
  <si>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</si>
  <si>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</si>
  <si>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</si>
  <si>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</si>
  <si>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</si>
  <si>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</si>
  <si>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</si>
  <si>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</si>
  <si>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</si>
  <si>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</si>
  <si>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</si>
  <si>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</si>
  <si>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</si>
  <si>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</si>
  <si>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</si>
  <si>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</si>
  <si>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</si>
  <si>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</si>
  <si>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</si>
  <si>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</si>
  <si>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</si>
  <si>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</si>
  <si>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</si>
  <si>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</si>
  <si>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</si>
  <si>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</si>
  <si>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</si>
  <si>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</si>
  <si>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</si>
  <si>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</si>
  <si>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</si>
  <si>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</si>
  <si>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</si>
  <si>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</si>
  <si>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</si>
  <si>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</si>
  <si>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</si>
  <si>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</si>
  <si>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</si>
  <si>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</si>
  <si>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</si>
  <si>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</si>
  <si>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</si>
  <si>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</si>
  <si>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</si>
  <si>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</si>
  <si>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</si>
  <si>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</si>
  <si>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</si>
  <si>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</si>
  <si>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</si>
  <si>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</si>
  <si>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</si>
  <si>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</si>
  <si>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</si>
  <si>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</si>
  <si>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</si>
  <si>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</si>
  <si>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</si>
  <si>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</si>
  <si>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</si>
  <si>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</si>
  <si>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</si>
  <si>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</si>
  <si>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</si>
  <si>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</si>
  <si>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</si>
  <si>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</si>
  <si>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</si>
  <si>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</si>
  <si>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</si>
  <si>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</si>
  <si>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</si>
  <si>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</si>
  <si>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</si>
  <si>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</si>
  <si>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</si>
  <si>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</si>
  <si>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</si>
  <si>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</si>
  <si>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</si>
  <si>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</si>
  <si>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</si>
  <si>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</si>
  <si>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</si>
  <si>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</si>
  <si>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</si>
  <si>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</si>
  <si>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</si>
  <si>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</si>
  <si>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</si>
  <si>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</si>
  <si>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</si>
  <si>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</si>
  <si>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</si>
  <si>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</si>
  <si>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</si>
  <si>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</si>
  <si>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</si>
  <si>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</si>
  <si>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</si>
  <si>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</si>
  <si>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</si>
  <si>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</si>
  <si>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</si>
  <si>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</si>
  <si>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</si>
  <si>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</si>
  <si>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</si>
  <si>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</si>
  <si>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</si>
  <si>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</si>
  <si>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</si>
  <si>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</si>
  <si>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</si>
  <si>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</si>
  <si>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</si>
  <si>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</si>
  <si>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</si>
  <si>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</si>
  <si>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</si>
  <si>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</si>
  <si>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</si>
  <si>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</si>
  <si>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</si>
  <si>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</si>
  <si>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</si>
  <si>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</si>
  <si>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</si>
  <si>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</si>
  <si>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</si>
  <si>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</si>
  <si>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</si>
  <si>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</si>
  <si>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</si>
  <si>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</si>
  <si>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</si>
  <si>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</si>
  <si>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</si>
  <si>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</si>
  <si>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</si>
  <si>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</si>
  <si>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</si>
  <si>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</si>
  <si>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</si>
  <si>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</si>
  <si>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</si>
  <si>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</si>
  <si>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</si>
  <si>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</si>
  <si>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</si>
  <si>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</si>
  <si>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</si>
  <si>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</si>
  <si>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</si>
  <si>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</si>
  <si>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</si>
  <si>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</si>
  <si>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</si>
  <si>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</si>
  <si>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</si>
  <si>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</si>
  <si>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</si>
  <si>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</si>
  <si>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</si>
  <si>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</si>
  <si>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</si>
  <si>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</si>
  <si>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</si>
  <si>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</si>
  <si>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</si>
  <si>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</si>
  <si>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</si>
  <si>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</si>
  <si>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</si>
  <si>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</si>
  <si>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</si>
  <si>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</si>
  <si>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</si>
  <si>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</si>
  <si>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</si>
  <si>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</si>
  <si>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</si>
  <si>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</si>
  <si>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</si>
  <si>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</si>
  <si>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</si>
  <si>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</si>
  <si>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</si>
  <si>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</si>
  <si>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</si>
  <si>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</si>
  <si>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</si>
  <si>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</si>
  <si>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</si>
  <si>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</si>
  <si>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</si>
  <si>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</si>
  <si>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</si>
  <si>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</si>
  <si>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</si>
  <si>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</si>
  <si>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</si>
  <si>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</si>
  <si>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</si>
  <si>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</si>
  <si>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</si>
  <si>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</si>
  <si>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</si>
  <si>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</si>
  <si>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</si>
  <si>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</si>
  <si>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</si>
  <si>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</si>
  <si>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</si>
  <si>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</si>
  <si>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</si>
  <si>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</si>
  <si>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</si>
  <si>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</si>
  <si>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</si>
  <si>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</si>
  <si>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</si>
  <si>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</si>
  <si>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</si>
  <si>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</si>
  <si>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</si>
  <si>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</si>
  <si>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</si>
  <si>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</si>
  <si>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</si>
  <si>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</si>
  <si>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</si>
  <si>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</si>
  <si>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</si>
  <si>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</si>
  <si>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</si>
  <si>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</si>
  <si>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</si>
  <si>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</si>
  <si>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</si>
  <si>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</si>
  <si>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</si>
  <si>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</si>
  <si>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</si>
  <si>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</si>
  <si>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</si>
  <si>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</si>
  <si>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</si>
  <si>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</si>
  <si>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</si>
  <si>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</si>
  <si>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</si>
  <si>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</si>
  <si>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</si>
  <si>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</si>
  <si>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</si>
  <si>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</si>
  <si>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</si>
  <si>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</si>
  <si>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</si>
  <si>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</si>
  <si>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</si>
  <si>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</si>
  <si>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</si>
  <si>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</si>
  <si>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</si>
  <si>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</si>
  <si>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</si>
  <si>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</si>
  <si>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</si>
  <si>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</si>
  <si>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</si>
  <si>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</si>
  <si>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</si>
  <si>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</si>
  <si>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</si>
  <si>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</si>
  <si>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</si>
  <si>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</si>
  <si>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</si>
  <si>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</si>
  <si>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</si>
  <si>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</si>
  <si>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</si>
  <si>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</si>
  <si>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</si>
  <si>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</si>
  <si>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</si>
  <si>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</si>
  <si>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</si>
  <si>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</si>
  <si>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</si>
  <si>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</si>
  <si>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</si>
  <si>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</si>
  <si>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</si>
  <si>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</si>
  <si>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</si>
  <si>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</si>
  <si>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</si>
  <si>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</si>
  <si>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</si>
  <si>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</si>
  <si>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</si>
  <si>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</si>
  <si>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</si>
  <si>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</si>
  <si>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</si>
  <si>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</si>
  <si>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</si>
  <si>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</si>
  <si>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</si>
  <si>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</si>
  <si>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</si>
  <si>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</si>
  <si>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</si>
  <si>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</si>
  <si>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</si>
  <si>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</si>
  <si>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</si>
  <si>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</si>
  <si>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</si>
  <si>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</si>
  <si>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</si>
  <si>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</si>
  <si>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</si>
  <si>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</si>
  <si>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</si>
  <si>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</si>
  <si>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</si>
  <si>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</si>
  <si>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</si>
  <si>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</si>
  <si>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</si>
  <si>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</si>
  <si>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</si>
  <si>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</si>
  <si>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</si>
  <si>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</si>
  <si>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</si>
  <si>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</si>
  <si>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</si>
  <si>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</si>
  <si>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</si>
  <si>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</si>
  <si>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</si>
  <si>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</si>
  <si>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</si>
  <si>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</si>
  <si>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</si>
  <si>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</si>
  <si>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</si>
  <si>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</si>
  <si>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</si>
  <si>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</si>
  <si>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</si>
  <si>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</si>
  <si>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</si>
  <si>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</si>
  <si>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</si>
  <si>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</si>
  <si>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</si>
  <si>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</si>
  <si>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</si>
  <si>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</si>
  <si>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</si>
  <si>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</si>
  <si>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</si>
  <si>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</si>
  <si>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</si>
  <si>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</si>
  <si>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</si>
  <si>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</si>
  <si>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</si>
  <si>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</si>
  <si>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</si>
  <si>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</si>
  <si>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</si>
  <si>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</si>
  <si>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</si>
  <si>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</si>
  <si>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</si>
  <si>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</si>
  <si>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</si>
  <si>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</si>
  <si>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</si>
  <si>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</si>
  <si>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</si>
  <si>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</si>
  <si>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</si>
  <si>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</si>
  <si>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</si>
  <si>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</si>
  <si>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</si>
  <si>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</si>
  <si>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</si>
  <si>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</si>
  <si>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</si>
  <si>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</si>
  <si>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</si>
  <si>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</si>
  <si>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</si>
  <si>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</si>
  <si>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</si>
  <si>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</si>
  <si>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</si>
  <si>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</si>
  <si>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</si>
  <si>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</si>
  <si>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</si>
  <si>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</si>
  <si>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</si>
  <si>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</si>
  <si>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</si>
  <si>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</si>
  <si>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</si>
  <si>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</si>
  <si>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</si>
  <si>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</si>
  <si>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</si>
  <si>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</si>
  <si>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</si>
  <si>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</si>
  <si>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</si>
  <si>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</si>
  <si>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</si>
  <si>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</si>
  <si>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</si>
  <si>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</si>
  <si>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</si>
  <si>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</si>
  <si>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</si>
  <si>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</si>
  <si>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</si>
  <si>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</si>
  <si>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</si>
  <si>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</si>
  <si>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</si>
  <si>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</si>
  <si>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</si>
  <si>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</si>
  <si>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</si>
  <si>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</si>
  <si>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</si>
  <si>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</si>
  <si>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</si>
  <si>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</si>
  <si>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</si>
  <si>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</si>
  <si>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</si>
  <si>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</si>
  <si>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</si>
  <si>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</si>
  <si>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</si>
  <si>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</si>
  <si>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</si>
  <si>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</si>
  <si>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</si>
  <si>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</si>
  <si>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</si>
  <si>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</si>
  <si>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</si>
  <si>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</si>
  <si>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</si>
  <si>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</si>
  <si>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</si>
  <si>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</si>
  <si>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</si>
  <si>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</si>
  <si>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</si>
  <si>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</si>
  <si>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</si>
  <si>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</si>
  <si>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</si>
  <si>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</si>
  <si>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</si>
  <si>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</si>
  <si>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</si>
  <si>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</si>
  <si>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</si>
  <si>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</si>
  <si>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</si>
  <si>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</si>
  <si>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</si>
  <si>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</si>
  <si>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</si>
  <si>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</si>
  <si>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</si>
  <si>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</si>
  <si>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</si>
  <si>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</si>
  <si>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</si>
  <si>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</si>
  <si>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</si>
  <si>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</si>
  <si>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</si>
  <si>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</si>
  <si>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</si>
  <si>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</si>
  <si>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</si>
  <si>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</si>
  <si>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</si>
  <si>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</si>
  <si>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</si>
  <si>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</si>
  <si>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</si>
  <si>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</si>
  <si>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</si>
  <si>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</si>
  <si>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</si>
  <si>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</si>
  <si>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</si>
  <si>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</si>
  <si>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</si>
  <si>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</si>
  <si>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</si>
  <si>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</si>
  <si>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</si>
  <si>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</si>
  <si>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</si>
  <si>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</si>
  <si>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</si>
  <si>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</si>
  <si>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</si>
  <si>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</si>
  <si>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</si>
  <si>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</si>
  <si>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</si>
  <si>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</si>
  <si>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</si>
  <si>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</si>
  <si>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</si>
  <si>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</si>
  <si>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</si>
  <si>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</si>
  <si>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</si>
  <si>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</si>
  <si>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</si>
  <si>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</si>
  <si>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</si>
  <si>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</si>
  <si>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</si>
  <si>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</si>
  <si>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</si>
  <si>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</si>
  <si>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</si>
  <si>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</si>
  <si>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</si>
  <si>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</si>
  <si>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</si>
  <si>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</si>
  <si>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</si>
  <si>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</si>
  <si>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</si>
  <si>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</si>
  <si>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</si>
  <si>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</si>
  <si>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</si>
  <si>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</si>
  <si>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</si>
  <si>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</si>
  <si>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EWZ US 01/16/26 P34</t>
  </si>
  <si>
    <t>EWZ US 01/16/26 P34 Equity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</si>
  <si>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</si>
  <si>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</si>
  <si>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</si>
  <si>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</si>
  <si>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</si>
  <si>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</si>
  <si>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</si>
  <si>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</si>
  <si>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</si>
  <si>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</si>
  <si>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</si>
  <si>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</si>
  <si>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</si>
  <si>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</si>
  <si>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</si>
  <si>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</si>
  <si>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</si>
  <si>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</si>
  <si>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</si>
  <si>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</si>
  <si>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P90</t>
  </si>
  <si>
    <t>NFLX US 03/20/26 P80</t>
  </si>
  <si>
    <t>NFLX US 03/20/26 C105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</si>
  <si>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</si>
  <si>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</si>
  <si>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</si>
  <si>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</si>
  <si>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</si>
  <si>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</si>
  <si>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</si>
  <si>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</si>
  <si>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</si>
  <si>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</si>
  <si>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</si>
  <si>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</si>
  <si>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</si>
  <si>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</si>
  <si>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</si>
  <si>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</si>
  <si>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</si>
  <si>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</si>
  <si>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</si>
  <si>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</si>
  <si>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</si>
  <si>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</si>
  <si>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</si>
  <si>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</si>
  <si>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</si>
  <si>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</si>
  <si>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</si>
  <si>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</si>
  <si>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</si>
  <si>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</si>
  <si>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</si>
  <si>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</si>
  <si>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</si>
  <si>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</si>
  <si>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</si>
  <si>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</si>
  <si>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</si>
  <si>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SPY DIVIDEND_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</si>
  <si>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</si>
  <si>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</si>
  <si>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</si>
  <si>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</si>
  <si>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</si>
  <si>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</si>
  <si>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</si>
  <si>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</si>
  <si>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</si>
  <si>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</si>
  <si>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</si>
  <si>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</si>
  <si>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</si>
  <si>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</si>
  <si>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</si>
  <si>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</si>
  <si>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</si>
  <si>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</si>
  <si>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</si>
  <si>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</si>
  <si>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</si>
  <si>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</si>
  <si>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</si>
  <si>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7487.249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</si>
  <si>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</si>
  <si>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</si>
  <si>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</si>
  <si>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</si>
  <si>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</si>
  <si>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</si>
  <si>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</si>
  <si>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</si>
  <si>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</si>
  <si>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</si>
  <si>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</si>
  <si>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</si>
  <si>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</si>
  <si>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</si>
  <si>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</si>
  <si>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</si>
  <si>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330</t>
  </si>
  <si>
    <t>490</t>
  </si>
  <si>
    <t>455</t>
  </si>
  <si>
    <t>465</t>
  </si>
  <si>
    <t>80</t>
  </si>
  <si>
    <t>90</t>
  </si>
  <si>
    <t>34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</si>
  <si>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</si>
  <si>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</si>
  <si>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</si>
  <si>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</si>
  <si>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</si>
  <si>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</si>
  <si>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</si>
  <si>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</si>
  <si>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</si>
  <si>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</si>
  <si>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</si>
  <si>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</si>
  <si>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</si>
  <si>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570</t>
  </si>
  <si>
    <t>27.57</t>
  </si>
  <si>
    <t>21.57</t>
  </si>
  <si>
    <t>24.07</t>
  </si>
  <si>
    <t>28.32</t>
  </si>
  <si>
    <t>23.82</t>
  </si>
  <si>
    <t>26.32</t>
  </si>
  <si>
    <t>19.00</t>
  </si>
  <si>
    <t>20.50</t>
  </si>
  <si>
    <t>12.11</t>
  </si>
  <si>
    <t>13.36</t>
  </si>
  <si>
    <t>57.32</t>
  </si>
  <si>
    <t>47.82</t>
  </si>
  <si>
    <t>51.82</t>
  </si>
  <si>
    <t>43.00</t>
  </si>
  <si>
    <t>48.00</t>
  </si>
  <si>
    <t>50.38</t>
  </si>
  <si>
    <t>11.42</t>
  </si>
  <si>
    <t>12.67</t>
  </si>
  <si>
    <t>13.67</t>
  </si>
  <si>
    <t>12.04</t>
  </si>
  <si>
    <t>13.04</t>
  </si>
  <si>
    <t>AXIA3 20/02/26 C54.50 OTC</t>
  </si>
  <si>
    <t>54.50</t>
  </si>
  <si>
    <t>AXIA3 20/02/26 P47.00 OTC</t>
  </si>
  <si>
    <t>47.00</t>
  </si>
  <si>
    <t>AXIA3 20/02/26 P50.50 OTC</t>
  </si>
  <si>
    <t>50.50</t>
  </si>
  <si>
    <t>SMFT3 20/03/26 C25.31 OTC</t>
  </si>
  <si>
    <t>25.31</t>
  </si>
  <si>
    <t>SMFT3 20/03/26 P21.31 OTC</t>
  </si>
  <si>
    <t>21.31</t>
  </si>
  <si>
    <t>SMFT3 20/03/26 P23.31 OTC</t>
  </si>
  <si>
    <t>23.31</t>
  </si>
  <si>
    <t>VALE3 20/02/26 C75.90 OTC</t>
  </si>
  <si>
    <t>VALE3 Equity</t>
  </si>
  <si>
    <t>75.90</t>
  </si>
  <si>
    <t>VALE3 20/02/26 C80.90 OTC</t>
  </si>
  <si>
    <t>80.90</t>
  </si>
  <si>
    <t>ASHR US 02/20/26 C35</t>
  </si>
  <si>
    <t>TSM US 06/18/26 C340</t>
  </si>
  <si>
    <t>TSM US 06/18/26 C380</t>
  </si>
  <si>
    <t>TSM US 07/17/26 C340</t>
  </si>
  <si>
    <t>TSM US 07/17/26 C380</t>
  </si>
  <si>
    <t>W US 05/15/26 C125</t>
  </si>
  <si>
    <t>TSM US 06/18/26 C340 Equity</t>
  </si>
  <si>
    <t>340</t>
  </si>
  <si>
    <t>TSM US 06/18/26 C380 Equity</t>
  </si>
  <si>
    <t>380</t>
  </si>
  <si>
    <t>ASHR US 02/20/26 C35 Equity</t>
  </si>
  <si>
    <t>ASHR US Equity</t>
  </si>
  <si>
    <t>35</t>
  </si>
  <si>
    <t>ABEV3 20/02/26 C14.92 OTC</t>
  </si>
  <si>
    <t>14.92</t>
  </si>
  <si>
    <t>IBOVE 18/02/26 P161000 OTC</t>
  </si>
  <si>
    <t>161000</t>
  </si>
  <si>
    <t>SMAL11 20/02/26 P108 OTC</t>
  </si>
  <si>
    <t>108</t>
  </si>
  <si>
    <t>SMAL11 20/02/26 P113 OTC</t>
  </si>
  <si>
    <t>113</t>
  </si>
  <si>
    <t>ASML US 01/23/26 P1200</t>
  </si>
  <si>
    <t>ASML US 01/23/26 P1100</t>
  </si>
  <si>
    <t>AMAT US 01/23/26 P280</t>
  </si>
  <si>
    <t>AMAT US 01/23/26 P290</t>
  </si>
  <si>
    <t>Internet/SW</t>
  </si>
  <si>
    <t>AMAT US 01/23/26 P290 Equity</t>
  </si>
  <si>
    <t>AMAT US Equity</t>
  </si>
  <si>
    <t>290</t>
  </si>
  <si>
    <t>AMAT US 01/23/26 P280 Equity</t>
  </si>
  <si>
    <t>280</t>
  </si>
  <si>
    <t>Pairs</t>
  </si>
  <si>
    <t>QQQ US 01/16/26 C635</t>
  </si>
  <si>
    <t>QQQ US 01/16/26 C633</t>
  </si>
  <si>
    <t>QQQ US 01/16/26 P622</t>
  </si>
  <si>
    <t>QQQ US 01/15/26 P623</t>
  </si>
  <si>
    <t>QQQ US 01/15/26 P622</t>
  </si>
  <si>
    <t>SMAL11 20/02/26 P114 OTC</t>
  </si>
  <si>
    <t>114</t>
  </si>
  <si>
    <t>VIVA3 20/02/26 C30.14 OTC</t>
  </si>
  <si>
    <t>VIVA3 Equity</t>
  </si>
  <si>
    <t>30.14</t>
  </si>
  <si>
    <t>VIVA3 20/02/26 P25.89 OTC</t>
  </si>
  <si>
    <t>25.89</t>
  </si>
  <si>
    <t>VIVA3 20/02/26 P28.14 OTC</t>
  </si>
  <si>
    <t>28.14</t>
  </si>
  <si>
    <t>1OG6P 25000</t>
  </si>
  <si>
    <t>GDX US 09/18/26 C105</t>
  </si>
  <si>
    <t>GDX US 09/18/26 C115</t>
  </si>
  <si>
    <t>KHC</t>
  </si>
  <si>
    <t>GDX US 09/18/26 C115 Equity</t>
  </si>
  <si>
    <t>GDX US Equity</t>
  </si>
  <si>
    <t>115</t>
  </si>
  <si>
    <t>GDX US 09/18/26 C105 Equity</t>
  </si>
  <si>
    <t>105</t>
  </si>
  <si>
    <t>IBOVE 18/02/26 P163000 OTC</t>
  </si>
  <si>
    <t>NASDAQ-100 E-mini Options - CME</t>
  </si>
  <si>
    <t>DELL DIVIDEND_</t>
  </si>
  <si>
    <t>000660 KP</t>
  </si>
  <si>
    <t>SNDK US 02/20/26 C500</t>
  </si>
  <si>
    <t>MRVL US 03/20/26 P70</t>
  </si>
  <si>
    <t>QQQ US 01/21/26 P616</t>
  </si>
  <si>
    <t>QQQ US 01/23/26 P615</t>
  </si>
  <si>
    <t>Net ex Metals</t>
  </si>
  <si>
    <t>Net total</t>
  </si>
  <si>
    <t>SNDK US 02/20/26 C500 Equity</t>
  </si>
  <si>
    <t>SNDK US Equity</t>
  </si>
  <si>
    <t>500</t>
  </si>
  <si>
    <t>EWZ US 02/20/26 C35</t>
  </si>
  <si>
    <t>EWZ US 02/20/26 C35 Equity</t>
  </si>
  <si>
    <t>MRVL US 03/20/26 P70 Equity</t>
  </si>
  <si>
    <t>70</t>
  </si>
  <si>
    <t>163000</t>
  </si>
  <si>
    <t>SNDK US 02/20/26 C550</t>
  </si>
  <si>
    <t>QQQ US 01/26/26 C627</t>
  </si>
  <si>
    <t>QQQ US 01/26/26 C630</t>
  </si>
  <si>
    <t>QQQ US 01/26/26 P615</t>
  </si>
  <si>
    <t>LITE US 03/20/26 C420</t>
  </si>
  <si>
    <t>AMZN US 07/17/26 C250</t>
  </si>
  <si>
    <t>AMZN US 07/17/26 C245</t>
  </si>
  <si>
    <t>META US 07/17/26 C670</t>
  </si>
  <si>
    <t>MSFT US 07/17/26 C470</t>
  </si>
  <si>
    <t>MSFT US 07/17/26 C465</t>
  </si>
  <si>
    <t>GOOG US 07/17/26 C350</t>
  </si>
  <si>
    <t>Provision CME USD_</t>
  </si>
  <si>
    <t>SWAP 000660 KP 23JAN2026 25JAN2027 509.6192</t>
  </si>
  <si>
    <t>NVDA US 07/17/26 C195</t>
  </si>
  <si>
    <t>META US 07/17/26 C680</t>
  </si>
  <si>
    <t>QQQ US 02/06/26 C630</t>
  </si>
  <si>
    <t>META US 02/27/26 C660</t>
  </si>
  <si>
    <t>INTC US 01/23/26 C60</t>
  </si>
  <si>
    <t>QQQ US 01/26/26 P615 Equity</t>
  </si>
  <si>
    <t>615</t>
  </si>
  <si>
    <t>SNDK US 02/20/26 C550 Equity</t>
  </si>
  <si>
    <t>META US 07/17/26 C670 Equity</t>
  </si>
  <si>
    <t>670</t>
  </si>
  <si>
    <t>AMZN US 07/17/26 C245 Equity</t>
  </si>
  <si>
    <t>245</t>
  </si>
  <si>
    <t>KOSPI2 12/10/26 C1000</t>
  </si>
  <si>
    <t>KOSPI2 12/10/26 C1000 Equity</t>
  </si>
  <si>
    <t>KOSPI2 Equity</t>
  </si>
  <si>
    <t>1000</t>
  </si>
  <si>
    <t>LITE US 03/20/26 C420 Equity</t>
  </si>
  <si>
    <t>420</t>
  </si>
  <si>
    <t>MSFT US 07/17/26 C465 Equity</t>
  </si>
  <si>
    <t>QQQ US 02/06/26 C630 Equity</t>
  </si>
  <si>
    <t>630</t>
  </si>
  <si>
    <t>PETR4 20/02/26 P34.15 OTC</t>
  </si>
  <si>
    <t>34.15</t>
  </si>
  <si>
    <t>PRIO3 20/02/26 P43.25 OTC</t>
  </si>
  <si>
    <t>PRIO3 Equity</t>
  </si>
  <si>
    <t>43.25</t>
  </si>
  <si>
    <t>PRIO3 20/02/26 P46.25 OTC</t>
  </si>
  <si>
    <t>46.25</t>
  </si>
  <si>
    <t>PRIO3 20/03/26 C50.50 OTC</t>
  </si>
  <si>
    <t>PRIO3 20/03/26 P42.50 OTC</t>
  </si>
  <si>
    <t>42.50</t>
  </si>
  <si>
    <t>PRIO3 20/03/26 P46.50 OTC</t>
  </si>
  <si>
    <t>46.50</t>
  </si>
  <si>
    <t>Chg</t>
  </si>
  <si>
    <t>bps</t>
  </si>
  <si>
    <t>KOSPI 200 Index Options - KRX</t>
  </si>
  <si>
    <t>Provision Korea Exchange USD_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</si>
  <si>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</si>
  <si>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</si>
  <si>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</si>
  <si>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</si>
  <si>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</si>
  <si>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</si>
  <si>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</si>
  <si>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37</t>
  </si>
  <si>
    <t>INTC US 07/17/26 C50 Equity</t>
  </si>
  <si>
    <t>INTC US Equity</t>
  </si>
  <si>
    <t>50</t>
  </si>
  <si>
    <t>INTC US 07/17/26 C60 Equity</t>
  </si>
  <si>
    <t>60</t>
  </si>
  <si>
    <t>INTC US 07/17/26 P40 Equity</t>
  </si>
  <si>
    <t>40</t>
  </si>
  <si>
    <t>MSFT US 07/17/26 C475 Equity</t>
  </si>
  <si>
    <t>475</t>
  </si>
  <si>
    <t>ITUB4 20/02/26 P40.94 OTC</t>
  </si>
  <si>
    <t>ITUB4 Equity</t>
  </si>
  <si>
    <t>40.94</t>
  </si>
  <si>
    <t>ITUB4 20/02/26 P42.88 OTC</t>
  </si>
  <si>
    <t>42.88</t>
  </si>
  <si>
    <t>1OG6C 26000</t>
  </si>
  <si>
    <t>CSCO</t>
  </si>
  <si>
    <t>YEST</t>
  </si>
  <si>
    <t>TODAY</t>
  </si>
  <si>
    <t>SMAL11 20/02/26 P120 OTC</t>
  </si>
  <si>
    <t>120</t>
  </si>
  <si>
    <t>VALE3 20/02/26 P77.90 OTC</t>
  </si>
  <si>
    <t>77.90</t>
  </si>
  <si>
    <t>VALE3 20/02/26 P82.90 OTC</t>
  </si>
  <si>
    <t>82.90</t>
  </si>
  <si>
    <t>AKAM</t>
  </si>
  <si>
    <t>NET</t>
  </si>
  <si>
    <t>AKAM US 08/21/26 C115</t>
  </si>
  <si>
    <t>AKAM US 08/21/26 C130</t>
  </si>
  <si>
    <t>MSFT US 07/17/26 C500</t>
  </si>
  <si>
    <t>Max Loss bps</t>
  </si>
  <si>
    <t>MSFT US 01/30/26 C490</t>
  </si>
  <si>
    <t>MSFT US 01/30/26 C505</t>
  </si>
  <si>
    <t>QQQ US 01/29/26 P625</t>
  </si>
  <si>
    <t>QQQ US 01/29/26 P628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</si>
</sst>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0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</fonts>
  <fills count="9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</fills>
  <borders count="5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</borders>
  <cellStyleXfs count="5467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6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7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8" fillId="50" borderId="29" applyNumberFormat="0" applyAlignment="0" applyProtection="0"/>
    <xf numFmtId="0" fontId="36" fillId="0" borderId="0" applyFont="0" applyFill="0" applyBorder="0" applyAlignment="0" applyProtection="0"/>
    <xf numFmtId="8" fontId="99" fillId="0" borderId="0" applyFont="0" applyFill="0" applyBorder="0" applyAlignment="0" applyProtection="0"/>
    <xf numFmtId="0" fontId="100" fillId="90" borderId="44" applyNumberFormat="0" applyFont="0" applyAlignment="0" applyProtection="0"/>
    <xf numFmtId="0" fontId="57" fillId="49" borderId="31" applyNumberFormat="0" applyAlignment="0" applyProtection="0"/>
    <xf numFmtId="0" fontId="101" fillId="0" borderId="0" applyFont="0" applyFill="0" applyBorder="0" applyAlignment="0" applyProtection="0"/>
    <xf numFmtId="4" fontId="99" fillId="0" borderId="0" applyFont="0" applyFill="0" applyBorder="0" applyAlignment="0" applyProtection="0"/>
    <xf numFmtId="0" fontId="10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36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0" borderId="0" xfId="190" applyNumberFormat="1" applyFont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43" fontId="2" fillId="0" borderId="0" xfId="190" applyNumberFormat="1" applyFont="1"/>
    <xf numFmtId="10" fontId="0" fillId="0" borderId="0" xfId="190" applyNumberFormat="1" applyFont="1"/>
    <xf numFmtId="43" fontId="2" fillId="0" borderId="0" xfId="190" applyNumberFormat="1" applyFont="1" applyAlignment="1">
      <alignment horizontal="right"/>
    </xf>
    <xf numFmtId="43" fontId="2" fillId="0" borderId="0" xfId="190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43" fontId="0" fillId="0" borderId="0" xfId="190" applyNumberFormat="1" applyFont="1" applyAlignment="1">
      <alignment horizontal="right"/>
    </xf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4" fillId="0" borderId="0" xfId="0" applyNumberFormat="1" applyFont="1"/>
    <xf numFmtId="10" fontId="94" fillId="0" borderId="0" xfId="0" applyNumberFormat="1" applyFont="1"/>
    <xf numFmtId="0" fontId="94" fillId="0" borderId="0" xfId="0" applyFont="1" applyAlignment="1">
      <alignment horizontal="left" indent="1"/>
    </xf>
    <xf numFmtId="170" fontId="94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4" fillId="0" borderId="0" xfId="0" applyNumberFormat="1" applyFont="1"/>
    <xf numFmtId="2" fontId="96" fillId="0" borderId="0" xfId="0" applyNumberFormat="1" applyFont="1"/>
    <xf numFmtId="172" fontId="96" fillId="0" borderId="0" xfId="4420" applyNumberFormat="1" applyFont="1"/>
    <xf numFmtId="168" fontId="0" fillId="0" borderId="0" xfId="4419" applyNumberFormat="1" applyFont="1"/>
    <xf numFmtId="0" fontId="104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4" fontId="28" fillId="2" borderId="0" xfId="190" applyFont="1" applyFill="1"/>
    <xf numFmtId="9" fontId="0" fillId="2" borderId="0" xfId="1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95" fontId="0" fillId="2" borderId="0" xfId="190" applyNumberFormat="1" applyFont="1" applyFill="1"/>
    <xf numFmtId="170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1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71" fontId="0" fillId="2" borderId="0" xfId="190" applyNumberFormat="1" applyFont="1" applyFill="1"/>
    <xf numFmtId="182" fontId="2" fillId="91" borderId="0" xfId="0" applyNumberFormat="1" applyFont="1" applyFill="1" applyAlignment="1">
      <alignment horizontal="center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172" fontId="0" fillId="0" borderId="0" xfId="1" quotePrefix="1" applyNumberFormat="1" applyFont="1" applyFill="1"/>
    <xf numFmtId="10" fontId="0" fillId="0" borderId="0" xfId="1" applyNumberFormat="1" applyFont="1" applyFill="1" applyAlignment="1">
      <alignment horizontal="center"/>
    </xf>
    <xf numFmtId="196" fontId="0" fillId="0" borderId="0" xfId="0" applyNumberFormat="1"/>
    <xf numFmtId="166" fontId="0" fillId="0" borderId="0" xfId="0" applyNumberFormat="1" applyAlignment="1">
      <alignment horizontal="right"/>
    </xf>
    <xf numFmtId="172" fontId="6" fillId="6" borderId="0" xfId="1" applyNumberFormat="1" applyFont="1" applyFill="1"/>
    <xf numFmtId="0" fontId="0" fillId="84" borderId="2" xfId="0" applyFill="1" applyBorder="1"/>
    <xf numFmtId="4" fontId="15" fillId="95" borderId="18" xfId="190" applyFont="1" applyFill="1" applyBorder="1" applyAlignment="1">
      <alignment horizontal="center"/>
    </xf>
    <xf numFmtId="2" fontId="15" fillId="95" borderId="18" xfId="0" applyNumberFormat="1" applyFont="1" applyFill="1" applyBorder="1" applyAlignment="1">
      <alignment horizontal="center"/>
    </xf>
    <xf numFmtId="4" fontId="28" fillId="11" borderId="0" xfId="190" applyFont="1" applyFill="1"/>
    <xf numFmtId="4" fontId="86" fillId="11" borderId="0" xfId="190" applyFont="1" applyFill="1"/>
    <xf numFmtId="10" fontId="0" fillId="11" borderId="0" xfId="1" applyNumberFormat="1" applyFont="1" applyFill="1"/>
    <xf numFmtId="9" fontId="0" fillId="11" borderId="0" xfId="1" applyFont="1" applyFill="1"/>
    <xf numFmtId="172" fontId="0" fillId="11" borderId="0" xfId="1" applyNumberFormat="1" applyFont="1" applyFill="1"/>
    <xf numFmtId="170" fontId="1" fillId="11" borderId="0" xfId="190" applyNumberFormat="1" applyFont="1" applyFill="1"/>
    <xf numFmtId="43" fontId="0" fillId="11" borderId="0" xfId="190" quotePrefix="1" applyNumberFormat="1" applyFont="1" applyFill="1"/>
    <xf numFmtId="4" fontId="1" fillId="11" borderId="0" xfId="190" applyFont="1" applyFill="1" applyAlignment="1">
      <alignment horizontal="right"/>
    </xf>
    <xf numFmtId="167" fontId="0" fillId="11" borderId="0" xfId="190" applyNumberFormat="1" applyFont="1" applyFill="1"/>
    <xf numFmtId="195" fontId="0" fillId="11" borderId="0" xfId="190" applyNumberFormat="1" applyFont="1" applyFill="1"/>
    <xf numFmtId="170" fontId="0" fillId="11" borderId="0" xfId="190" applyNumberFormat="1" applyFont="1" applyFill="1"/>
    <xf numFmtId="171" fontId="0" fillId="11" borderId="0" xfId="190" applyNumberFormat="1" applyFont="1" applyFill="1"/>
    <xf numFmtId="172" fontId="0" fillId="11" borderId="0" xfId="0" applyNumberFormat="1" applyFill="1"/>
    <xf numFmtId="4" fontId="0" fillId="11" borderId="0" xfId="190" applyFont="1" applyFill="1"/>
    <xf numFmtId="169" fontId="0" fillId="11" borderId="0" xfId="190" applyNumberFormat="1" applyFont="1" applyFill="1"/>
    <xf numFmtId="2" fontId="0" fillId="11" borderId="0" xfId="0" applyNumberFormat="1" applyFill="1"/>
    <xf numFmtId="3" fontId="0" fillId="2" borderId="0" xfId="190" applyNumberFormat="1" applyFont="1" applyFill="1"/>
    <xf numFmtId="166" fontId="0" fillId="2" borderId="0" xfId="0" applyNumberFormat="1" applyFill="1" applyAlignment="1">
      <alignment horizontal="right"/>
    </xf>
    <xf numFmtId="10" fontId="0" fillId="2" borderId="1" xfId="1" applyNumberFormat="1" applyFont="1" applyFill="1" applyBorder="1"/>
    <xf numFmtId="43" fontId="0" fillId="2" borderId="19" xfId="190" applyNumberFormat="1" applyFont="1" applyFill="1" applyBorder="1" applyAlignment="1">
      <alignment horizontal="right"/>
    </xf>
    <xf numFmtId="166" fontId="0" fillId="2" borderId="1" xfId="190" applyNumberFormat="1" applyFont="1" applyFill="1" applyBorder="1"/>
    <xf numFmtId="198" fontId="0" fillId="2" borderId="0" xfId="1" applyNumberFormat="1" applyFont="1" applyFill="1"/>
    <xf numFmtId="170" fontId="0" fillId="2" borderId="1" xfId="190" applyNumberFormat="1" applyFont="1" applyFill="1" applyBorder="1"/>
    <xf numFmtId="166" fontId="0" fillId="2" borderId="0" xfId="0" applyNumberFormat="1" applyFill="1"/>
    <xf numFmtId="173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0" xfId="1" applyNumberFormat="1" applyFont="1" applyFill="1"/>
    <xf numFmtId="170" fontId="0" fillId="2" borderId="0" xfId="190" applyNumberFormat="1" applyFont="1" applyFill="1" applyBorder="1"/>
    <xf numFmtId="10" fontId="0" fillId="2" borderId="0" xfId="1" applyNumberFormat="1" applyFont="1" applyFill="1" applyBorder="1"/>
    <xf numFmtId="196" fontId="0" fillId="2" borderId="0" xfId="0" applyNumberFormat="1" applyFill="1"/>
    <xf numFmtId="43" fontId="0" fillId="10" borderId="0" xfId="190" quotePrefix="1" applyNumberFormat="1" applyFont="1" applyFill="1"/>
    <xf numFmtId="168" fontId="0" fillId="2" borderId="0" xfId="0" applyNumberFormat="1" applyFill="1"/>
    <xf numFmtId="2" fontId="0" fillId="10" borderId="0" xfId="0" applyNumberFormat="1" applyFill="1"/>
    <xf numFmtId="169" fontId="0" fillId="10" borderId="0" xfId="190" applyNumberFormat="1" applyFont="1" applyFill="1"/>
    <xf numFmtId="172" fontId="0" fillId="10" borderId="0" xfId="0" applyNumberFormat="1" applyFill="1"/>
    <xf numFmtId="171" fontId="0" fillId="10" borderId="0" xfId="190" applyNumberFormat="1" applyFont="1" applyFill="1"/>
    <xf numFmtId="170" fontId="0" fillId="10" borderId="0" xfId="190" applyNumberFormat="1" applyFont="1" applyFill="1"/>
    <xf numFmtId="195" fontId="0" fillId="10" borderId="0" xfId="190" applyNumberFormat="1" applyFont="1" applyFill="1"/>
    <xf numFmtId="167" fontId="0" fillId="10" borderId="0" xfId="190" applyNumberFormat="1" applyFont="1" applyFill="1"/>
    <xf numFmtId="4" fontId="1" fillId="10" borderId="0" xfId="190" applyFont="1" applyFill="1" applyAlignment="1">
      <alignment horizontal="right"/>
    </xf>
    <xf numFmtId="170" fontId="1" fillId="10" borderId="0" xfId="190" applyNumberFormat="1" applyFont="1" applyFill="1"/>
    <xf numFmtId="172" fontId="0" fillId="10" borderId="0" xfId="1" applyNumberFormat="1" applyFont="1" applyFill="1"/>
    <xf numFmtId="9" fontId="0" fillId="10" borderId="0" xfId="1" applyFont="1" applyFill="1"/>
    <xf numFmtId="4" fontId="86" fillId="10" borderId="0" xfId="190" applyFont="1" applyFill="1"/>
    <xf numFmtId="166" fontId="0" fillId="10" borderId="0" xfId="190" applyNumberFormat="1" applyFont="1" applyFill="1"/>
    <xf numFmtId="4" fontId="28" fillId="10" borderId="0" xfId="190" applyFont="1" applyFill="1"/>
    <xf numFmtId="14" fontId="15" fillId="3" borderId="0" xfId="0" applyNumberFormat="1" applyFont="1" applyFill="1" applyAlignment="1">
      <alignment horizontal="center"/>
    </xf>
    <xf numFmtId="0" fontId="3" fillId="94" borderId="49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95" fillId="88" borderId="0" xfId="0" applyFont="1" applyFill="1" applyAlignment="1">
      <alignment horizontal="center"/>
    </xf>
    <xf numFmtId="0" fontId="3" fillId="92" borderId="46" xfId="0" applyFont="1" applyFill="1" applyBorder="1" applyAlignment="1">
      <alignment horizontal="left"/>
    </xf>
    <xf numFmtId="0" fontId="3" fillId="93" borderId="47" xfId="0" applyFont="1" applyFill="1" applyBorder="1" applyAlignment="1">
      <alignment horizontal="center"/>
    </xf>
    <xf numFmtId="0" fontId="3" fillId="93" borderId="48" xfId="0" applyFont="1" applyFill="1" applyBorder="1" applyAlignment="1">
      <alignment horizontal="center"/>
    </xf>
    <xf numFmtId="0" fontId="3" fillId="93" borderId="49" xfId="0" applyFont="1" applyFill="1" applyBorder="1" applyAlignment="1">
      <alignment horizontal="center"/>
    </xf>
    <xf numFmtId="0" fontId="3" fillId="93" borderId="50" xfId="0" applyFont="1" applyFill="1" applyBorder="1" applyAlignment="1">
      <alignment horizontal="center"/>
    </xf>
    <xf numFmtId="0" fontId="3" fillId="93" borderId="51" xfId="0" applyFont="1" applyFill="1" applyBorder="1" applyAlignment="1">
      <alignment horizontal="center"/>
    </xf>
    <xf numFmtId="0" fontId="3" fillId="93" borderId="52" xfId="0" applyFont="1" applyFill="1" applyBorder="1" applyAlignment="1">
      <alignment horizontal="center"/>
    </xf>
    <xf numFmtId="0" fontId="3" fillId="93" borderId="53" xfId="0" applyFont="1" applyFill="1" applyBorder="1" applyAlignment="1">
      <alignment horizontal="center"/>
    </xf>
    <xf numFmtId="0" fontId="15" fillId="0" borderId="1" xfId="0" applyFont="1" applyBorder="1" applyAlignment="1">
      <alignment horizontal="left"/>
    </xf>
    <xf numFmtId="0" fontId="15" fillId="0" borderId="19" xfId="0" applyFont="1" applyBorder="1" applyAlignment="1">
      <alignment horizontal="center"/>
    </xf>
    <xf numFmtId="2" fontId="15" fillId="95" borderId="0" xfId="0" applyNumberFormat="1" applyFont="1" applyFill="1" applyAlignment="1">
      <alignment horizontal="center"/>
    </xf>
    <xf numFmtId="2" fontId="15" fillId="95" borderId="1" xfId="0" applyNumberFormat="1" applyFont="1" applyFill="1" applyBorder="1" applyAlignment="1">
      <alignment horizontal="center"/>
    </xf>
    <xf numFmtId="183" fontId="15" fillId="95" borderId="0" xfId="0" applyNumberFormat="1" applyFont="1" applyFill="1" applyAlignment="1">
      <alignment horizontal="center"/>
    </xf>
    <xf numFmtId="0" fontId="28" fillId="0" borderId="0" xfId="0" applyFont="1"/>
    <xf numFmtId="0" fontId="15" fillId="2" borderId="0" xfId="0" applyFont="1" applyFill="1" applyAlignment="1">
      <alignment horizontal="center"/>
    </xf>
    <xf numFmtId="2" fontId="15" fillId="2" borderId="18" xfId="0" applyNumberFormat="1" applyFont="1" applyFill="1" applyBorder="1" applyAlignment="1">
      <alignment horizontal="center"/>
    </xf>
    <xf numFmtId="2" fontId="15" fillId="2" borderId="1" xfId="0" applyNumberFormat="1" applyFont="1" applyFill="1" applyBorder="1" applyAlignment="1">
      <alignment horizontal="center"/>
    </xf>
    <xf numFmtId="0" fontId="15" fillId="12" borderId="0" xfId="0" applyFont="1" applyFill="1" applyAlignment="1">
      <alignment horizontal="center"/>
    </xf>
    <xf numFmtId="0" fontId="86" fillId="0" borderId="0" xfId="0" applyFont="1"/>
    <xf numFmtId="0" fontId="15" fillId="8" borderId="0" xfId="0" applyFont="1" applyFill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0" xfId="0" applyFont="1" applyAlignment="1">
      <alignment horizontal="left"/>
    </xf>
    <xf numFmtId="0" fontId="86" fillId="0" borderId="0" xfId="0" applyFont="1" applyAlignment="1">
      <alignment horizontal="center"/>
    </xf>
    <xf numFmtId="0" fontId="3" fillId="92" borderId="49" xfId="0" applyFont="1" applyFill="1" applyBorder="1" applyAlignment="1">
      <alignment horizontal="center"/>
    </xf>
    <xf numFmtId="0" fontId="15" fillId="0" borderId="0" xfId="0" quotePrefix="1" applyFont="1"/>
    <xf numFmtId="170" fontId="90" fillId="0" borderId="0" xfId="0" applyNumberFormat="1" applyFont="1" applyFill="1" applyAlignment="1">
      <alignment horizontal="center" vertical="center" wrapText="1"/>
    </xf>
    <xf numFmtId="0" fontId="89" fillId="0" borderId="0" xfId="0" applyFont="1" applyFill="1" applyAlignment="1">
      <alignment horizontal="left"/>
    </xf>
    <xf numFmtId="172" fontId="89" fillId="0" borderId="0" xfId="0" applyNumberFormat="1" applyFont="1" applyFill="1" applyAlignment="1"/>
    <xf numFmtId="10" fontId="89" fillId="0" borderId="0" xfId="0" applyNumberFormat="1" applyFont="1" applyFill="1" applyAlignment="1"/>
    <xf numFmtId="0" fontId="89" fillId="0" borderId="0" xfId="0" applyFont="1" applyFill="1" applyAlignment="1">
      <alignment horizontal="left" indent="1"/>
    </xf>
    <xf numFmtId="170" fontId="89" fillId="0" borderId="0" xfId="0" applyNumberFormat="1" applyFont="1" applyFill="1" applyAlignment="1"/>
    <xf numFmtId="10" fontId="89" fillId="0" borderId="0" xfId="0" applyNumberFormat="1" applyFont="1" applyFill="1" applyAlignment="1">
      <alignment horizontal="center" vertical="center" wrapText="1"/>
    </xf>
    <xf numFmtId="0" fontId="89" fillId="0" borderId="0" xfId="0" applyFont="1" applyFill="1" applyAlignment="1">
      <alignment horizontal="center" vertical="center" wrapText="1"/>
    </xf>
  </cellXfs>
  <cellStyles count="5467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41" xfId="5461" xr:uid="{1D9E56D4-CAB9-4513-A5AD-78BFD0AB18BC}"/>
    <cellStyle name="Comma 1042" xfId="5462" xr:uid="{399C54C2-D316-46CE-A002-97FBA15A13A8}"/>
    <cellStyle name="Comma 1043" xfId="5463" xr:uid="{DFCE0AB9-6F55-4925-83C8-AA9836656CD9}"/>
    <cellStyle name="Comma 1044" xfId="5464" xr:uid="{9F60B737-9FE0-4B85-A883-F517EB1201A4}"/>
    <cellStyle name="Comma 1045" xfId="5465" xr:uid="{2B63C518-3F18-4AF8-85EB-FDFA24B05DF4}"/>
    <cellStyle name="Comma 1046" xfId="5466" xr:uid="{5AFE10BD-5E1F-4C99-A272-1B05C0AE7B1E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6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USD</v>
        <stp/>
        <stp>BDP|1450739568463243609|22</stp>
        <stp>INTC US 01/23/26 C60 Equity</stp>
        <stp>QUOTED_CURRENCY_REALTIME</stp>
        <tr r="F39" s="89"/>
      </tp>
      <tp>
        <v>27126.95</v>
        <stp/>
        <stp>BDP|17098946093906753306|22</stp>
        <stp>HSI Index</stp>
        <stp>LAST_PRICE</stp>
        <tr r="H18" s="252"/>
        <tr r="H18" s="252"/>
      </tp>
      <tp>
        <v>407.25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 t="s">
        <v>USD</v>
        <stp/>
        <stp>BDP|2490195519672700929|22</stp>
        <stp>MRVL US 03/20/26 P70 Equity</stp>
        <stp>QUOTED_CURRENCY_REALTIME</stp>
        <tr r="G16" s="2"/>
        <tr r="F63" s="89"/>
      </tp>
      <tp>
        <v>0.5401039719581604</v>
        <stp/>
        <stp>BDP|17313826581786805603|22</stp>
        <stp>AMZN US 07/17/26 C250 Equity</stp>
        <stp>DELTA_MID_RT</stp>
        <tr r="W234" s="89"/>
      </tp>
      <tp>
        <v>8.1</v>
        <stp/>
        <stp>BDP|9388867228924409820|22</stp>
        <stp>MSFT US 01/30/26 C490 Equity</stp>
        <stp>bid</stp>
        <tr r="K26" s="89"/>
      </tp>
      <tp t="s">
        <v>#N/A Real Time</v>
        <stp/>
        <stp>BDP|9106857053131827566|22</stp>
        <stp>SPXW US 12/31/25 C6950 Index</stp>
        <stp>DELTA_MID_RT</stp>
        <tr r="W160" s="89"/>
      </tp>
      <tp>
        <v>0.49484530091285706</v>
        <stp/>
        <stp>BDP|16080044180315030458|22</stp>
        <stp>META US 04/17/26 C690 Equity</stp>
        <stp>DELTA_MID_RT</stp>
        <tr r="AF11" s="2"/>
        <tr r="W170" s="89"/>
      </tp>
      <tp>
        <v>2.12</v>
        <stp/>
        <stp>BDP|9946810605715956638|22</stp>
        <stp>AMAT US 01/23/26 P280 Equity</stp>
        <stp>ask</stp>
        <tr r="L56" s="89"/>
      </tp>
      <tp t="s">
        <v>#N/A Real Time</v>
        <stp/>
        <stp>BDP|4173700437419483715|22</stp>
        <stp>IMBWK5C4 5880 Index</stp>
        <stp>bid</stp>
        <tr r="K90" s="89"/>
      </tp>
      <tp t="s">
        <v>#N/A N/A</v>
        <stp/>
        <stp>BDP|1660304564695201690|22</stp>
        <stp>AMAT US 01/23/26 P290 Equity</stp>
        <stp>bid</stp>
        <tr r="K55" s="89"/>
      </tp>
      <tp t="s">
        <v>USD</v>
        <stp/>
        <stp>BDP|6836574577411751820|22</stp>
        <stp>MRVL US 03/20/26 P75 Equity</stp>
        <stp>QUOTED_CURRENCY_REALTIME</stp>
        <tr r="G14" s="2"/>
      </tp>
      <tp>
        <v>11.2</v>
        <stp/>
        <stp>BDP|6325338273908007494|22</stp>
        <stp>W US 05/15/26 C125 Equity</stp>
        <stp>bid</stp>
        <tr r="K40" s="89"/>
      </tp>
      <tp t="s">
        <v>#N/A Invalid Security</v>
        <stp/>
        <stp>BDP|3593915796088697469|22</stp>
        <stp xml:space="preserve"> Equity</stp>
        <stp>DELTA_MID_RT</stp>
        <tr r="W178" s="89"/>
        <tr r="W179" s="89"/>
      </tp>
      <tp t="s">
        <v>#N/A Real Time</v>
        <stp/>
        <stp>BDP|3954062195024173589|22</stp>
        <stp>RTYWU5C3 2425 Index</stp>
        <stp>ask</stp>
        <tr r="L144" s="89"/>
      </tp>
      <tp>
        <v>45.05</v>
        <stp/>
        <stp>BDP|5846012848698429799|22</stp>
        <stp>MSFT US 07/17/26 C470 Equity</stp>
        <stp>bid</stp>
        <tr r="K235" s="89"/>
      </tp>
      <tp>
        <v>0.5606045126914978</v>
        <stp/>
        <stp>BDP|11737212965379664006|22</stp>
        <stp>META US 07/17/26 C680 Equity</stp>
        <stp>DELTA_MID_RT</stp>
        <tr r="W233" s="89"/>
      </tp>
      <tp>
        <v>0.57352054119110107</v>
        <stp/>
        <stp>BDP|15462594640836016524|22</stp>
        <stp>AMZN US 07/17/26 C245 Equity</stp>
        <stp>DELTA_MID_RT</stp>
        <tr r="AF4" s="2"/>
      </tp>
      <tp>
        <v>-0.10651283711194992</v>
        <stp/>
        <stp>BDP|2162853239863021436|22</stp>
        <stp>TSM US 06/18/26 C380 Equity</stp>
        <stp>theta_mid_rt</stp>
        <tr r="AN26" s="2"/>
      </tp>
      <tp>
        <v>43.13</v>
        <stp/>
        <stp>BDP|9887783620218546486|22</stp>
        <stp>MSFT US 07/17/26 C475 Equity</stp>
        <stp>mid</stp>
        <tr r="L17" s="2"/>
        <tr r="L18" s="2"/>
      </tp>
      <tp>
        <v>0.59679120779037476</v>
        <stp/>
        <stp>BDP|10012779820456568860|22</stp>
        <stp>META US 02/27/26 C660 Equity</stp>
        <stp>DELTA_MID_RT</stp>
        <tr r="W180" s="89"/>
      </tp>
      <tp>
        <v>35.799999999999997</v>
        <stp/>
        <stp>BDP|4238048935133024019|22</stp>
        <stp>AVGO US 06/18/26 C350 Equity</stp>
        <stp>mid</stp>
        <tr r="L7" s="2"/>
      </tp>
      <tp t="s">
        <v>#N/A N/A</v>
        <stp/>
        <stp>BDP|7439765758104486583|22</stp>
        <stp>AMAT US 01/23/26 P280 Equity</stp>
        <stp>bid</stp>
        <tr r="K56" s="89"/>
      </tp>
      <tp>
        <v>13.4</v>
        <stp/>
        <stp>BDP|8422052474652011417|22</stp>
        <stp>META US 04/17/26 P590 Equity</stp>
        <stp>bid</stp>
        <tr r="K171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>
        <v>12.8</v>
        <stp/>
        <stp>BDP|1494523756144102558|22</stp>
        <stp>W US 05/15/26 C125 Equity</stp>
        <stp>ask</stp>
        <tr r="L40" s="89"/>
      </tp>
      <tp t="s">
        <v>#N/A Real Time</v>
        <stp/>
        <stp>BDP|2533983096932488351|22</stp>
        <stp>RTYWU5C3 2425 Index</stp>
        <stp>bid</stp>
        <tr r="K144" s="89"/>
      </tp>
      <tp>
        <v>53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>
        <v>0.25450581312179565</v>
        <stp/>
        <stp>BDP|14091170888152008254|22</stp>
        <stp>ASHR US 02/20/26 C35 Equity</stp>
        <stp>DELTA_MID_RT</stp>
        <tr r="AF5" s="2"/>
        <tr r="AF6" s="2"/>
      </tp>
      <tp t="s">
        <v>#N/A Real Time</v>
        <stp/>
        <stp>BDP|3350828662352011280|22</stp>
        <stp>RFSWZ4C3 2360 Index</stp>
        <stp>ask</stp>
        <tr r="L122" s="89"/>
      </tp>
      <tp>
        <v>-0.31786641478538513</v>
        <stp/>
        <stp>BDP|17295184878350823401|22</stp>
        <stp>INTC US 07/17/26 P40 Equity</stp>
        <stp>DELTA_MID_RT</stp>
        <tr r="AF23" s="2"/>
        <tr r="W197" s="89"/>
      </tp>
      <tp>
        <v>480.58</v>
        <stp/>
        <stp>BDP|274803756834169207|22</stp>
        <stp>MSFT EQUITY</stp>
        <stp>LAST_PRICE</stp>
        <tr r="C7" s="1"/>
      </tp>
      <tp t="s">
        <v>#N/A Real Time</v>
        <stp/>
        <stp>BDP|2891447407704048860|22</stp>
        <stp>IMBWK5C4 5840 Index</stp>
        <stp>bid</stp>
        <tr r="K89" s="89"/>
      </tp>
      <tp>
        <v>42.85</v>
        <stp/>
        <stp>BDP|4211808894894581595|22</stp>
        <stp>MSFT US 07/17/26 C475 Equity</stp>
        <stp>bid</stp>
        <tr r="P17" s="2"/>
        <tr r="P18" s="2"/>
      </tp>
      <tp t="s">
        <v>USD</v>
        <stp/>
        <stp>BDP|6256704095836032074|22</stp>
        <stp>INTC US 07/17/26 C50 Equity</stp>
        <stp>QUOTED_CURRENCY_REALTIME</stp>
        <tr r="G22" s="2"/>
        <tr r="F196" s="89"/>
      </tp>
      <tp t="s">
        <v>USD</v>
        <stp/>
        <stp>BDP|7525271008399615963|22</stp>
        <stp>MRVL US 03/20/26 P80 Equity</stp>
        <stp>QUOTED_CURRENCY_REALTIME</stp>
        <tr r="G15" s="2"/>
        <tr r="F62" s="89"/>
      </tp>
      <tp>
        <v>-0.63134938478469849</v>
        <stp/>
        <stp>BDP|14063713080232141765|22</stp>
        <stp>NFLX US 03/20/26 P90 Equity</stp>
        <stp>DELTA_MID_RT</stp>
        <tr r="W187" s="89"/>
      </tp>
      <tp t="s">
        <v>USD</v>
        <stp/>
        <stp>BDP|11169663965640262458|22</stp>
        <stp>1OG6C 26000 Index</stp>
        <stp>QUOTED_CURRENCY_REALTIME</stp>
        <tr r="F153" s="89"/>
        <tr r="F154" s="89"/>
      </tp>
      <tp>
        <v>68.260000000000005</v>
        <stp/>
        <stp>BDP|3505174117914270567|22</stp>
        <stp>KRE Equity</stp>
        <stp>LAST PRICE</stp>
        <tr r="I54" s="338"/>
      </tp>
      <tp>
        <v>-0.79007649421691895</v>
        <stp/>
        <stp>BDP|2848704500670167514|22</stp>
        <stp>QQQ US 01/29/26 P628 Equity</stp>
        <stp>theta_mid_rt</stp>
        <tr r="AN24" s="2"/>
      </tp>
      <tp>
        <v>0.45906588435173035</v>
        <stp/>
        <stp>BDP|18353628177462926305|22</stp>
        <stp>LITE US 02/20/26 C400 Equity</stp>
        <stp>DELTA_MID_RT</stp>
        <tr r="W7" s="89"/>
      </tp>
      <tp>
        <v>3.6</v>
        <stp/>
        <stp>BDP|5582773157105507268|22</stp>
        <stp>MSFT US 01/30/26 C505 Equity</stp>
        <stp>bid</stp>
        <tr r="K27" s="89"/>
      </tp>
      <tp>
        <v>30.85</v>
        <stp/>
        <stp>BDP|7047278571162491606|22</stp>
        <stp>MSFT US 07/17/26 C500 Equity</stp>
        <stp>bid</stp>
        <tr r="P19" s="2"/>
      </tp>
      <tp>
        <v>264.73</v>
        <stp/>
        <stp>BDP|9630309169962502325|22</stp>
        <stp>IWM Equity</stp>
        <stp>LAST PRICE</stp>
        <tr r="I48" s="338"/>
        <tr r="I49" s="338"/>
      </tp>
      <tp t="s">
        <v>#N/A Requesting Data...2415977701</v>
        <stp/>
        <stp>BDP|17013938858517156635</stp>
        <tr r="AR22" s="2"/>
      </tp>
      <tp t="s">
        <v>#N/A Requesting Data...1100369479</v>
        <stp/>
        <stp>BDP|15582332073698885344</stp>
        <tr r="G19" s="446"/>
      </tp>
      <tp t="s">
        <v>#N/A Requesting Data...3100939209</v>
        <stp/>
        <stp>BDP|18146375769712507536</stp>
        <tr r="E2" s="1"/>
        <tr r="K44" s="1"/>
      </tp>
      <tp t="s">
        <v>#N/A Requesting Data...1685618692</v>
        <stp/>
        <stp>BDP|13135230879275111937</stp>
        <tr r="AJ12" s="338"/>
      </tp>
      <tp t="s">
        <v>#N/A Requesting Data...2416672422</v>
        <stp/>
        <stp>BDP|17278629169738623577</stp>
        <tr r="N19" s="252"/>
        <tr r="N19" s="252"/>
      </tp>
      <tp t="s">
        <v>#N/A Requesting Data...3208996988</v>
        <stp/>
        <stp>BDP|16146200554279689285</stp>
        <tr r="O211" s="89"/>
      </tp>
      <tp t="s">
        <v>#N/A Requesting Data...880065936</v>
        <stp/>
        <stp>BDP|15581562198526337530</stp>
        <tr r="AK12" s="338"/>
      </tp>
      <tp t="s">
        <v>#N/A Requesting Data...1284325356</v>
        <stp/>
        <stp>BDP|15965427905903655822</stp>
        <tr r="Z39" s="89"/>
        <tr r="AA39" s="89"/>
      </tp>
      <tp t="s">
        <v>#N/A Requesting Data...3403971463</v>
        <stp/>
        <stp>BDP|13286384604342093849</stp>
        <tr r="X45" s="338"/>
      </tp>
      <tp t="s">
        <v>#N/A Requesting Data...3618747383</v>
        <stp/>
        <stp>BDP|15717048336038730484</stp>
        <tr r="AD20" s="2"/>
      </tp>
      <tp t="s">
        <v>#N/A Requesting Data...3397380510</v>
        <stp/>
        <stp>BDP|16845320119919973779</stp>
        <tr r="D76" s="89"/>
      </tp>
      <tp t="s">
        <v>#N/A Requesting Data...2968005014</v>
        <stp/>
        <stp>BDP|10697032249217899983</stp>
        <tr r="L47" s="338"/>
        <tr r="L10" s="338"/>
        <tr r="J10" s="338"/>
        <tr r="L44" s="338"/>
        <tr r="H44" s="338"/>
        <tr r="H47" s="338"/>
        <tr r="L48" s="338"/>
        <tr r="H48" s="338"/>
        <tr r="L53" s="338"/>
        <tr r="J53" s="338"/>
      </tp>
      <tp t="s">
        <v>#N/A Requesting Data...4211861897</v>
        <stp/>
        <stp>BDP|18304888293894101754</stp>
        <tr r="S9" s="338"/>
      </tp>
      <tp t="s">
        <v>#N/A Requesting Data...3988955722</v>
        <stp/>
        <stp>BDP|10639276692284852548</stp>
        <tr r="F28" s="446"/>
      </tp>
      <tp t="s">
        <v>#N/A Requesting Data...3692886486</v>
        <stp/>
        <stp>BDP|10749518787913680498</stp>
        <tr r="G41" s="446"/>
      </tp>
      <tp t="s">
        <v>#N/A Requesting Data...3166795048</v>
        <stp/>
        <stp>BDP|15491877244086779510</stp>
        <tr r="C90" s="89"/>
      </tp>
      <tp t="s">
        <v>#N/A Requesting Data...2434555081</v>
        <stp/>
        <stp>BDP|15599576753428820781</stp>
        <tr r="O236" s="89"/>
      </tp>
      <tp t="s">
        <v>#N/A N/A</v>
        <stp/>
        <stp>BDP|15119105356728105374</stp>
        <tr r="AB55" s="89"/>
        <tr r="AB56" s="89"/>
      </tp>
      <tp t="s">
        <v>#N/A Requesting Data...2325986611</v>
        <stp/>
        <stp>BDP|18282109433921312121</stp>
        <tr r="Z212" s="89"/>
        <tr r="AA212" s="89"/>
      </tp>
      <tp t="s">
        <v>#N/A Requesting Data...1352669303</v>
        <stp/>
        <stp>BDP|12497145892616892699</stp>
        <tr r="D102" s="89"/>
      </tp>
      <tp t="s">
        <v>#N/A Requesting Data...993727881</v>
        <stp/>
        <stp>BDP|14492417491683249054</stp>
        <tr r="AJ41" s="338"/>
        <tr r="AJ42" s="338"/>
      </tp>
      <tp t="s">
        <v>#N/A Requesting Data...1886571634</v>
        <stp/>
        <stp>BDP|13840950528096738417</stp>
        <tr r="L42" s="338"/>
        <tr r="J42" s="338"/>
      </tp>
      <tp t="s">
        <v>#N/A N/A</v>
        <stp/>
        <stp>BDP|12363723043083315837</stp>
        <tr r="R160" s="89"/>
      </tp>
      <tp t="s">
        <v>#N/A N/A</v>
        <stp/>
        <stp>BDP|14891875496009468680</stp>
        <tr r="R108" s="89"/>
      </tp>
      <tp t="s">
        <v>#N/A Requesting Data...3060479958</v>
        <stp/>
        <stp>BDP|10020321410941159965</stp>
        <tr r="S42" s="338"/>
      </tp>
      <tp t="s">
        <v>#N/A Requesting Data...1183781712</v>
        <stp/>
        <stp>BDP|11794748141588350041</stp>
        <tr r="AJ8" s="338"/>
        <tr r="AJ9" s="338"/>
      </tp>
      <tp t="s">
        <v>#N/A Requesting Data...4221947849</v>
        <stp/>
        <stp>BDP|17629987897674831958</stp>
        <tr r="AJ16" s="338"/>
        <tr r="AJ38" s="338"/>
        <tr r="AJ40" s="338"/>
        <tr r="AH16" s="338"/>
        <tr r="AH38" s="338"/>
        <tr r="AH40" s="338"/>
      </tp>
      <tp t="s">
        <v>#N/A Requesting Data...1368465333</v>
        <stp/>
        <stp>BDP|16757205954548058378</stp>
        <tr r="AI30" s="1"/>
      </tp>
      <tp t="s">
        <v>#N/A Requesting Data...1301355013</v>
        <stp/>
        <stp>BDP|16761382649589718257</stp>
        <tr r="AB21" s="1"/>
        <tr r="AB22" s="1"/>
        <tr r="F27" s="446"/>
      </tp>
      <tp t="s">
        <v>#N/A Requesting Data...3529041672</v>
        <stp/>
        <stp>BDP|11629287799981255124</stp>
        <tr r="C68" s="89"/>
      </tp>
      <tp t="s">
        <v>#N/A Requesting Data...2229647790</v>
        <stp/>
        <stp>BDP|10560430593062313514</stp>
        <tr r="AG46" s="1"/>
      </tp>
      <tp t="s">
        <v>#N/A N/A</v>
        <stp/>
        <stp>BDP|13672521403099523546</stp>
        <tr r="AA24" s="2"/>
        <tr r="T81" s="89"/>
      </tp>
      <tp t="s">
        <v>#N/A Requesting Data...3031235903</v>
        <stp/>
        <stp>BDP|13546818454494181070</stp>
        <tr r="AC46" s="1"/>
      </tp>
      <tp t="e">
        <v>#N/A</v>
        <stp/>
        <stp>BDH|13063001300421279825</stp>
        <tr r="AN35" s="338"/>
        <tr r="AN14" s="338"/>
      </tp>
      <tp t="e">
        <v>#N/A</v>
        <stp/>
        <stp>BDH|10097910716274795641</stp>
        <tr r="T18" s="252"/>
        <tr r="W18" s="252"/>
      </tp>
      <tp t="s">
        <v>#N/A Real Time</v>
        <stp/>
        <stp>BDP|14244088115833890454|22</stp>
        <stp>SCH5C   6250 Index</stp>
        <stp>DELTA_MID_RT</stp>
        <tr r="W96" s="89"/>
      </tp>
      <tp>
        <v>0.46067351102828979</v>
        <stp/>
        <stp>BDP|11754717216942473893|22</stp>
        <stp>INTC US 07/17/26 C50 Equity</stp>
        <stp>DELTA_MID_RT</stp>
        <tr r="AF22" s="2"/>
        <tr r="W196" s="89"/>
      </tp>
      <tp>
        <v>0.31377920508384705</v>
        <stp/>
        <stp>BDP|15091267836171787049|22</stp>
        <stp>AVGO US 06/18/26 C410 Equity</stp>
        <stp>DELTA_MID_RT</stp>
        <tr r="W222" s="89"/>
      </tp>
      <tp>
        <v>23.7</v>
        <stp/>
        <stp>BDP|9892279240398643988|22</stp>
        <stp>AVGO US 06/18/26 P300 Equity</stp>
        <stp>bid</stp>
        <tr r="K224" s="89"/>
      </tp>
      <tp>
        <v>7.2952397167682648E-2</v>
        <stp/>
        <stp>BDP|15345195851714362356|22</stp>
        <stp>NFLX US 03/20/26 C105 Equity</stp>
        <stp>DELTA_MID_RT</stp>
        <tr r="W186" s="89"/>
      </tp>
      <tp>
        <v>0.48548048734664917</v>
        <stp/>
        <stp>BDP|13511264349111066296|22</stp>
        <stp>MSFT US 07/17/26 C500 Equity</stp>
        <stp>DELTA_MID_RT</stp>
        <tr r="AF19" s="2"/>
      </tp>
      <tp t="s">
        <v>#N/A Requesting Data...964831120</v>
        <stp/>
        <stp>BDP|14708527546846978837</stp>
        <tr r="F22" s="446"/>
      </tp>
      <tp t="s">
        <v>#N/A Requesting Data...3947844298</v>
        <stp/>
        <stp>BDP|17382508591454336498</stp>
        <tr r="F10" s="446"/>
      </tp>
      <tp t="s">
        <v>#N/A Requesting Data...3091802751</v>
        <stp/>
        <stp>BDP|15393992280169008616</stp>
        <tr r="F24" s="446"/>
      </tp>
      <tp t="s">
        <v>#N/A Requesting Data...2214248436</v>
        <stp/>
        <stp>BDP|17538921220052801541</stp>
        <tr r="AA187" s="89"/>
        <tr r="Z187" s="89"/>
      </tp>
      <tp t="s">
        <v>#N/A Requesting Data...1008405219</v>
        <stp/>
        <stp>BDP|10256865635189905931</stp>
        <tr r="AC25" s="1"/>
        <tr r="AC28" s="1"/>
        <tr r="D26" s="446"/>
      </tp>
      <tp t="s">
        <v>#N/A Requesting Data...2020992197</v>
        <stp/>
        <stp>BDP|16456696081243656014</stp>
        <tr r="E237" s="89"/>
      </tp>
      <tp t="s">
        <v>#N/A Requesting Data...1225346578</v>
        <stp/>
        <stp>BDP|16326536432018842310</stp>
        <tr r="E102" s="89"/>
      </tp>
      <tp t="s">
        <v>#N/A Requesting Data...2153880061</v>
        <stp/>
        <stp>BDP|11291613004685235986</stp>
        <tr r="T40" s="89"/>
      </tp>
      <tp t="s">
        <v>#N/A Requesting Data...3608144616</v>
        <stp/>
        <stp>BDP|14305045698741171731</stp>
        <tr r="AD14" s="2"/>
      </tp>
      <tp t="s">
        <v>#N/A Requesting Data...2443904142</v>
        <stp/>
        <stp>BDP|10846290148809317467</stp>
        <tr r="T47" s="338"/>
      </tp>
      <tp t="s">
        <v>#N/A Requesting Data...3963425984</v>
        <stp/>
        <stp>BDP|17908300451053627923</stp>
        <tr r="C14" s="2"/>
      </tp>
      <tp t="s">
        <v>#N/A Requesting Data...1372621872</v>
        <stp/>
        <stp>BDP|11292951375013419795</stp>
        <tr r="C12" s="2"/>
      </tp>
      <tp t="s">
        <v>#N/A Requesting Data...1679489760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Data...4002535989</v>
        <stp/>
        <stp>BDP|11569977534954801402</stp>
        <tr r="D63" s="89"/>
      </tp>
      <tp t="s">
        <v>#N/A Requesting Data...1249794925</v>
        <stp/>
        <stp>BDP|14945010294650760658</stp>
        <tr r="L37" s="338"/>
        <tr r="H37" s="338"/>
      </tp>
      <tp t="s">
        <v>#N/A Requesting Data...2300185307</v>
        <stp/>
        <stp>BDP|12625403616855824991</stp>
        <tr r="F15" s="446"/>
      </tp>
      <tp t="s">
        <v>#N/A Requesting Data...971925710</v>
        <stp/>
        <stp>BDP|14416377574372571935</stp>
        <tr r="D101" s="89"/>
      </tp>
      <tp t="s">
        <v>#N/A Requesting Data...3099575755</v>
        <stp/>
        <stp>BDP|11745089010498747381</stp>
        <tr r="T75" s="89"/>
      </tp>
      <tp t="s">
        <v>#N/A Requesting Data...2881054112</v>
        <stp/>
        <stp>BDP|10942621120688011798</stp>
        <tr r="V55" s="338"/>
      </tp>
      <tp t="s">
        <v>#N/A Requesting Data...2622940501</v>
        <stp/>
        <stp>BDP|14853590894083718008</stp>
        <tr r="V12" s="338"/>
      </tp>
      <tp t="s">
        <v>#N/A Requesting Data...1904132652</v>
        <stp/>
        <stp>BDP|10627445923448262515</stp>
        <tr r="E19" s="2"/>
      </tp>
      <tp t="s">
        <v>#N/A Requesting Data...937871904</v>
        <stp/>
        <stp>BDP|17077564961768568704</stp>
        <tr r="O7" s="89"/>
      </tp>
      <tp t="s">
        <v>#N/A Requesting Data...1366773996</v>
        <stp/>
        <stp>BDP|13154673264950579831</stp>
        <tr r="P8" s="338"/>
      </tp>
      <tp t="s">
        <v>#N/A Requesting Data...3301043690</v>
        <stp/>
        <stp>BDP|18352383299971018866</stp>
        <tr r="V96" s="89"/>
      </tp>
      <tp t="s">
        <v>#N/A Requesting Data...1199750482</v>
        <stp/>
        <stp>BDP|10865582194811567656</stp>
        <tr r="D12" s="2"/>
      </tp>
      <tp t="s">
        <v>#N/A Requesting Data...4164430867</v>
        <stp/>
        <stp>BDP|15688519024610633913</stp>
        <tr r="C22" s="2"/>
      </tp>
      <tp t="s">
        <v>#N/A Requesting Data...2987088643</v>
        <stp/>
        <stp>BDP|18149202901248495937</stp>
        <tr r="AH8" s="338"/>
        <tr r="AH9" s="338"/>
      </tp>
      <tp t="s">
        <v>#N/A Requesting Data...3550938360</v>
        <stp/>
        <stp>BDP|17812279814258546797</stp>
        <tr r="U12" s="338"/>
      </tp>
      <tp t="s">
        <v>#N/A Requesting Data...1499347490</v>
        <stp/>
        <stp>BDP|16354487536428919237</stp>
        <tr r="P36" s="338"/>
      </tp>
      <tp t="s">
        <v>#N/A Requesting Data...4197472733</v>
        <stp/>
        <stp>BDP|12938986196201541855</stp>
        <tr r="T9" s="338"/>
      </tp>
      <tp t="e">
        <v>#N/A</v>
        <stp/>
        <stp>BDH|12339538390645378067</stp>
        <tr r="AM32" s="338"/>
        <tr r="AM31" s="338"/>
      </tp>
      <tp t="e">
        <v>#N/A</v>
        <stp/>
        <stp>BDH|18340495906266112167</stp>
        <tr r="AP34" s="338"/>
        <tr r="AP13" s="338"/>
      </tp>
      <tp t="e">
        <v>#N/A</v>
        <stp/>
        <stp>BDH|12172940910076848777</stp>
        <tr r="AN53" s="338"/>
        <tr r="AN52" s="338"/>
        <tr r="AN54" s="338"/>
      </tp>
      <tp t="s">
        <v>#N/A Requesting Data...3735103113</v>
        <stp/>
        <stp>BDP|16382697175628205742</stp>
        <tr r="K2" s="2"/>
        <tr r="J1" s="24"/>
      </tp>
      <tp t="s">
        <v>#N/A Requesting Data...1368633734</v>
        <stp/>
        <stp>BDP|14534507482414865574</stp>
        <tr r="AF47" s="1"/>
        <tr r="AF17" s="338"/>
        <tr r="AF18" s="338"/>
      </tp>
      <tp t="s">
        <v>#N/A Requesting Data...1761512936</v>
        <stp/>
        <stp>BDP|18104805924642791891</stp>
        <tr r="AK9" s="338"/>
      </tp>
      <tp t="s">
        <v>#N/A Requesting Data...1183074458</v>
        <stp/>
        <stp>BDP|18319033186521864931</stp>
        <tr r="T224" s="89"/>
      </tp>
      <tp t="s">
        <v>#N/A Requesting Data...3606910518</v>
        <stp/>
        <stp>BDP|11421352885480139296</stp>
        <tr r="AK18" s="338"/>
      </tp>
      <tp t="s">
        <v>#N/A Requesting Data...2649493961</v>
        <stp/>
        <stp>BDP|14385972258221788175</stp>
        <tr r="K48" s="1"/>
      </tp>
      <tp t="s">
        <v>#N/A Requesting Data...1043814091</v>
        <stp/>
        <stp>BDP|14368247967240567849</stp>
        <tr r="AK48" s="338"/>
        <tr r="AK49" s="338"/>
      </tp>
      <tp t="s">
        <v>#N/A Requesting Data...1579621812</v>
        <stp/>
        <stp>BDP|18355353104331140221</stp>
        <tr r="E6" s="1"/>
        <tr r="K21" s="1"/>
      </tp>
      <tp t="s">
        <v>#N/A Requesting Data...3776153745</v>
        <stp/>
        <stp>BDP|14339764599746958441</stp>
        <tr r="L14" s="252"/>
        <tr r="L14" s="252"/>
      </tp>
      <tp t="s">
        <v>#N/A Requesting Data...3741446497</v>
        <stp/>
        <stp>BDP|13273727322169541747</stp>
        <tr r="S31" s="338"/>
      </tp>
      <tp t="s">
        <v>#N/A Requesting Data...3933623572</v>
        <stp/>
        <stp>BDP|11594902352491463409</stp>
        <tr r="AA4" s="2"/>
      </tp>
      <tp t="s">
        <v>#N/A Requesting Data...3792183601</v>
        <stp/>
        <stp>BDP|18059086409648276807</stp>
        <tr r="X13" s="338"/>
      </tp>
      <tp t="s">
        <v>#N/A Requesting Data...1056948847</v>
        <stp/>
        <stp>BDP|14077436120512876887</stp>
        <tr r="AH14" s="338"/>
        <tr r="AH35" s="338"/>
      </tp>
      <tp t="s">
        <v>#N/A Requesting Data...3613197974</v>
        <stp/>
        <stp>BDP|15744958059654008590</stp>
        <tr r="M11" s="252"/>
      </tp>
      <tp t="s">
        <v>#N/A Requesting Data...934052468</v>
        <stp/>
        <stp>BDP|13175812915866643410</stp>
        <tr r="C153" s="89"/>
        <tr r="C154" s="89"/>
      </tp>
      <tp t="s">
        <v>#N/A Requesting Data...3214958469</v>
        <stp/>
        <stp>BDP|10786650526845361927</stp>
        <tr r="Q46" s="338"/>
      </tp>
      <tp t="s">
        <v>#N/A Requesting Data...908107465</v>
        <stp/>
        <stp>BDP|13690707356499397067</stp>
        <tr r="AG42" s="338"/>
      </tp>
      <tp t="s">
        <v>#N/A Requesting Data...2416813506</v>
        <stp/>
        <stp>BDP|12538321051928445466</stp>
        <tr r="AR15" s="2"/>
      </tp>
      <tp t="s">
        <v>#N/A Requesting Data...3513858652</v>
        <stp/>
        <stp>BDP|13052160308013823928</stp>
        <tr r="L16" s="252"/>
        <tr r="L16" s="252"/>
      </tp>
      <tp t="s">
        <v>#N/A Requesting Data...1544443956</v>
        <stp/>
        <stp>BDP|10630112845779481422</stp>
        <tr r="T8" s="338"/>
      </tp>
      <tp t="s">
        <v>#N/A Requesting Data...3884238768</v>
        <stp/>
        <stp>BDP|11209184266078842639</stp>
        <tr r="AC20" s="1"/>
        <tr r="AC26" s="1"/>
      </tp>
      <tp t="s">
        <v>#N/A N/A</v>
        <stp/>
        <stp>BDP|11792150875749844688</stp>
        <tr r="AB101" s="89"/>
        <tr r="AB102" s="89"/>
        <tr r="AB95" s="89"/>
        <tr r="AB96" s="89"/>
      </tp>
      <tp t="s">
        <v>#N/A Requesting Data...1957070115</v>
        <stp/>
        <stp>BDP|18091505366056640561</stp>
        <tr r="D69" s="89"/>
      </tp>
      <tp t="s">
        <v>#N/A N/A</v>
        <stp/>
        <stp>BDP|13155972725748469817</stp>
        <tr r="V82" s="89"/>
      </tp>
      <tp t="s">
        <v>#N/A Requesting Data...1271149529</v>
        <stp/>
        <stp>BDP|17203212740478165145</stp>
        <tr r="AA195" s="89"/>
        <tr r="Z195" s="89"/>
      </tp>
      <tp t="e">
        <v>#N/A</v>
        <stp/>
        <stp>BDH|17457835601845372241</stp>
        <tr r="AP29" s="338"/>
        <tr r="AP30" s="338"/>
      </tp>
      <tp t="e">
        <v>#N/A</v>
        <stp/>
        <stp>BDH|13951944787489953303</stp>
        <tr r="AR50" s="338"/>
        <tr r="AR46" s="338"/>
        <tr r="AR8" s="338"/>
        <tr r="AR32" s="338"/>
      </tp>
      <tp t="e">
        <v>#N/A</v>
        <stp/>
        <stp>BDH|10974589694361058569</stp>
        <tr r="AP12" s="338"/>
      </tp>
      <tp t="e">
        <v>#N/A</v>
        <stp/>
        <stp>BDH|16536146700047191842</stp>
        <tr r="AR42" s="338"/>
      </tp>
      <tp t="s">
        <v>USD</v>
        <stp/>
        <stp>BDP|1779856531118410213|22</stp>
        <stp>ASML US 01/23/26 P1100 Equity</stp>
        <stp>QUOTED_CURRENCY_REALTIME</stp>
        <tr r="F50" s="89"/>
      </tp>
      <tp t="e">
        <v>#N/A</v>
        <stp/>
        <stp>BDH|11568874060352829513</stp>
        <tr r="AM35" s="338"/>
        <tr r="AM14" s="338"/>
      </tp>
      <tp t="e">
        <v>#N/A</v>
        <stp/>
        <stp>BDH|11058149680517241780</stp>
        <tr r="AU13" s="338"/>
      </tp>
      <tp t="e">
        <v>#N/A</v>
        <stp/>
        <stp>BDH|10612431595080637582</stp>
        <tr r="AR29" s="338"/>
      </tp>
      <tp t="s">
        <v>#N/A Real Time</v>
        <stp/>
        <stp>BDP|3928061582338749570|22</stp>
        <stp>MRYWZ4C4 2390 Index</stp>
        <stp>bid</stp>
        <tr r="K129" s="89"/>
      </tp>
      <tp>
        <v>8.4</v>
        <stp/>
        <stp>BDP|9562949509675719969|22</stp>
        <stp>AKAM US 08/21/26 C115 Equity</stp>
        <stp>bid</stp>
        <tr r="K33" s="89"/>
      </tp>
      <tp>
        <v>28.2</v>
        <stp/>
        <stp>BDP|1262865218775301973|22</stp>
        <stp>GOOG US 07/17/26 C350 Equity</stp>
        <stp>ask</stp>
        <tr r="L236" s="89"/>
      </tp>
      <tp>
        <v>0.61442631483078003</v>
        <stp/>
        <stp>BDP|12751338922919034266|22</stp>
        <stp>MSFT US 07/17/26 C470 Equity</stp>
        <stp>DELTA_MID_RT</stp>
        <tr r="W235" s="89"/>
      </tp>
      <tp t="s">
        <v>#N/A Requesting Data...1327868425</v>
        <stp/>
        <stp>BDP|14228839741476914704</stp>
        <tr r="AF48" s="1"/>
      </tp>
      <tp t="s">
        <v>#N/A Requesting Data...3684550049</v>
        <stp/>
        <stp>BDP|13108014284305863746</stp>
        <tr r="AH29" s="338"/>
        <tr r="AH30" s="338"/>
        <tr r="AJ29" s="338"/>
        <tr r="AJ30" s="338"/>
      </tp>
      <tp t="s">
        <v>#N/A Requesting Data...1864295159</v>
        <stp/>
        <stp>BDP|16161490436721422919</stp>
        <tr r="D19" s="89"/>
      </tp>
      <tp t="s">
        <v>#N/A Requesting Data...4142559236</v>
        <stp/>
        <stp>BDP|18084144309549296940</stp>
        <tr r="X46" s="338"/>
      </tp>
      <tp t="s">
        <v>#N/A Requesting Data...4009336618</v>
        <stp/>
        <stp>BDP|14080496093764135415</stp>
        <tr r="P8" s="252"/>
      </tp>
      <tp t="s">
        <v>#N/A Requesting Data...4129547196</v>
        <stp/>
        <stp>BDP|10379287684220430311</stp>
        <tr r="F5" s="2"/>
        <tr r="F6" s="2"/>
      </tp>
      <tp t="s">
        <v>#N/A Requesting Data...2978119030</v>
        <stp/>
        <stp>BDP|13667922398723991985</stp>
        <tr r="O8" s="252"/>
      </tp>
      <tp t="s">
        <v>#N/A Requesting Data...4154761153</v>
        <stp/>
        <stp>BDP|11569233714862664985</stp>
        <tr r="E13" s="2"/>
      </tp>
      <tp t="s">
        <v>#N/A Requesting Data...3342036072</v>
        <stp/>
        <stp>BDP|16922257546430083956</stp>
        <tr r="E10" s="2"/>
      </tp>
      <tp t="s">
        <v>#N/A Requesting Data...3971243935</v>
        <stp/>
        <stp>BDP|14084731383605893774</stp>
        <tr r="T30" s="338"/>
      </tp>
      <tp t="s">
        <v>#N/A Requesting Data...1131278918</v>
        <stp/>
        <stp>BDP|17920955902274781369</stp>
        <tr r="AK13" s="338"/>
      </tp>
      <tp t="s">
        <v>#N/A Requesting Data...2287804145</v>
        <stp/>
        <stp>BDP|15814817125237185133</stp>
        <tr r="AK11" s="338"/>
      </tp>
      <tp t="s">
        <v>#N/A Requesting Data...3499534128</v>
        <stp/>
        <stp>BDP|10683822754613362720</stp>
        <tr r="C89" s="89"/>
      </tp>
      <tp t="s">
        <v>#N/A Requesting Data...2906485995</v>
        <stp/>
        <stp>BDP|14905890171093180111</stp>
        <tr r="U18" s="338"/>
      </tp>
      <tp t="s">
        <v>#N/A N/A</v>
        <stp/>
        <stp>BDP|15676788515242812821</stp>
        <tr r="R153" s="89"/>
        <tr r="R154" s="89"/>
      </tp>
      <tp t="s">
        <v>#N/A Requesting Data...3239125489</v>
        <stp/>
        <stp>BDP|17719503394081403362</stp>
        <tr r="AH37" s="338"/>
        <tr r="AJ37" s="338"/>
      </tp>
      <tp t="s">
        <v>#N/A Requesting Data...2307300528</v>
        <stp/>
        <stp>BDP|15790491470377962877</stp>
        <tr r="C26" s="89"/>
      </tp>
      <tp t="s">
        <v>#N/A Requesting Data...3622359161</v>
        <stp/>
        <stp>BDP|18279909896309755834</stp>
        <tr r="AG14" s="1"/>
        <tr r="AG15" s="1"/>
      </tp>
      <tp t="s">
        <v>#N/A Requesting Data...3722420043</v>
        <stp/>
        <stp>BDP|12571041380342291138</stp>
        <tr r="F34" s="446"/>
      </tp>
      <tp t="s">
        <v>#N/A N/A</v>
        <stp/>
        <stp>BDP|18294824894201725105</stp>
        <tr r="AC23" s="2"/>
        <tr r="AC21" s="2"/>
        <tr r="AC22" s="2"/>
      </tp>
      <tp t="s">
        <v>#N/A Requesting Data...999481365</v>
        <stp/>
        <stp>BDP|16648478878978208488</stp>
        <tr r="O178" s="89"/>
        <tr r="O179" s="89"/>
      </tp>
      <tp t="s">
        <v>#N/A Requesting Data...3023203246</v>
        <stp/>
        <stp>BDP|17654964972910872093</stp>
        <tr r="V204" s="89"/>
      </tp>
      <tp t="s">
        <v>#N/A Requesting Data...1205307909</v>
        <stp/>
        <stp>BDP|13659806942011456735</stp>
        <tr r="P7" s="252"/>
      </tp>
      <tp t="s">
        <v>#N/A Requesting Data...4248218598</v>
        <stp/>
        <stp>BDP|18096821285957052647</stp>
        <tr r="F18" s="446"/>
      </tp>
      <tp t="s">
        <v>#N/A Requesting Data...2491550959</v>
        <stp/>
        <stp>BDP|10570370408323999914</stp>
        <tr r="AA8" s="89"/>
        <tr r="Z8" s="89"/>
      </tp>
      <tp t="s">
        <v>#N/A Requesting Data...2787985924</v>
        <stp/>
        <stp>BDP|17046967805152979583</stp>
        <tr r="V89" s="89"/>
      </tp>
      <tp t="s">
        <v>#N/A Requesting Data...3943037961</v>
        <stp/>
        <stp>BDP|13761908823740413153</stp>
        <tr r="D34" s="89"/>
      </tp>
      <tp t="s">
        <v>#N/A Requesting Data...3609576599</v>
        <stp/>
        <stp>BDP|12912684483811638411</stp>
        <tr r="L30" s="1"/>
      </tp>
      <tp t="s">
        <v>#N/A Requesting Data...4028793066</v>
        <stp/>
        <stp>BDP|17800905748963418018</stp>
        <tr r="V52" s="338"/>
      </tp>
      <tp t="s">
        <v>#N/A Requesting Data...2533339936</v>
        <stp/>
        <stp>BDP|16080473360335288805</stp>
        <tr r="AF25" s="1"/>
        <tr r="AF28" s="1"/>
        <tr r="AF10" s="338"/>
        <tr r="AF11" s="338"/>
        <tr r="AF33" s="338"/>
      </tp>
      <tp t="s">
        <v>#N/A Requesting Data...2747810300</v>
        <stp/>
        <stp>BDP|18082660766744672526</stp>
        <tr r="X34" s="338"/>
      </tp>
      <tp t="s">
        <v>#N/A Requesting Data...3219323938</v>
        <stp/>
        <stp>BDP|16257040632264100814</stp>
        <tr r="V237" s="89"/>
      </tp>
      <tp t="s">
        <v>#N/A Requesting Data...3335876547</v>
        <stp/>
        <stp>BDP|17620015100226350806</stp>
        <tr r="AG27" s="1"/>
        <tr r="AG29" s="1"/>
      </tp>
      <tp t="s">
        <v>#N/A Requesting Data...2329550208</v>
        <stp/>
        <stp>BDP|18094164205149537914</stp>
        <tr r="V49" s="89"/>
      </tp>
      <tp t="s">
        <v>#N/A Requesting Data...1878177768</v>
        <stp/>
        <stp>BDP|17113464131298207134</stp>
        <tr r="O6" s="252"/>
      </tp>
      <tp t="s">
        <v>#N/A Requesting Data...2083748035</v>
        <stp/>
        <stp>BDP|16852781535332351915</stp>
        <tr r="E50" s="89"/>
      </tp>
      <tp t="s">
        <v>#N/A Requesting Data...3287040409</v>
        <stp/>
        <stp>BDP|16284628867238126714</stp>
        <tr r="AD13" s="2"/>
      </tp>
      <tp t="s">
        <v>#N/A Requesting Data...2211562443</v>
        <stp/>
        <stp>BDP|13465906218584984636</stp>
        <tr r="U48" s="338"/>
      </tp>
      <tp t="e">
        <v>#N/A</v>
        <stp/>
        <stp>BDH|13220878827848017878</stp>
        <tr r="AN42" s="338"/>
        <tr r="AN41" s="338"/>
      </tp>
      <tp t="s">
        <v>USD</v>
        <stp/>
        <stp>BDP|6513932945318794459|22</stp>
        <stp>ASML US 01/23/26 P1200 Equity</stp>
        <stp>QUOTED_CURRENCY_REALTIME</stp>
        <tr r="F49" s="89"/>
      </tp>
      <tp t="e">
        <v>#N/A</v>
        <stp/>
        <stp>BDH|13005283380316930684</stp>
        <tr r="AU44" s="338"/>
        <tr r="AU15" s="338"/>
        <tr r="AU17" s="338"/>
        <tr r="AU39" s="338"/>
        <tr r="AU38" s="338"/>
        <tr r="AU16" s="338"/>
        <tr r="AU52" s="338"/>
      </tp>
      <tp t="e">
        <v>#N/A</v>
        <stp/>
        <stp>BDH|16361324960662532887</stp>
        <tr r="AM36" s="338"/>
      </tp>
      <tp>
        <v>25.3</v>
        <stp/>
        <stp>BDP|5023371189536845968|22</stp>
        <stp>AMZN US 07/17/26 C245 Equity</stp>
        <stp>ask</stp>
        <tr r="Q4" s="2"/>
      </tp>
      <tp>
        <v>0.31399387121200562</v>
        <stp/>
        <stp>BDP|13470842814744634178|22</stp>
        <stp>AKAM US 08/21/26 C130 Equity</stp>
        <stp>DELTA_MID_RT</stp>
        <tr r="W34" s="89"/>
      </tp>
      <tp t="s">
        <v>#N/A Requesting Data...3803879420</v>
        <stp/>
        <stp>BDP|13370676866274995925</stp>
        <tr r="V29" s="338"/>
      </tp>
      <tp t="s">
        <v>#N/A Requesting Data...1662997594</v>
        <stp/>
        <stp>BDP|16549461050648260185</stp>
        <tr r="V48" s="338"/>
      </tp>
      <tp t="s">
        <v>#N/A Requesting Data...2546008971</v>
        <stp/>
        <stp>BDP|12600721729889000049</stp>
        <tr r="F9" s="2"/>
      </tp>
      <tp t="s">
        <v>#N/A Requesting Data...3263950528</v>
        <stp/>
        <stp>BDP|14539375968436522979</stp>
        <tr r="F23" s="2"/>
      </tp>
      <tp t="s">
        <v>#N/A Requesting Data...1193723628</v>
        <stp/>
        <stp>BDP|11883811462826271727</stp>
        <tr r="AI13" s="338"/>
        <tr r="AK13" s="338"/>
      </tp>
      <tp t="s">
        <v>#N/A Requesting Data...1129118633</v>
        <stp/>
        <stp>BDP|15816931278674113197</stp>
        <tr r="C5" s="2"/>
        <tr r="C6" s="2"/>
      </tp>
      <tp t="s">
        <v>#N/A Requesting Data...2397708105</v>
        <stp/>
        <stp>BDP|16651632599577766000</stp>
        <tr r="T20" s="89"/>
      </tp>
      <tp t="s">
        <v>#N/A Requesting Data...2314560620</v>
        <stp/>
        <stp>BDP|15466705637537159880</stp>
        <tr r="AF12" s="1"/>
      </tp>
      <tp t="s">
        <v>#N/A Requesting Data...2485665219</v>
        <stp/>
        <stp>BDP|13773404769917079849</stp>
        <tr r="X41" s="338"/>
      </tp>
      <tp t="s">
        <v>#N/A Requesting Data...2173176195</v>
        <stp/>
        <stp>BDP|17094237872549842544</stp>
        <tr r="P11" s="338"/>
      </tp>
      <tp t="s">
        <v>#N/A Requesting Data...3432534030</v>
        <stp/>
        <stp>BDP|17894084826469233293</stp>
        <tr r="D13" s="2"/>
      </tp>
      <tp t="s">
        <v>#N/A Requesting Data...3616363370</v>
        <stp/>
        <stp>BDP|10903940119976188082</stp>
        <tr r="T20" s="2"/>
      </tp>
      <tp t="s">
        <v>#N/A Requesting Data...3181673365</v>
        <stp/>
        <stp>BDP|16326348528261420875</stp>
        <tr r="AH37" s="338"/>
      </tp>
      <tp t="s">
        <v>#N/A Requesting Data...1974488829</v>
        <stp/>
        <stp>BDP|17705908535480976375</stp>
        <tr r="Z205" s="89"/>
        <tr r="AA205" s="89"/>
      </tp>
      <tp t="s">
        <v>#N/A Requesting Data...4240380777</v>
        <stp/>
        <stp>BDP|10719787797623635315</stp>
        <tr r="AR10" s="2"/>
      </tp>
      <tp t="s">
        <v>#N/A Requesting Data...1505966767</v>
        <stp/>
        <stp>BDP|17404395287666660429</stp>
        <tr r="T204" s="89"/>
      </tp>
      <tp t="s">
        <v>#N/A Requesting Data...3501348440</v>
        <stp/>
        <stp>BDP|12942600097452969197</stp>
        <tr r="AI30" s="338"/>
      </tp>
      <tp t="s">
        <v>#N/A Requesting Data...1700135697</v>
        <stp/>
        <stp>BDP|11004855748816491574</stp>
        <tr r="AA145" s="89"/>
        <tr r="Z145" s="89"/>
      </tp>
      <tp t="s">
        <v>#N/A Requesting Data...3240473817</v>
        <stp/>
        <stp>BDP|13321932753372613352</stp>
        <tr r="S50" s="338"/>
      </tp>
      <tp t="s">
        <v>#N/A Requesting Data...2077320550</v>
        <stp/>
        <stp>BDP|14026845325197194708</stp>
        <tr r="AB31" s="1"/>
        <tr r="AB32" s="1"/>
      </tp>
      <tp t="s">
        <v>#N/A Requesting Data...1787776291</v>
        <stp/>
        <stp>BDP|18139099943730098283</stp>
        <tr r="X42" s="338"/>
      </tp>
      <tp t="s">
        <v>#N/A Requesting Data...2357096144</v>
        <stp/>
        <stp>BDP|14818954946994919376</stp>
        <tr r="T55" s="338"/>
      </tp>
      <tp t="s">
        <v>#N/A Requesting Data...2884030217</v>
        <stp/>
        <stp>BDP|16547593626468626792</stp>
        <tr r="V90" s="89"/>
      </tp>
      <tp t="s">
        <v>#N/A Requesting Data...2699001898</v>
        <stp/>
        <stp>BDP|12254931781748441511</stp>
        <tr r="AA5" s="2"/>
        <tr r="AA6" s="2"/>
      </tp>
      <tp t="s">
        <v>#N/A Requesting Data...4147062312</v>
        <stp/>
        <stp>BDP|12531682677138877559</stp>
        <tr r="E26" s="89"/>
      </tp>
      <tp t="s">
        <v>#N/A Requesting Data...3396516952</v>
        <stp/>
        <stp>BDP|16747972762296741126</stp>
        <tr r="AF31" s="1"/>
        <tr r="AF32" s="1"/>
      </tp>
      <tp t="s">
        <v>#N/A Requesting Data...1371950609</v>
        <stp/>
        <stp>BDP|10277773846639500409</stp>
        <tr r="E225" s="89"/>
      </tp>
      <tp t="s">
        <v>#N/A Requesting Data...1525589993</v>
        <stp/>
        <stp>BDP|15391597190645842246</stp>
        <tr r="U41" s="338"/>
      </tp>
      <tp t="s">
        <v>#N/A N/A</v>
        <stp/>
        <stp>BDP|16823686471348254150</stp>
        <tr r="T24" s="2"/>
        <tr r="O81" s="89"/>
      </tp>
      <tp t="s">
        <v>#N/A Requesting Data...2361208685</v>
        <stp/>
        <stp>BDP|11743873404217661042</stp>
        <tr r="D14" s="89"/>
      </tp>
      <tp t="e">
        <v>#N/A</v>
        <stp/>
        <stp>BDH|16265981407188990958</stp>
        <tr r="AS9" s="338"/>
      </tp>
      <tp>
        <v>-0.48901918530464172</v>
        <stp/>
        <stp>BDP|12363987419731278955|22</stp>
        <stp>MRVL US 03/20/26 P85 Equity</stp>
        <stp>DELTA_MID_RT</stp>
        <tr r="AF13" s="2"/>
      </tp>
      <tp>
        <v>0.51516985893249512</v>
        <stp/>
        <stp>BDP|18110796337974702583|22</stp>
        <stp>AVGO US 06/18/26 C350 Equity</stp>
        <stp>DELTA_MID_RT</stp>
        <tr r="AF7" s="2"/>
        <tr r="W223" s="89"/>
      </tp>
      <tp>
        <v>41.9</v>
        <stp/>
        <stp>BDP|5056262684534913710|22</stp>
        <stp>LITE US 03/20/26 C420 Equity</stp>
        <stp>mid</stp>
        <tr r="L10" s="2"/>
      </tp>
      <tp t="s">
        <v>#N/A Requesting Data...3529108329</v>
        <stp/>
        <stp>BDP|14736502366221001988</stp>
        <tr r="AG23" s="1"/>
        <tr r="AG24" s="1"/>
      </tp>
      <tp t="s">
        <v>#N/A Requesting Data...3148121797</v>
        <stp/>
        <stp>BDP|14590387959435843851</stp>
        <tr r="P18" s="252"/>
      </tp>
      <tp t="s">
        <v>#N/A Requesting Data...1456227985</v>
        <stp/>
        <stp>BDP|13791594013149475126</stp>
        <tr r="M13" s="252"/>
      </tp>
      <tp t="s">
        <v>#N/A Requesting Data...1624734810</v>
        <stp/>
        <stp>BDP|17874986578052725446</stp>
        <tr r="P50" s="338"/>
      </tp>
      <tp t="s">
        <v>#N/A Requesting Data...1116995857</v>
        <stp/>
        <stp>BDP|15706360756855267982</stp>
        <tr r="E213" s="89"/>
      </tp>
      <tp t="s">
        <v>#N/A Requesting Data...1889848802</v>
        <stp/>
        <stp>BDP|12067346968488625077</stp>
        <tr r="K9" s="1"/>
      </tp>
      <tp t="s">
        <v>#N/A Requesting Data...2909650427</v>
        <stp/>
        <stp>BDP|12930748263249803590</stp>
        <tr r="V47" s="338"/>
      </tp>
      <tp t="s">
        <v>#N/A Requesting Data...2800490996</v>
        <stp/>
        <stp>BDP|10458872348380612322</stp>
        <tr r="D32" s="446"/>
      </tp>
      <tp t="s">
        <v>#N/A Requesting Data...4073014476</v>
        <stp/>
        <stp>BDP|17591857746666872206</stp>
        <tr r="T233" s="89"/>
      </tp>
      <tp t="s">
        <v>#N/A Requesting Data...3970729035</v>
        <stp/>
        <stp>BDP|12114087887616661368</stp>
        <tr r="O205" s="89"/>
      </tp>
      <tp t="s">
        <v>#N/A Requesting Data...1861224610</v>
        <stp/>
        <stp>BDP|11607763991426641696</stp>
        <tr r="O180" s="89"/>
      </tp>
      <tp t="s">
        <v>#N/A Requesting Data...1605825840</v>
        <stp/>
        <stp>BDP|12446616610012704839</stp>
        <tr r="AF14" s="1"/>
        <tr r="AF15" s="1"/>
      </tp>
      <tp t="s">
        <v>#N/A Requesting Data...2142571470</v>
        <stp/>
        <stp>BDP|16111091406080680995</stp>
        <tr r="S20" s="252"/>
      </tp>
      <tp t="s">
        <v>#N/A Requesting Data...4096720155</v>
        <stp/>
        <stp>BDP|12917284443828342304</stp>
        <tr r="AC47" s="1"/>
      </tp>
      <tp t="s">
        <v>#N/A Requesting Data...3975210773</v>
        <stp/>
        <stp>BDP|12565777765454100870</stp>
        <tr r="AK45" s="338"/>
      </tp>
      <tp t="s">
        <v>#N/A Requesting Data...1296817846</v>
        <stp/>
        <stp>BDP|14757904724106470662</stp>
        <tr r="C115" s="89"/>
      </tp>
      <tp t="s">
        <v>#N/A Requesting Data...2553661226</v>
        <stp/>
        <stp>BDP|15520885965692162698</stp>
        <tr r="P35" s="338"/>
      </tp>
      <tp t="s">
        <v>#N/A Requesting Data...3270717713</v>
        <stp/>
        <stp>BDP|15477739397991893583</stp>
        <tr r="F20" s="2"/>
      </tp>
      <tp t="s">
        <v>#N/A Requesting Data...1304211066</v>
        <stp/>
        <stp>BDP|18411820983824502305</stp>
        <tr r="E9" s="1"/>
        <tr r="K28" s="1"/>
      </tp>
      <tp t="s">
        <v>#N/A Requesting Data...1581029835</v>
        <stp/>
        <stp>BDP|15309021951309194619</stp>
        <tr r="AF38" s="1"/>
      </tp>
      <tp t="s">
        <v>#N/A Requesting Data...1759553214</v>
        <stp/>
        <stp>BDP|17055337559109227787</stp>
        <tr r="AB38" s="1"/>
      </tp>
      <tp t="s">
        <v>#N/A Requesting Data...4085066387</v>
        <stp/>
        <stp>BDP|16602700651698635310</stp>
        <tr r="O33" s="89"/>
      </tp>
      <tp t="s">
        <v>#N/A Requesting Data...4189505278</v>
        <stp/>
        <stp>BDP|10592246107754169947</stp>
        <tr r="AR23" s="2"/>
      </tp>
      <tp t="s">
        <v>#N/A Requesting Data...3894311337</v>
        <stp/>
        <stp>BDP|18187575182553363942</stp>
        <tr r="S29" s="338"/>
      </tp>
      <tp t="s">
        <v>#N/A Requesting Data...1310649807</v>
        <stp/>
        <stp>BDP|15088949515073653147</stp>
        <tr r="AI31" s="1"/>
        <tr r="AI32" s="1"/>
      </tp>
      <tp t="s">
        <v>#N/A Requesting Data...1376989878</v>
        <stp/>
        <stp>BDP|12559765690110808384</stp>
        <tr r="L6" s="252"/>
        <tr r="L6" s="252"/>
      </tp>
      <tp t="s">
        <v>#N/A Requesting Data...1067512388</v>
        <stp/>
        <stp>BDP|16650855945696243361</stp>
        <tr r="O235" s="89"/>
      </tp>
      <tp t="s">
        <v>#N/A Requesting Data...2048447519</v>
        <stp/>
        <stp>BDP|10141273456439406166</stp>
        <tr r="U40" s="338"/>
      </tp>
      <tp t="s">
        <v>#N/A Requesting Data...3586299278</v>
        <stp/>
        <stp>BDP|15650822721567670765</stp>
        <tr r="AF15" s="338"/>
        <tr r="AF39" s="338"/>
        <tr r="AG40" s="338"/>
      </tp>
      <tp t="s">
        <v>#N/A Requesting Data...1891643704</v>
        <stp/>
        <stp>BDP|10661203894173514722</stp>
        <tr r="P40" s="338"/>
      </tp>
      <tp t="s">
        <v>#N/A Requesting Data...1348337662</v>
        <stp/>
        <stp>BDP|11769411948438232696</stp>
        <tr r="V235" s="89"/>
      </tp>
      <tp t="s">
        <v>#N/A N/A</v>
        <stp/>
        <stp>BDP|13400157600295352875</stp>
        <tr r="AQ5" s="2"/>
        <tr r="AQ6" s="2"/>
      </tp>
      <tp t="s">
        <v>#N/A Requesting Data...3235301127</v>
        <stp/>
        <stp>BDP|16644071595826516655</stp>
        <tr r="M17" s="252"/>
      </tp>
      <tp t="s">
        <v>#N/A Requesting Data...1129325295</v>
        <stp/>
        <stp>BDP|10282731194108712961</stp>
        <tr r="X32" s="338"/>
      </tp>
      <tp t="s">
        <v>#N/A Requesting Data...1575342514</v>
        <stp/>
        <stp>BDP|11825565969849644458</stp>
        <tr r="G26" s="446"/>
      </tp>
      <tp t="s">
        <v>#N/A Requesting Data...3107532737</v>
        <stp/>
        <stp>BDP|12871173848491846983</stp>
        <tr r="D195" s="89"/>
      </tp>
      <tp t="s">
        <v>#N/A N/A</v>
        <stp/>
        <stp>BDP|13477200596854183354</stp>
        <tr r="R236" s="89"/>
      </tp>
      <tp t="s">
        <v>#N/A Requesting Data...3881348214</v>
        <stp/>
        <stp>BDP|13743925468151835237</stp>
        <tr r="AF52" s="338"/>
        <tr r="AF53" s="338"/>
        <tr r="AF54" s="338"/>
      </tp>
      <tp t="e">
        <v>#N/A</v>
        <stp/>
        <stp>BDH|15963183248027946855</stp>
        <tr r="AN17" s="338"/>
        <tr r="AN18" s="338"/>
      </tp>
      <tp t="e">
        <v>#N/A</v>
        <stp/>
        <stp>BDH|15301870027157436707</stp>
        <tr r="T7" s="252"/>
        <tr r="W7" s="252"/>
      </tp>
      <tp t="e">
        <v>#N/A</v>
        <stp/>
        <stp>BDH|16031828859677701347</stp>
        <tr r="AR13" s="338"/>
      </tp>
      <tp t="e">
        <v>#N/A</v>
        <stp/>
        <stp>BDH|11186817545647961576</stp>
        <tr r="AP32" s="338"/>
        <tr r="AP31" s="338"/>
      </tp>
      <tp t="e">
        <v>#N/A</v>
        <stp/>
        <stp>BDH|13709500369278383708</stp>
        <tr r="J14" s="252"/>
      </tp>
      <tp t="s">
        <v>#N/A Real Time</v>
        <stp/>
        <stp>BDP|17419641080662608643|22</stp>
        <stp>4OK5C 21300 Index</stp>
        <stp>ask</stp>
        <tr r="L115" s="89"/>
      </tp>
      <tp>
        <v>0.5033603310585022</v>
        <stp/>
        <stp>BDP|91139731021883834|22</stp>
        <stp>GOOG US 07/17/26 C350 Equity</stp>
        <stp>DELTA_MID_RT</stp>
        <tr r="W236" s="89"/>
      </tp>
      <tp t="s">
        <v>#N/A N/A</v>
        <stp/>
        <stp>BDP|15227818738842751045</stp>
        <tr r="AA82" s="89"/>
        <tr r="Z82" s="89"/>
      </tp>
      <tp t="s">
        <v>#N/A Requesting Data...3864126490</v>
        <stp/>
        <stp>BDP|10552070608995420954</stp>
        <tr r="O9" s="252"/>
      </tp>
      <tp t="s">
        <v>#N/A Requesting Data...1997679257</v>
        <stp/>
        <stp>BDP|15489180332173336860</stp>
        <tr r="T15" s="2"/>
        <tr r="O62" s="89"/>
      </tp>
      <tp t="s">
        <v>#N/A Requesting Data...2912654673</v>
        <stp/>
        <stp>BDP|16415819239102308353</stp>
        <tr r="P13" s="338"/>
      </tp>
      <tp t="s">
        <v>#N/A Requesting Data...2433243435</v>
        <stp/>
        <stp>BDP|14151613796081423680</stp>
        <tr r="AI14" s="1"/>
        <tr r="AI15" s="1"/>
      </tp>
      <tp t="s">
        <v>#N/A Requesting Data...1058667468</v>
        <stp/>
        <stp>BDP|16048814305041128389</stp>
        <tr r="AH12" s="338"/>
        <tr r="AJ12" s="338"/>
      </tp>
      <tp t="s">
        <v>#N/A Requesting Data...1215340007</v>
        <stp/>
        <stp>BDP|17315018787765860602</stp>
        <tr r="U29" s="338"/>
      </tp>
      <tp t="s">
        <v>#N/A Requesting Data...3197037225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Data...3572118537</v>
        <stp/>
        <stp>BDP|15549933334837718499</stp>
        <tr r="AJ36" s="338"/>
      </tp>
      <tp t="s">
        <v>#N/A Requesting Data...1848806861</v>
        <stp/>
        <stp>BDP|13021422978704305879</stp>
        <tr r="F33" s="446"/>
      </tp>
      <tp t="s">
        <v>#N/A N/A</v>
        <stp/>
        <stp>BDP|16521478898015424206</stp>
        <tr r="AV11" s="2"/>
        <tr r="AV12" s="2"/>
        <tr r="R169" s="89"/>
        <tr r="R170" s="89"/>
        <tr r="R171" s="89"/>
        <tr r="R180" s="89"/>
        <tr r="R233" s="89"/>
      </tp>
      <tp t="s">
        <v>#N/A Requesting Data...2294106063</v>
        <stp/>
        <stp>BDP|16877024025140252836</stp>
        <tr r="F37" s="446"/>
      </tp>
      <tp t="s">
        <v>#N/A Requesting Data...1622048408</v>
        <stp/>
        <stp>BDP|17306420483731146629</stp>
        <tr r="Q53" s="338"/>
      </tp>
      <tp t="s">
        <v>#N/A Requesting Data...2690528372</v>
        <stp/>
        <stp>BDP|11873488141545455841</stp>
        <tr r="AK12" s="338"/>
      </tp>
      <tp t="s">
        <v>#N/A Requesting Data...1164223507</v>
        <stp/>
        <stp>BDP|10918059229437544914</stp>
        <tr r="S14" s="252"/>
      </tp>
      <tp t="s">
        <v>#N/A Requesting Data...3831663972</v>
        <stp/>
        <stp>BDP|17459985945086122091</stp>
        <tr r="F19" s="252"/>
      </tp>
      <tp t="s">
        <v>#N/A Requesting Data...2284298985</v>
        <stp/>
        <stp>BDP|16146881818116826586</stp>
        <tr r="P41" s="338"/>
      </tp>
      <tp t="s">
        <v>#N/A Requesting Data...1391896384</v>
        <stp/>
        <stp>BDP|16305130988474048795</stp>
        <tr r="C21" s="2"/>
      </tp>
      <tp t="s">
        <v>#N/A Requesting Data...1740390483</v>
        <stp/>
        <stp>BDP|15485843473026578068</stp>
        <tr r="U54" s="338"/>
      </tp>
      <tp t="s">
        <v>#N/A Requesting Data...4088447539</v>
        <stp/>
        <stp>BDP|14702322456147385934</stp>
        <tr r="U47" s="338"/>
      </tp>
      <tp t="s">
        <v>#N/A Requesting Data...3258702022</v>
        <stp/>
        <stp>BDP|13405037176711243908</stp>
        <tr r="E137" s="89"/>
      </tp>
      <tp t="s">
        <v>#N/A Requesting Data...3680291167</v>
        <stp/>
        <stp>BDP|17431748397947127250</stp>
        <tr r="AG37" s="1"/>
      </tp>
      <tp t="s">
        <v>#N/A Requesting Data...2279857821</v>
        <stp/>
        <stp>BDP|12945955828165458035</stp>
        <tr r="AA96" s="89"/>
        <tr r="Z96" s="89"/>
      </tp>
      <tp t="s">
        <v>#N/A Requesting Data...4134802807</v>
        <stp/>
        <stp>BDP|14217961267851904682</stp>
        <tr r="AD15" s="2"/>
        <tr r="V62" s="89"/>
      </tp>
      <tp t="s">
        <v>#N/A Requesting Data...2608255199</v>
        <stp/>
        <stp>BDP|16199643097561563420</stp>
        <tr r="C129" s="89"/>
      </tp>
      <tp t="s">
        <v>#N/A Requesting Data...3581090683</v>
        <stp/>
        <stp>BDP|18308090109307424329</stp>
        <tr r="K42" s="1"/>
      </tp>
      <tp t="s">
        <v>#N/A Requesting Data...3312686473</v>
        <stp/>
        <stp>BDP|14535010240339641566</stp>
        <tr r="AA21" s="2"/>
        <tr r="T195" s="89"/>
      </tp>
      <tp t="s">
        <v>#N/A Requesting Data...2320467940</v>
        <stp/>
        <stp>BDP|12025675637399291269</stp>
        <tr r="O15" s="252"/>
      </tp>
      <tp t="s">
        <v>#N/A Requesting Data...2566301059</v>
        <stp/>
        <stp>BDP|11664873615115482148</stp>
        <tr r="V69" s="89"/>
      </tp>
      <tp t="s">
        <v>#N/A Requesting Data...2884975614</v>
        <stp/>
        <stp>BDP|16474676671129789231</stp>
        <tr r="AF44" s="338"/>
        <tr r="AF47" s="338"/>
        <tr r="AF48" s="338"/>
        <tr r="AG10" s="338"/>
        <tr r="AG53" s="338"/>
      </tp>
      <tp t="s">
        <v>#N/A Requesting Data...2991487397</v>
        <stp/>
        <stp>BDP|12603143287034451379</stp>
        <tr r="AC21" s="1"/>
        <tr r="AC22" s="1"/>
        <tr r="D27" s="446"/>
      </tp>
      <tp t="s">
        <v>#N/A Requesting Data...3587244273</v>
        <stp/>
        <stp>BDP|10004210412887167840</stp>
        <tr r="D40" s="446"/>
      </tp>
      <tp t="e">
        <v>#N/A</v>
        <stp/>
        <stp>BDH|13392831222951112430</stp>
        <tr r="J11" s="252"/>
      </tp>
      <tp t="e">
        <v>#N/A</v>
        <stp/>
        <stp>BDH|13428318037958738760</stp>
        <tr r="AP15" s="338"/>
        <tr r="AU40" s="338"/>
        <tr r="AP39" s="338"/>
      </tp>
      <tp t="s">
        <v>#N/A Invalid Security</v>
        <stp/>
        <stp>BDP|11076688730849429560|22</stp>
        <stp xml:space="preserve"> Equity</stp>
        <stp>bid</stp>
        <tr r="P2" s="2"/>
        <tr r="K178" s="89"/>
        <tr r="K179" s="89"/>
      </tp>
      <tp t="e">
        <v>#N/A</v>
        <stp/>
        <stp>BDH|17599865729442237353</stp>
        <tr r="AS11" s="338"/>
      </tp>
      <tp>
        <v>-0.30106958746910095</v>
        <stp/>
        <stp>BDP|15300860136715577647|22</stp>
        <stp>AVGO US 06/18/26 P300 Equity</stp>
        <stp>DELTA_MID_RT</stp>
        <tr r="W224" s="89"/>
      </tp>
      <tp>
        <v>370.66</v>
        <stp/>
        <stp>BDP|336164456245703188|22</stp>
        <stp>LITE US Equity</stp>
        <stp>LAST_PRICE</stp>
        <tr r="Z10" s="2"/>
        <tr r="S7" s="89"/>
        <tr r="S8" s="89"/>
      </tp>
      <tp t="s">
        <v>#N/A Real Time</v>
        <stp/>
        <stp>BDP|4430211455615003459|22</stp>
        <stp>4OX4C    20500 Index</stp>
        <stp>bid</stp>
        <tr r="K108" s="89"/>
      </tp>
      <tp>
        <v>31.8</v>
        <stp/>
        <stp>BDP|4716754069265805089|22</stp>
        <stp>LITE US 02/20/26 C400 Equity</stp>
        <stp>bid</stp>
        <tr r="K7" s="89"/>
      </tp>
      <tp t="s">
        <v>#N/A Requesting Data...3931099295</v>
        <stp/>
        <stp>BDP|10830436782351213025</stp>
        <tr r="AG13" s="338"/>
      </tp>
      <tp t="s">
        <v>#N/A Requesting Data...1163366651</v>
        <stp/>
        <stp>BDP|16101110071044873900</stp>
        <tr r="S19" s="252"/>
      </tp>
      <tp t="s">
        <v>#N/A Requesting Data...3780940058</v>
        <stp/>
        <stp>BDP|17375751787424053193</stp>
        <tr r="T90" s="89"/>
      </tp>
      <tp t="s">
        <v>#N/A Requesting Data...2025987784</v>
        <stp/>
        <stp>BDP|15805166451638287462</stp>
        <tr r="S18" s="338"/>
      </tp>
      <tp t="s">
        <v>#N/A Requesting Data...2659814926</v>
        <stp/>
        <stp>BDP|18288576254733893628</stp>
        <tr r="C50" s="89"/>
      </tp>
      <tp t="s">
        <v>#N/A Requesting Data...1250235247</v>
        <stp/>
        <stp>BDP|11433444491248891924</stp>
        <tr r="E211" s="89"/>
      </tp>
      <tp t="s">
        <v>#N/A Requesting Data...3173913312</v>
        <stp/>
        <stp>BDP|18446461901708890906</stp>
        <tr r="S45" s="338"/>
      </tp>
      <tp t="s">
        <v>#N/A Requesting Data...1315485152</v>
        <stp/>
        <stp>BDP|12514485676904256829</stp>
        <tr r="E160" s="89"/>
      </tp>
      <tp t="s">
        <v>#N/A Requesting Data...3316691896</v>
        <stp/>
        <stp>BDP|18053748462790891444</stp>
        <tr r="V169" s="89"/>
      </tp>
      <tp t="s">
        <v>#N/A Requesting Data...1905253416</v>
        <stp/>
        <stp>BDP|10028687100653384862</stp>
        <tr r="T7" s="2"/>
        <tr r="O223" s="89"/>
      </tp>
      <tp t="s">
        <v>#N/A Requesting Data...3046062648</v>
        <stp/>
        <stp>BDP|15843140282036113720</stp>
        <tr r="G22" s="446"/>
      </tp>
      <tp t="s">
        <v>#N/A N/A</v>
        <stp/>
        <stp>BDP|12173824453560826249</stp>
        <tr r="AR24" s="2"/>
      </tp>
      <tp t="s">
        <v>#N/A Requesting Data...3208921498</v>
        <stp/>
        <stp>BDP|11847564369457057888</stp>
        <tr r="F13" s="252"/>
      </tp>
      <tp t="s">
        <v>#N/A Requesting Data...1136614734</v>
        <stp/>
        <stp>BDP|13571664718169245067</stp>
        <tr r="U14" s="338"/>
      </tp>
      <tp t="s">
        <v>#N/A Requesting Data...3623547279</v>
        <stp/>
        <stp>BDP|17319342610009091197</stp>
        <tr r="G27" s="446"/>
      </tp>
      <tp t="s">
        <v>#N/A Requesting Data...2137190367</v>
        <stp/>
        <stp>BDP|18197169773181317293</stp>
        <tr r="AA169" s="89"/>
        <tr r="Z169" s="89"/>
      </tp>
      <tp t="s">
        <v>#N/A Requesting Data...2920393187</v>
        <stp/>
        <stp>BDP|11924439292996409721</stp>
        <tr r="AG42" s="1"/>
      </tp>
      <tp t="s">
        <v>#N/A Requesting Data...3802321292</v>
        <stp/>
        <stp>BDP|17756698812965502873</stp>
        <tr r="Z213" s="89"/>
        <tr r="AA213" s="89"/>
      </tp>
      <tp t="s">
        <v>#N/A Requesting Data...1688661560</v>
        <stp/>
        <stp>BDP|14882210397437387533</stp>
        <tr r="T42" s="338"/>
      </tp>
      <tp t="s">
        <v>#N/A Requesting Data...2337056971</v>
        <stp/>
        <stp>BDP|16174661133786135858</stp>
        <tr r="L12" s="338"/>
        <tr r="H12" s="338"/>
      </tp>
      <tp t="s">
        <v>#N/A Requesting Data...2742468096</v>
        <stp/>
        <stp>BDP|17115834681353057933</stp>
        <tr r="U31" s="338"/>
      </tp>
      <tp t="s">
        <v>#N/A Requesting Data...3525492619</v>
        <stp/>
        <stp>BDP|16145371523023084962</stp>
        <tr r="V26" s="89"/>
      </tp>
      <tp t="s">
        <v>#N/A Requesting Data...4071712419</v>
        <stp/>
        <stp>BDP|12175469510002223863</stp>
        <tr r="P14" s="338"/>
      </tp>
      <tp t="s">
        <v>#N/A N/A</v>
        <stp/>
        <stp>BDP|18096474274854136215</stp>
        <tr r="R68" s="89"/>
        <tr r="R69" s="89"/>
        <tr r="R75" s="89"/>
        <tr r="R76" s="89"/>
        <tr r="R81" s="89"/>
        <tr r="R82" s="89"/>
        <tr r="R203" s="89"/>
        <tr r="R204" s="89"/>
        <tr r="R205" s="89"/>
        <tr r="R211" s="89"/>
        <tr r="R212" s="89"/>
        <tr r="R213" s="89"/>
        <tr r="AV24" s="2"/>
      </tp>
      <tp t="s">
        <v>#N/A Requesting Data...2241957005</v>
        <stp/>
        <stp>BDP|18074111082599132509</stp>
        <tr r="D196" s="89"/>
      </tp>
      <tp t="s">
        <v>#N/A Requesting Data...2577427061</v>
        <stp/>
        <stp>BDP|16200988588058493248</stp>
        <tr r="AA224" s="89"/>
        <tr r="Z224" s="89"/>
      </tp>
      <tp t="s">
        <v>#N/A Requesting Data...2160232965</v>
        <stp/>
        <stp>BDP|17051618884910746406</stp>
        <tr r="T44" s="338"/>
      </tp>
      <tp t="s">
        <v>#N/A Requesting Data...2630429606</v>
        <stp/>
        <stp>BDP|14959318848357778920</stp>
        <tr r="T41" s="338"/>
      </tp>
      <tp t="s">
        <v>#N/A Requesting Data...2494829510</v>
        <stp/>
        <stp>BDP|15219096160618738682</stp>
        <tr r="X17" s="338"/>
      </tp>
      <tp t="s">
        <v>#N/A Requesting Data...4196015205</v>
        <stp/>
        <stp>BDP|14574759861540790819</stp>
        <tr r="S34" s="338"/>
      </tp>
      <tp t="s">
        <v>#N/A Requesting Data...2592324871</v>
        <stp/>
        <stp>BDP|12063939312664514322</stp>
        <tr r="N17" s="252"/>
        <tr r="N17" s="252"/>
      </tp>
      <tp t="s">
        <v>#N/A Requesting Data...2990508863</v>
        <stp/>
        <stp>BDP|16239364000238452060</stp>
        <tr r="E40" s="89"/>
      </tp>
      <tp t="e">
        <v>#N/A</v>
        <stp/>
        <stp>BDH|13885285882450008494</stp>
        <tr r="J17" s="252"/>
      </tp>
      <tp t="e">
        <v>#N/A</v>
        <stp/>
        <stp>BDH|15399192203218692112</stp>
        <tr r="AM52" s="338"/>
        <tr r="AM53" s="338"/>
        <tr r="AM54" s="338"/>
      </tp>
      <tp>
        <v>631.13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>
        <v>83.16</v>
        <stp/>
        <stp>BDP|3617422536658376331|22</stp>
        <stp>XLP Equity</stp>
        <stp>LAST PRICE</stp>
        <tr r="I9" s="338"/>
      </tp>
      <tp>
        <v>33.700000000000003</v>
        <stp/>
        <stp>BDP|8644428270203613467|22</stp>
        <stp>LITE US 02/20/26 C400 Equity</stp>
        <stp>ask</stp>
        <tr r="L7" s="89"/>
      </tp>
      <tp>
        <v>0.2210351973772049</v>
        <stp/>
        <stp>BDP|11530148111403358091|22</stp>
        <stp>MSFT US 01/30/26 C505 Equity</stp>
        <stp>DELTA_MID_RT</stp>
        <tr r="W27" s="89"/>
      </tp>
      <tp>
        <v>74.63</v>
        <stp/>
        <stp>BDP|4473817456220841094|22</stp>
        <stp>META US 07/17/26 C670 Equity</stp>
        <stp>mid</stp>
        <tr r="L12" s="2"/>
      </tp>
      <tp t="s">
        <v>#N/A Requesting Data...3075001391</v>
        <stp/>
        <stp>BDP|12339741374220877028</stp>
        <tr r="AB16" s="1"/>
        <tr r="F21" s="446"/>
      </tp>
      <tp t="s">
        <v>#N/A Requesting Data...2701594358</v>
        <stp/>
        <stp>BDP|10313697833123536458</stp>
        <tr r="E14" s="2"/>
      </tp>
      <tp t="s">
        <v>#N/A Requesting Data...2400663773</v>
        <stp/>
        <stp>BDP|15108137503044913212</stp>
        <tr r="AA12" s="2"/>
      </tp>
      <tp t="s">
        <v>#N/A Requesting Data...1494827407</v>
        <stp/>
        <stp>BDP|12562291822957166773</stp>
        <tr r="X15" s="338"/>
        <tr r="X39" s="338"/>
      </tp>
      <tp t="s">
        <v>#N/A Requesting Data...1803634438</v>
        <stp/>
        <stp>BDP|17646594623933242160</stp>
        <tr r="AJ8" s="338"/>
        <tr r="AJ9" s="338"/>
      </tp>
      <tp t="s">
        <v>#N/A Requesting Data...2156469181</v>
        <stp/>
        <stp>BDP|10920319565786030158</stp>
        <tr r="E116" s="89"/>
      </tp>
      <tp t="s">
        <v>#N/A Requesting Data...3323000820</v>
        <stp/>
        <stp>BDP|11988979111049200256</stp>
        <tr r="AK29" s="338"/>
      </tp>
      <tp t="s">
        <v>#N/A Requesting Data...3935772322</v>
        <stp/>
        <stp>BDP|10430788467275400653</stp>
        <tr r="AA236" s="89"/>
        <tr r="Z236" s="89"/>
      </tp>
      <tp t="s">
        <v>#N/A Requesting Data...1540481644</v>
        <stp/>
        <stp>BDP|17671295855377364531</stp>
        <tr r="V205" s="89"/>
      </tp>
      <tp t="s">
        <v>#N/A Requesting Data...3293995630</v>
        <stp/>
        <stp>BDP|17114849768133924897</stp>
        <tr r="Q55" s="338"/>
      </tp>
      <tp t="s">
        <v>#N/A Requesting Data...3040027882</v>
        <stp/>
        <stp>BDP|17216633965664243193</stp>
        <tr r="L34" s="338"/>
        <tr r="L50" s="338"/>
        <tr r="L51" s="338"/>
        <tr r="J34" s="338"/>
        <tr r="L35" s="338"/>
        <tr r="J35" s="338"/>
        <tr r="L36" s="338"/>
        <tr r="J36" s="338"/>
        <tr r="L37" s="338"/>
        <tr r="J37" s="338"/>
        <tr r="H50" s="338"/>
        <tr r="H51" s="338"/>
      </tp>
      <tp t="s">
        <v>#N/A Requesting Data...2279246971</v>
        <stp/>
        <stp>BDP|14776745928063005042</stp>
        <tr r="T136" s="89"/>
      </tp>
      <tp t="s">
        <v>#N/A Requesting Data...3139547305</v>
        <stp/>
        <stp>BDP|16719292853193179031</stp>
        <tr r="T25" s="2"/>
        <tr r="O13" s="89"/>
      </tp>
      <tp t="s">
        <v>#N/A Requesting Data...1706463663</v>
        <stp/>
        <stp>BDP|13796779298948123776</stp>
        <tr r="C136" s="89"/>
      </tp>
      <tp t="s">
        <v>#N/A Requesting Data...1269535969</v>
        <stp/>
        <stp>BDP|13805405504302407767</stp>
        <tr r="AA197" s="89"/>
        <tr r="Z197" s="89"/>
      </tp>
      <tp t="s">
        <v>#N/A Requesting Data...2392747111</v>
        <stp/>
        <stp>BDP|16819116934213136521</stp>
        <tr r="F13" s="2"/>
      </tp>
      <tp t="s">
        <v>#N/A Requesting Data...2959589743</v>
        <stp/>
        <stp>BDP|14240882820984424808</stp>
        <tr r="V153" s="89"/>
        <tr r="V154" s="89"/>
      </tp>
      <tp t="s">
        <v>#N/A Requesting Data...1886403239</v>
        <stp/>
        <stp>BDP|13698454327306550105</stp>
        <tr r="T180" s="89"/>
      </tp>
      <tp t="s">
        <v>#N/A Requesting Data...3069306474</v>
        <stp/>
        <stp>BDP|15827021270859860931</stp>
        <tr r="C211" s="89"/>
      </tp>
      <tp t="s">
        <v>#N/A Requesting Data...3782158040</v>
        <stp/>
        <stp>BDP|10522514781749760636</stp>
        <tr r="C4" s="2"/>
      </tp>
      <tp t="s">
        <v>#N/A Requesting Data...2567026193</v>
        <stp/>
        <stp>BDP|16047448851216675329</stp>
        <tr r="V68" s="89"/>
      </tp>
      <tp t="s">
        <v>#N/A Requesting Data...3955873355</v>
        <stp/>
        <stp>BDP|11875259860180843752</stp>
        <tr r="L9" s="252"/>
        <tr r="L9" s="252"/>
      </tp>
      <tp t="s">
        <v>#N/A Requesting Data...2521587906</v>
        <stp/>
        <stp>BDP|17193753013640317341</stp>
        <tr r="AA23" s="2"/>
        <tr r="T197" s="89"/>
      </tp>
      <tp t="s">
        <v>#N/A Requesting Data...2723281636</v>
        <stp/>
        <stp>BDP|17441737733570305176</stp>
        <tr r="AG38" s="1"/>
      </tp>
      <tp t="s">
        <v>#N/A Requesting Data...3571849853</v>
        <stp/>
        <stp>BDP|17950909593432390797</stp>
        <tr r="G29" s="446"/>
      </tp>
      <tp t="s">
        <v>#N/A N/A</v>
        <stp/>
        <stp>BDP|16464673670092529762</stp>
        <tr r="AB136" s="89"/>
        <tr r="AB137" s="89"/>
        <tr r="AB138" s="89"/>
      </tp>
      <tp t="s">
        <v>#N/A N/A</v>
        <stp/>
        <stp>BDP|16665812118984554998</stp>
        <tr r="AC15" s="2"/>
        <tr r="AC16" s="2"/>
        <tr r="AC14" s="2"/>
        <tr r="AC13" s="2"/>
      </tp>
      <tp t="s">
        <v>#N/A Requesting Data...2068950855</v>
        <stp/>
        <stp>BDP|10392302271721368734</stp>
        <tr r="AJ15" s="338"/>
        <tr r="AJ39" s="338"/>
        <tr r="AK40" s="338"/>
      </tp>
      <tp t="s">
        <v>#N/A Requesting Data...1912339753</v>
        <stp/>
        <stp>BDP|13077127063164089235</stp>
        <tr r="L30" s="338"/>
        <tr r="L29" s="338"/>
        <tr r="H29" s="338"/>
        <tr r="H30" s="338"/>
      </tp>
      <tp t="s">
        <v>#N/A Requesting Data...3548328117</v>
        <stp/>
        <stp>BDP|15616266803836462358</stp>
        <tr r="P18" s="338"/>
      </tp>
      <tp t="s">
        <v>#N/A Requesting Data...1517915857</v>
        <stp/>
        <stp>BDP|12909617883408150686</stp>
        <tr r="F17" s="446"/>
      </tp>
      <tp t="s">
        <v>#N/A Requesting Data...3203749413</v>
        <stp/>
        <stp>BDP|12668630201684454223</stp>
        <tr r="T40" s="338"/>
      </tp>
      <tp t="s">
        <v>#N/A Requesting Data...1540689571</v>
        <stp/>
        <stp>BDP|14907590063523957686</stp>
        <tr r="D39" s="446"/>
      </tp>
      <tp t="s">
        <v>#N/A Requesting Data...2717229436</v>
        <stp/>
        <stp>BDP|15427086549125422631</stp>
        <tr r="F29" s="446"/>
      </tp>
      <tp t="s">
        <v>#N/A Requesting Data...3192921991</v>
        <stp/>
        <stp>BDP|12603611155092450139</stp>
        <tr r="P44" s="338"/>
      </tp>
      <tp t="s">
        <v>#N/A Requesting Data...3754207690</v>
        <stp/>
        <stp>BDP|15070758468347809116</stp>
        <tr r="Z75" s="89"/>
        <tr r="AA75" s="89"/>
      </tp>
      <tp t="s">
        <v>#N/A Requesting Data...1812828334</v>
        <stp/>
        <stp>BDP|16010178794489185569</stp>
        <tr r="Q42" s="338"/>
      </tp>
      <tp t="s">
        <v>#N/A Requesting Data...4085475428</v>
        <stp/>
        <stp>BDP|14733502401484175730</stp>
        <tr r="AD8" s="2"/>
      </tp>
      <tp t="s">
        <v>#N/A Requesting Data...2909746904</v>
        <stp/>
        <stp>BDP|12650903035052242853</stp>
        <tr r="T50" s="338"/>
      </tp>
      <tp t="s">
        <v>#N/A Requesting Data...3274309138</v>
        <stp/>
        <stp>BDP|15097578277281717435</stp>
        <tr r="AK13" s="338"/>
      </tp>
      <tp t="s">
        <v>#N/A N/A</v>
        <stp/>
        <stp>BDP|17445646416605654744</stp>
        <tr r="R55" s="89"/>
        <tr r="R56" s="89"/>
      </tp>
      <tp t="s">
        <v>#N/A Requesting Data...2226254626</v>
        <stp/>
        <stp>BDP|14798833541272440858</stp>
        <tr r="L33" s="338"/>
        <tr r="L10" s="338"/>
        <tr r="L11" s="338"/>
        <tr r="H10" s="338"/>
        <tr r="H11" s="338"/>
        <tr r="H33" s="338"/>
      </tp>
      <tp t="s">
        <v>#N/A N/A</v>
        <stp/>
        <stp>BDP|17447943913214573912</stp>
        <tr r="AC25" s="2"/>
        <tr r="AC26" s="2"/>
      </tp>
      <tp t="s">
        <v>#N/A Requesting Data...3773225152</v>
        <stp/>
        <stp>BDP|10540491936722929740</stp>
        <tr r="F13" s="446"/>
      </tp>
      <tp t="s">
        <v>#N/A Requesting Data...1775413451</v>
        <stp/>
        <stp>BDP|12465228967747275351</stp>
        <tr r="F7" s="2"/>
      </tp>
      <tp t="s">
        <v>#N/A N/A</v>
        <stp/>
        <stp>BDP|10374405008290534684</stp>
        <tr r="R49" s="89"/>
        <tr r="R50" s="89"/>
      </tp>
      <tp t="s">
        <v>#N/A Requesting Data...2777772819</v>
        <stp/>
        <stp>BDP|11774657841727499618</stp>
        <tr r="AA10" s="2"/>
        <tr r="T8" s="89"/>
      </tp>
      <tp t="e">
        <v>#N/A</v>
        <stp/>
        <stp>BDH|17220079290198638431</stp>
        <tr r="W20" s="252"/>
        <tr r="T20" s="252"/>
      </tp>
      <tp t="e">
        <v>#N/A</v>
        <stp/>
        <stp>BDH|17584423057877396301</stp>
        <tr r="J7" s="252"/>
      </tp>
      <tp>
        <v>122.7</v>
        <stp/>
        <stp>BDP|1868269163989593436|22</stp>
        <stp>EWY Equity</stp>
        <stp>LAST_PRICE</stp>
        <tr r="I31" s="1"/>
        <tr r="I32" s="1"/>
      </tp>
      <tp t="e">
        <v>#N/A</v>
        <stp/>
        <stp>BDH|13433517978227188448</stp>
        <tr r="J12" s="252"/>
      </tp>
      <tp t="e">
        <v>#N/A</v>
        <stp/>
        <stp>BDH|13814737682896797839</stp>
        <tr r="AS17" s="338"/>
        <tr r="AS52" s="338"/>
        <tr r="AS38" s="338"/>
        <tr r="AS15" s="338"/>
        <tr r="AS16" s="338"/>
        <tr r="AS44" s="338"/>
        <tr r="AS39" s="338"/>
      </tp>
      <tp>
        <v>40.950000000000003</v>
        <stp/>
        <stp>BDP|3322764634781769714|22</stp>
        <stp>META US 02/27/26 C660 Equity</stp>
        <stp>ask</stp>
        <tr r="L180" s="89"/>
      </tp>
      <tp>
        <v>0.36</v>
        <stp/>
        <stp>BDP|7779660573183859665|22</stp>
        <stp>NFLX US 03/20/26 C105 Equity</stp>
        <stp>ask</stp>
        <tr r="L186" s="89"/>
      </tp>
      <tp t="s">
        <v>#N/A Requesting Data...1221419812</v>
        <stp/>
        <stp>BDP|15895214585768543406</stp>
        <tr r="AB23" s="1"/>
        <tr r="AB24" s="1"/>
      </tp>
      <tp t="s">
        <v>#N/A Requesting Data...3783540578</v>
        <stp/>
        <stp>BDP|12506693576836787640</stp>
        <tr r="AC23" s="1"/>
        <tr r="AC24" s="1"/>
      </tp>
      <tp t="s">
        <v>#N/A Requesting Data...1200252090</v>
        <stp/>
        <stp>BDP|12913717425274232066</stp>
        <tr r="AG30" s="1"/>
      </tp>
      <tp t="s">
        <v>#N/A Requesting Data...2968434378</v>
        <stp/>
        <stp>BDP|14952713124422363077</stp>
        <tr r="AI54" s="338"/>
      </tp>
      <tp t="s">
        <v>#N/A N/A</v>
        <stp/>
        <stp>BDP|17344183941382189338</stp>
        <tr r="AQ20" s="2"/>
        <tr r="AQ17" s="2"/>
        <tr r="AQ18" s="2"/>
        <tr r="AQ19" s="2"/>
        <tr r="AB235" s="89"/>
        <tr r="AB26" s="89"/>
        <tr r="AB27" s="89"/>
      </tp>
      <tp t="s">
        <v>#N/A Requesting Data...1856123051</v>
        <stp/>
        <stp>BDP|12659323579531227475</stp>
        <tr r="C137" s="89"/>
      </tp>
      <tp t="s">
        <v>#N/A Requesting Data...2531463720</v>
        <stp/>
        <stp>BDP|13685951603788859137</stp>
        <tr r="T138" s="89"/>
      </tp>
      <tp t="s">
        <v>#N/A Requesting Data...3808292102</v>
        <stp/>
        <stp>BDP|10998952471375281858</stp>
        <tr r="C7" s="89"/>
      </tp>
      <tp t="s">
        <v>#N/A Requesting Data...3929379884</v>
        <stp/>
        <stp>BDP|10419921666694917835</stp>
        <tr r="Q47" s="338"/>
      </tp>
      <tp t="s">
        <v>#N/A N/A</v>
        <stp/>
        <stp>BDP|11859154028508627992</stp>
        <tr r="D24" s="2"/>
        <tr r="C81" s="89"/>
      </tp>
      <tp t="s">
        <v>#N/A Requesting Data...3832220873</v>
        <stp/>
        <stp>BDP|16449319729297437354</stp>
        <tr r="V33" s="89"/>
      </tp>
      <tp t="s">
        <v>#N/A Requesting Data...3819486731</v>
        <stp/>
        <stp>BDP|16973005602894719115</stp>
        <tr r="P19" s="252"/>
      </tp>
      <tp t="s">
        <v>#N/A Requesting Data...1747280564</v>
        <stp/>
        <stp>BDP|12197625641431851271</stp>
        <tr r="D16" s="2"/>
        <tr r="C63" s="89"/>
      </tp>
      <tp t="s">
        <v>#N/A Requesting Data...3042393478</v>
        <stp/>
        <stp>BDP|14061654258613093712</stp>
        <tr r="AA116" s="89"/>
        <tr r="Z116" s="89"/>
      </tp>
      <tp t="s">
        <v>#N/A Requesting Data...1943523312</v>
        <stp/>
        <stp>BDP|11585397164616268161</stp>
        <tr r="D116" s="89"/>
      </tp>
      <tp t="s">
        <v>#N/A Requesting Data...1451201391</v>
        <stp/>
        <stp>BDP|18214340488518015823</stp>
        <tr r="V236" s="89"/>
      </tp>
      <tp t="s">
        <v>#N/A Requesting Data...3607706514</v>
        <stp/>
        <stp>BDP|12861943665177076956</stp>
        <tr r="AF12" s="338"/>
      </tp>
      <tp t="s">
        <v>#N/A Requesting Data...1676544817</v>
        <stp/>
        <stp>BDP|15919437567850131436</stp>
        <tr r="G28" s="446"/>
      </tp>
      <tp t="s">
        <v>#N/A Requesting Data...1789642559</v>
        <stp/>
        <stp>BDP|17345659231843132294</stp>
        <tr r="X31" s="338"/>
      </tp>
      <tp t="s">
        <v>#N/A N/A</v>
        <stp/>
        <stp>BDP|12988555714434708108</stp>
        <tr r="R186" s="89"/>
        <tr r="R187" s="89"/>
        <tr r="R188" s="89"/>
      </tp>
      <tp t="s">
        <v>#N/A Requesting Data...2198240189</v>
        <stp/>
        <stp>BDP|13934642593416417954</stp>
        <tr r="AI49" s="1"/>
      </tp>
      <tp t="s">
        <v>#N/A Requesting Data...2944559046</v>
        <stp/>
        <stp>BDP|11060492626660625465</stp>
        <tr r="E49" s="89"/>
      </tp>
      <tp t="s">
        <v>#N/A Requesting Data...3229498368</v>
        <stp/>
        <stp>BDP|15708606918020014119</stp>
        <tr r="AA7" s="89"/>
        <tr r="Z7" s="89"/>
      </tp>
      <tp t="s">
        <v>#N/A Requesting Data...1220393780</v>
        <stp/>
        <stp>BDP|11636396119835192597</stp>
        <tr r="T69" s="89"/>
      </tp>
      <tp t="s">
        <v>#N/A Requesting Data...3197476877</v>
        <stp/>
        <stp>BDP|17039732835313216359</stp>
        <tr r="G13" s="446"/>
      </tp>
      <tp t="s">
        <v>#N/A Requesting Data...4234625803</v>
        <stp/>
        <stp>BDP|10212284669224289309</stp>
        <tr r="G15" s="446"/>
      </tp>
      <tp t="s">
        <v>#N/A Requesting Data...3096235194</v>
        <stp/>
        <stp>BDP|16462724592283769820</stp>
        <tr r="Z69" s="89"/>
        <tr r="AA69" s="89"/>
      </tp>
      <tp t="s">
        <v>#N/A Requesting Data...3993022134</v>
        <stp/>
        <stp>BDP|14477773684938548023</stp>
        <tr r="AI27" s="1"/>
        <tr r="AI29" s="1"/>
      </tp>
      <tp t="s">
        <v>#N/A Requesting Data...3646685327</v>
        <stp/>
        <stp>BDP|16582836999550942450</stp>
        <tr r="O56" s="89"/>
      </tp>
      <tp t="s">
        <v>#N/A Requesting Data...4207485277</v>
        <stp/>
        <stp>BDP|10628744726607068175</stp>
        <tr r="C225" s="89"/>
      </tp>
      <tp t="s">
        <v>#N/A Requesting Data...2064558123</v>
        <stp/>
        <stp>BDP|16931852689404443127</stp>
        <tr r="AB17" s="1"/>
        <tr r="F23" s="446"/>
      </tp>
      <tp t="s">
        <v>#N/A Requesting Data...3335681420</v>
        <stp/>
        <stp>BDP|14461057417982680435</stp>
        <tr r="AA16" s="2"/>
        <tr r="T63" s="89"/>
      </tp>
      <tp>
        <v>370</v>
        <stp/>
        <stp>BDP|17671933814978710772|22</stp>
        <stp>1OG6C 26000 Index</stp>
        <stp>bid</stp>
        <tr r="K153" s="89"/>
        <tr r="K154" s="89"/>
      </tp>
      <tp t="s">
        <v>#N/A Requesting Data...3065011680</v>
        <stp/>
        <stp>BDP|17214529260663576400</stp>
        <tr r="AC30" s="1"/>
      </tp>
      <tp t="s">
        <v>#N/A Requesting Data...3082986384</v>
        <stp/>
        <stp>BDP|11246696260120787292</stp>
        <tr r="F10" s="252"/>
      </tp>
      <tp t="s">
        <v>#N/A Requesting Data...1391527673</v>
        <stp/>
        <stp>BDP|15227373250511500153</stp>
        <tr r="X14" s="338"/>
      </tp>
      <tp t="s">
        <v>#N/A Requesting Data...4280745039</v>
        <stp/>
        <stp>BDP|13044527620903591424</stp>
        <tr r="U15" s="338"/>
        <tr r="U39" s="338"/>
      </tp>
      <tp t="s">
        <v>#N/A N/A</v>
        <stp/>
        <stp>BDP|16066178257148215968</stp>
        <tr r="AV13" s="2"/>
        <tr r="AV14" s="2"/>
        <tr r="AV15" s="2"/>
        <tr r="AV16" s="2"/>
        <tr r="R62" s="89"/>
        <tr r="R63" s="89"/>
      </tp>
      <tp t="s">
        <v>#N/A Requesting Data...3002316408</v>
        <stp/>
        <stp>BDP|12718343677950174519</stp>
        <tr r="E7" s="1"/>
        <tr r="K29" s="1"/>
      </tp>
      <tp t="s">
        <v>#N/A Requesting Data...2757561111</v>
        <stp/>
        <stp>BDP|14592404034766531631</stp>
        <tr r="S53" s="338"/>
      </tp>
      <tp t="s">
        <v>#N/A Requesting Data...4209434130</v>
        <stp/>
        <stp>BDP|11486261538490579386</stp>
        <tr r="AH55" s="338"/>
        <tr r="AI14" s="338"/>
        <tr r="AI55" s="338"/>
      </tp>
      <tp t="s">
        <v>#N/A Requesting Data...2218109287</v>
        <stp/>
        <stp>BDP|10407776681355403913</stp>
        <tr r="AI9" s="338"/>
      </tp>
      <tp t="s">
        <v>#N/A Requesting Data...4059987790</v>
        <stp/>
        <stp>BDP|14730076527710394522</stp>
        <tr r="K3" s="1"/>
      </tp>
      <tp t="e">
        <v>#N/A</v>
        <stp/>
        <stp>BDH|14403065443941878291</stp>
        <tr r="AU37" s="338"/>
        <tr r="AU36" s="338"/>
        <tr r="AU34" s="338"/>
        <tr r="AP51" s="338"/>
        <tr r="AU35" s="338"/>
        <tr r="AP50" s="338"/>
      </tp>
      <tp t="e">
        <v>#N/A</v>
        <stp/>
        <stp>BDH|12600180408787497715</stp>
        <tr r="AP9" s="338"/>
        <tr r="AP8" s="338"/>
      </tp>
      <tp t="e">
        <v>#N/A</v>
        <stp/>
        <stp>BDH|17790413231592065157</stp>
        <tr r="AM37" s="338"/>
      </tp>
      <tp t="e">
        <v>#N/A</v>
        <stp/>
        <stp>BDH|14583815225278766527</stp>
        <tr r="J8" s="252"/>
      </tp>
      <tp t="e">
        <v>#N/A</v>
        <stp/>
        <stp>BDH|12777233457023088550</stp>
        <tr r="AN13" s="338"/>
        <tr r="AN34" s="338"/>
      </tp>
      <tp>
        <v>374.5</v>
        <stp/>
        <stp>BDP|14088876280754203979|22</stp>
        <stp>1OG6C 26000 Index</stp>
        <stp>ask</stp>
        <tr r="L153" s="89"/>
        <tr r="L154" s="89"/>
      </tp>
      <tp t="s">
        <v>USD</v>
        <stp/>
        <stp>BDP|1317667679904084219|22</stp>
        <stp>NFLX US 03/20/26 P90 Equity</stp>
        <stp>QUOTED_CURRENCY_REALTIME</stp>
        <tr r="F187" s="89"/>
      </tp>
      <tp>
        <v>-3.2867975533008575E-2</v>
        <stp/>
        <stp>BDP|2414594441666047375|22</stp>
        <stp>GDX US 09/18/26 C115 Equity</stp>
        <stp>theta_mid_rt</stp>
        <tr r="AN9" s="2"/>
      </tp>
      <tp t="s">
        <v>#N/A Real Time</v>
        <stp/>
        <stp>BDP|8550151833773817651|22</stp>
        <stp>3OF5C    22500 Index</stp>
        <stp>bid</stp>
        <tr r="K109" s="89"/>
      </tp>
      <tp t="s">
        <v>#N/A Requesting Data...3700810113</v>
        <stp/>
        <stp>BDP|14881796519496077416</stp>
        <tr r="AC37" s="1"/>
      </tp>
      <tp t="s">
        <v>#N/A Requesting Data...3032030086</v>
        <stp/>
        <stp>BDP|17314881181040082738</stp>
        <tr r="T205" s="89"/>
      </tp>
      <tp t="s">
        <v>#N/A N/A</v>
        <stp/>
        <stp>BDP|13215475469594762530</stp>
        <tr r="AB89" s="89"/>
        <tr r="AB90" s="89"/>
      </tp>
      <tp t="s">
        <v>#N/A Requesting Data...3827091576</v>
        <stp/>
        <stp>BDP|10538723357113113195</stp>
        <tr r="C212" s="89"/>
      </tp>
      <tp t="s">
        <v>#N/A Requesting Data...2452834379</v>
        <stp/>
        <stp>BDP|10384653628097195348</stp>
        <tr r="V33" s="338"/>
      </tp>
      <tp t="s">
        <v>#N/A Requesting Data...3964032510</v>
        <stp/>
        <stp>BDP|15830810886156463309</stp>
        <tr r="AA89" s="89"/>
        <tr r="Z89" s="89"/>
      </tp>
      <tp t="s">
        <v>#N/A Requesting Data...2648101352</v>
        <stp/>
        <stp>BDP|16329127935980609498</stp>
        <tr r="M9" s="252"/>
      </tp>
      <tp t="s">
        <v>#N/A Requesting Data...1991890464</v>
        <stp/>
        <stp>BDP|10213293417720387350</stp>
        <tr r="V20" s="89"/>
      </tp>
      <tp t="s">
        <v>#N/A Requesting Data...1242036627</v>
        <stp/>
        <stp>BDP|14136785762373472653</stp>
        <tr r="P12" s="338"/>
      </tp>
      <tp t="s">
        <v>#N/A Requesting Data...3724424415</v>
        <stp/>
        <stp>BDP|10907713945543986097</stp>
        <tr r="AJ12" s="338"/>
      </tp>
      <tp t="s">
        <v>#N/A Requesting Data...2246454981</v>
        <stp/>
        <stp>BDP|11005103869761335778</stp>
        <tr r="Q14" s="338"/>
      </tp>
      <tp t="s">
        <v>#N/A Requesting Data...1537053587</v>
        <stp/>
        <stp>BDP|18157396268365948849</stp>
        <tr r="G32" s="446"/>
      </tp>
      <tp t="s">
        <v>#N/A Requesting Data...2281484566</v>
        <stp/>
        <stp>BDP|12322490716684467354</stp>
        <tr r="AD26" s="2"/>
        <tr r="V14" s="89"/>
      </tp>
      <tp t="s">
        <v>#N/A Requesting Data...1952938530</v>
        <stp/>
        <stp>BDP|16998277646851211171</stp>
        <tr r="C40" s="89"/>
      </tp>
      <tp t="s">
        <v>#N/A Requesting Data...2622959472</v>
        <stp/>
        <stp>BDP|18108361989784462767</stp>
        <tr r="AR4" s="2"/>
      </tp>
      <tp t="s">
        <v>#N/A Requesting Data...3244514968</v>
        <stp/>
        <stp>BDP|17187500422678411886</stp>
        <tr r="AA15" s="2"/>
        <tr r="T62" s="89"/>
      </tp>
      <tp t="s">
        <v>#N/A Requesting Data...1956178557</v>
        <stp/>
        <stp>BDP|11850099902500446183</stp>
        <tr r="AR26" s="2"/>
      </tp>
      <tp t="s">
        <v>#N/A Requesting Data...2982133775</v>
        <stp/>
        <stp>BDP|11924826381262215379</stp>
        <tr r="D115" s="89"/>
      </tp>
      <tp t="s">
        <v>#N/A N/A</v>
        <stp/>
        <stp>BDP|16418587176254290070</stp>
        <tr r="AB129" s="89"/>
      </tp>
      <tp t="s">
        <v>#N/A N/A</v>
        <stp/>
        <stp>BDP|13846974553487624841</stp>
        <tr r="AQ24" s="2"/>
        <tr r="AB81" s="89"/>
        <tr r="AB82" s="89"/>
        <tr r="AB203" s="89"/>
        <tr r="AB204" s="89"/>
        <tr r="AB205" s="89"/>
        <tr r="AB211" s="89"/>
        <tr r="AB212" s="89"/>
        <tr r="AB213" s="89"/>
        <tr r="AB68" s="89"/>
        <tr r="AB69" s="89"/>
        <tr r="AB75" s="89"/>
        <tr r="AB76" s="89"/>
      </tp>
      <tp t="s">
        <v>#N/A Requesting Data...3587231195</v>
        <stp/>
        <stp>BDP|13092497781378873713</stp>
        <tr r="E76" s="89"/>
      </tp>
      <tp t="s">
        <v>#N/A Requesting Data...1834334870</v>
        <stp/>
        <stp>BDP|13176433799579956737</stp>
        <tr r="C15" s="2"/>
      </tp>
      <tp t="s">
        <v>#N/A Requesting Data...3927401337</v>
        <stp/>
        <stp>BDP|11877678453870847248</stp>
        <tr r="AJ29" s="338"/>
        <tr r="AJ30" s="338"/>
      </tp>
      <tp t="s">
        <v>#N/A Requesting Data...1506910701</v>
        <stp/>
        <stp>BDP|17979638844017722292</stp>
        <tr r="E224" s="89"/>
      </tp>
      <tp t="s">
        <v>#N/A Requesting Data...3600939377</v>
        <stp/>
        <stp>BDP|12913131077284987044</stp>
        <tr r="T55" s="89"/>
      </tp>
      <tp t="s">
        <v>#N/A Requesting Data...4173720038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Requesting Data...1507777242</v>
        <stp/>
        <stp>BDP|17514426457632142415</stp>
        <tr r="Q37" s="338"/>
      </tp>
      <tp t="s">
        <v>#N/A Requesting Data...3730160199</v>
        <stp/>
        <stp>BDP|17857693024795624634</stp>
        <tr r="V19" s="89"/>
      </tp>
      <tp t="s">
        <v>#N/A Requesting Data...1623395199</v>
        <stp/>
        <stp>BDP|14736375789817362891</stp>
        <tr r="AC2" s="1"/>
        <tr r="AD2" s="1"/>
      </tp>
      <tp t="s">
        <v>#N/A N/A</v>
        <stp/>
        <stp>BDP|10445203744035528368</stp>
        <tr r="AC9" s="2"/>
        <tr r="AC8" s="2"/>
      </tp>
      <tp t="s">
        <v>#N/A N/A</v>
        <stp/>
        <stp>BDP|16915999897423444512</stp>
        <tr r="AC17" s="1"/>
      </tp>
      <tp t="s">
        <v>#N/A Requesting Data...4163516478</v>
        <stp/>
        <stp>BDP|13439578072010389109</stp>
        <tr r="O225" s="89"/>
      </tp>
      <tp t="s">
        <v>#N/A Requesting Data...1449178561</v>
        <stp/>
        <stp>BDP|11184865175579332734</stp>
        <tr r="F12" s="446"/>
      </tp>
      <tp t="s">
        <v>#N/A Requesting Data...3894284629</v>
        <stp/>
        <stp>BDP|12133420967599732913</stp>
        <tr r="AG12" s="338"/>
      </tp>
      <tp t="s">
        <v>#N/A Requesting Data...1635153563</v>
        <stp/>
        <stp>BDP|15122146107040099471</stp>
        <tr r="E55" s="89"/>
      </tp>
      <tp t="s">
        <v>#N/A Requesting Data...3249842798</v>
        <stp/>
        <stp>BDP|11301603537853289723</stp>
        <tr r="T18" s="338"/>
      </tp>
      <tp t="s">
        <v>#N/A Requesting Data...3694956280</v>
        <stp/>
        <stp>BDP|17819773794190840945</stp>
        <tr r="P17" s="252"/>
      </tp>
      <tp t="s">
        <v>#N/A Requesting Data...2828527755</v>
        <stp/>
        <stp>BDP|13497118928571303190</stp>
        <tr r="D19" s="2"/>
      </tp>
      <tp t="s">
        <v>#N/A Requesting Data...2649843795</v>
        <stp/>
        <stp>BDP|14405326057281461339</stp>
        <tr r="E236" s="89"/>
      </tp>
      <tp t="s">
        <v>#N/A Requesting Data...3568041379</v>
        <stp/>
        <stp>BDP|11542574144783666360</stp>
        <tr r="F41" s="446"/>
      </tp>
      <tp t="s">
        <v>#N/A Requesting Data...4116321523</v>
        <stp/>
        <stp>BDP|17084554945943329550</stp>
        <tr r="C34" s="89"/>
      </tp>
      <tp t="s">
        <v>#N/A Requesting Data...1379487717</v>
        <stp/>
        <stp>BDP|10347220747614218226</stp>
        <tr r="O203" s="89"/>
      </tp>
      <tp t="e">
        <v>#N/A</v>
        <stp/>
        <stp>BDH|17517277049437829647</stp>
        <tr r="AR12" s="338"/>
      </tp>
      <tp t="s">
        <v>USD</v>
        <stp/>
        <stp>BDP|2710784205974410109|22</stp>
        <stp>ASHR US 02/20/26 C35 Equity</stp>
        <stp>QUOTED_CURRENCY_REALTIME</stp>
        <tr r="G5" s="2"/>
        <tr r="G6" s="2"/>
      </tp>
      <tp t="s">
        <v>#N/A Real Time</v>
        <stp/>
        <stp>BDP|7488669990583969064|22</stp>
        <stp>SPXW US 12/31/25 C6950 Index</stp>
        <stp>ask</stp>
        <tr r="L160" s="89"/>
      </tp>
      <tp>
        <v>40.4</v>
        <stp/>
        <stp>BDP|3050834555440308322|22</stp>
        <stp>LITE US 03/20/26 C420 Equity</stp>
        <stp>bid</stp>
        <tr r="P10" s="2"/>
        <tr r="K8" s="89"/>
      </tp>
      <tp t="s">
        <v>#N/A Requesting Data...3934457163</v>
        <stp/>
        <stp>BDP|10801083268771247632</stp>
        <tr r="D90" s="89"/>
      </tp>
      <tp t="s">
        <v>#N/A Requesting Data...3726417427</v>
        <stp/>
        <stp>BDP|15656499554320397517</stp>
        <tr r="AA196" s="89"/>
        <tr r="Z196" s="89"/>
      </tp>
      <tp t="s">
        <v>#N/A Requesting Data...2033621979</v>
        <stp/>
        <stp>BDP|16715867013956947830</stp>
        <tr r="Z56" s="89"/>
        <tr r="AA56" s="89"/>
      </tp>
      <tp t="s">
        <v>#N/A Requesting Data...2760420526</v>
        <stp/>
        <stp>BDP|11531803114351862812</stp>
        <tr r="F10" s="2"/>
      </tp>
      <tp t="s">
        <v>#N/A Requesting Data...2575572031</v>
        <stp/>
        <stp>BDP|12055500611067822013</stp>
        <tr r="AJ31" s="338"/>
        <tr r="AJ32" s="338"/>
        <tr r="AH31" s="338"/>
        <tr r="AH32" s="338"/>
      </tp>
      <tp t="s">
        <v>#N/A Requesting Data...3132534598</v>
        <stp/>
        <stp>BDP|10712352949092709470</stp>
        <tr r="AA19" s="89"/>
        <tr r="Z19" s="89"/>
      </tp>
      <tp t="s">
        <v>#N/A Requesting Data...2174627792</v>
        <stp/>
        <stp>BDP|11926173605138756972</stp>
        <tr r="Q36" s="338"/>
      </tp>
      <tp t="s">
        <v>#N/A Requesting Data...2845642839</v>
        <stp/>
        <stp>BDP|14336270361883873268</stp>
        <tr r="E62" s="89"/>
      </tp>
      <tp t="s">
        <v>#N/A Requesting Data...4185375766</v>
        <stp/>
        <stp>BDP|15783676161145872136</stp>
        <tr r="O12" s="252"/>
      </tp>
      <tp t="s">
        <v>#N/A Requesting Data...3820453327</v>
        <stp/>
        <stp>BDP|10827554593684445907</stp>
        <tr r="AG44" s="1"/>
      </tp>
      <tp t="s">
        <v>#N/A Requesting Data...1429656460</v>
        <stp/>
        <stp>BDP|10651894387614235500</stp>
        <tr r="V138" s="89"/>
      </tp>
      <tp t="s">
        <v>#N/A Requesting Data...3068093895</v>
        <stp/>
        <stp>BDP|10435868994421818135</stp>
        <tr r="C26" s="2"/>
      </tp>
      <tp t="s">
        <v>#N/A Requesting Data...2919850870</v>
        <stp/>
        <stp>BDP|18017376398746707540</stp>
        <tr r="G37" s="446"/>
      </tp>
      <tp t="s">
        <v>#N/A Requesting Data...2587175190</v>
        <stp/>
        <stp>BDP|17365785494690778868</stp>
        <tr r="E5" s="1"/>
        <tr r="K23" s="1"/>
      </tp>
      <tp t="s">
        <v>#N/A Requesting Data...1518316678</v>
        <stp/>
        <stp>BDP|11154785569869703897</stp>
        <tr r="V101" s="89"/>
      </tp>
      <tp t="s">
        <v>#N/A Requesting Data...4203208561</v>
        <stp/>
        <stp>BDP|15611895190386842392</stp>
        <tr r="O212" s="89"/>
      </tp>
      <tp t="s">
        <v>#N/A Requesting Data...2434036739</v>
        <stp/>
        <stp>BDP|15429373874678916801</stp>
        <tr r="C55" s="89"/>
      </tp>
      <tp t="s">
        <v>#N/A Requesting Data...3342764988</v>
        <stp/>
        <stp>BDP|13462113802766482523</stp>
        <tr r="P51" s="338"/>
      </tp>
      <tp t="s">
        <v>#N/A Requesting Data...3444748548</v>
        <stp/>
        <stp>BDP|13507309990980542809</stp>
        <tr r="P54" s="338"/>
      </tp>
      <tp t="s">
        <v>#N/A Requesting Data...1842665911</v>
        <stp/>
        <stp>BDP|10629460632567404161</stp>
        <tr r="AF35" s="1"/>
        <tr r="AF36" s="1"/>
      </tp>
      <tp t="s">
        <v>#N/A Requesting Data...2961791841</v>
        <stp/>
        <stp>BDP|13251961527568785177</stp>
        <tr r="L41" s="338"/>
        <tr r="H41" s="338"/>
        <tr r="L42" s="338"/>
        <tr r="H42" s="338"/>
      </tp>
      <tp t="s">
        <v>#N/A Requesting Data...3691885086</v>
        <stp/>
        <stp>BDP|10532025680450781936</stp>
        <tr r="T53" s="338"/>
      </tp>
      <tp t="s">
        <v>#N/A Requesting Data...3391291198</v>
        <stp/>
        <stp>BDP|15584846954420486925</stp>
        <tr r="V30" s="338"/>
      </tp>
      <tp t="s">
        <v>#N/A Requesting Data...1574416765</v>
        <stp/>
        <stp>BDP|12417922592843377049</stp>
        <tr r="V50" s="338"/>
      </tp>
      <tp t="s">
        <v>#N/A Requesting Data...3575788913</v>
        <stp/>
        <stp>BDP|15633972697785552118</stp>
        <tr r="V115" s="89"/>
      </tp>
      <tp t="s">
        <v>#N/A Requesting Data...2118884690</v>
        <stp/>
        <stp>BDP|15698160403534380128</stp>
        <tr r="AB20" s="1"/>
        <tr r="AB26" s="1"/>
      </tp>
      <tp t="s">
        <v>#N/A Requesting Data...1328909468</v>
        <stp/>
        <stp>BDP|10829342338896620706</stp>
        <tr r="D204" s="89"/>
      </tp>
      <tp t="s">
        <v>#N/A Requesting Data...3083524442</v>
        <stp/>
        <stp>BDP|11998355979195097173</stp>
        <tr r="T160" s="89"/>
      </tp>
      <tp t="s">
        <v>#N/A Requesting Data...3985957483</v>
        <stp/>
        <stp>BDP|16353514989043023996</stp>
        <tr r="AH14" s="338"/>
        <tr r="AH35" s="338"/>
        <tr r="AJ14" s="338"/>
        <tr r="AJ35" s="338"/>
      </tp>
      <tp t="s">
        <v>#N/A Requesting Data...2290182645</v>
        <stp/>
        <stp>BDP|12456380201726902619</stp>
        <tr r="Z50" s="89"/>
        <tr r="AA50" s="89"/>
      </tp>
      <tp t="s">
        <v>#N/A Requesting Data...3615703140</v>
        <stp/>
        <stp>BDP|11157579934717202151</stp>
        <tr r="V136" s="89"/>
      </tp>
      <tp t="s">
        <v>#N/A Requesting Data...4008213637</v>
        <stp/>
        <stp>BDP|16176003730321499511</stp>
        <tr r="L9" s="338"/>
        <tr r="J9" s="338"/>
      </tp>
      <tp t="s">
        <v>#N/A Requesting Data...2401911793</v>
        <stp/>
        <stp>BDP|16488629082059415041</stp>
        <tr r="M15" s="252"/>
      </tp>
      <tp t="s">
        <v>#N/A Requesting Data...2820531302</v>
        <stp/>
        <stp>BDP|13170702077463225105</stp>
        <tr r="V102" s="89"/>
      </tp>
      <tp t="s">
        <v>#N/A Requesting Data...3126738054</v>
        <stp/>
        <stp>BDP|18267029483522135357</stp>
        <tr r="C19" s="89"/>
      </tp>
      <tp t="s">
        <v>#N/A Requesting Data...3909718982</v>
        <stp/>
        <stp>BDP|15665722340580183729</stp>
        <tr r="AH17" s="338"/>
        <tr r="AH18" s="338"/>
      </tp>
      <tp t="s">
        <v>#N/A Requesting Data...1575355951</v>
        <stp/>
        <stp>BDP|15153756229823388297</stp>
        <tr r="D4" s="2"/>
      </tp>
      <tp t="s">
        <v>#N/A Requesting Data...3793708164</v>
        <stp/>
        <stp>BDP|10682710845653266163</stp>
        <tr r="E96" s="89"/>
      </tp>
      <tp t="s">
        <v>#N/A Requesting Data...3612764760</v>
        <stp/>
        <stp>BDP|10764751743486083471</stp>
        <tr r="E5" s="2"/>
        <tr r="E6" s="2"/>
      </tp>
      <tp t="s">
        <v>#N/A Requesting Data...3244651810</v>
        <stp/>
        <stp>BDP|14562048524442507562</stp>
        <tr r="Z49" s="89"/>
        <tr r="AA49" s="89"/>
      </tp>
      <tp t="s">
        <v>#N/A Requesting Data...3448932373</v>
        <stp/>
        <stp>BDP|14914589903223067341</stp>
        <tr r="AH31" s="338"/>
        <tr r="AH32" s="338"/>
      </tp>
      <tp t="e">
        <v>#N/A</v>
        <stp/>
        <stp>BDH|16626081669578404941</stp>
        <tr r="AR11" s="338"/>
      </tp>
      <tp t="s">
        <v>#N/A Real Time</v>
        <stp/>
        <stp>BDP|13109069317489889364|22</stp>
        <stp>SCH5C   6150 Index</stp>
        <stp>DELTA_MID_RT</stp>
        <tr r="W95" s="89"/>
      </tp>
      <tp t="s">
        <v>#N/A N/A</v>
        <stp/>
        <stp>BDP|15384027334865926559</stp>
        <tr r="K1" s="2"/>
      </tp>
      <tp t="s">
        <v>#N/A Requesting Data...1406521910</v>
        <stp/>
        <stp>BDP|10297523734239490992</stp>
        <tr r="AB49" s="1"/>
        <tr r="F19" s="446"/>
      </tp>
      <tp t="s">
        <v>#N/A Requesting Data...1939414357</v>
        <stp/>
        <stp>BDP|12796713228197729608</stp>
        <tr r="P20" s="252"/>
      </tp>
      <tp t="s">
        <v>#N/A Requesting Data...2473010781</v>
        <stp/>
        <stp>BDP|14277784462456832595</stp>
        <tr r="L18" s="338"/>
        <tr r="L17" s="338"/>
        <tr r="H17" s="338"/>
        <tr r="H18" s="338"/>
      </tp>
      <tp t="s">
        <v>#N/A Requesting Data...1702564613</v>
        <stp/>
        <stp>BDP|15345577350865826658</stp>
        <tr r="V211" s="89"/>
      </tp>
      <tp t="s">
        <v>#N/A Requesting Data...3240702055</v>
        <stp/>
        <stp>BDP|17424699323975103062</stp>
        <tr r="K33" s="1"/>
      </tp>
      <tp t="s">
        <v>#N/A Requesting Data...3589868257</v>
        <stp/>
        <stp>BDP|13066894584424507113</stp>
        <tr r="AA186" s="89"/>
        <tr r="Z186" s="89"/>
      </tp>
      <tp t="s">
        <v>#N/A Requesting Data...1546253737</v>
        <stp/>
        <stp>BDP|13534980394766736373</stp>
        <tr r="AG47" s="1"/>
      </tp>
      <tp t="s">
        <v>#N/A Requesting Data...2095332967</v>
        <stp/>
        <stp>BDP|17797289754802274410</stp>
        <tr r="AH16" s="338"/>
        <tr r="AH38" s="338"/>
        <tr r="AH40" s="338"/>
      </tp>
      <tp t="s">
        <v>#N/A Requesting Data...4073568655</v>
        <stp/>
        <stp>BDP|16115925375469725792</stp>
        <tr r="F8" s="2"/>
      </tp>
      <tp t="s">
        <v>#N/A Requesting Data...1364828905</v>
        <stp/>
        <stp>BDP|10811773521330276340</stp>
        <tr r="F42" s="446"/>
      </tp>
      <tp t="s">
        <v>#N/A Requesting Data...2977625539</v>
        <stp/>
        <stp>BDP|18388855463603606385</stp>
        <tr r="AA27" s="89"/>
        <tr r="Z27" s="89"/>
      </tp>
      <tp t="s">
        <v>#N/A Requesting Data...2648700478</v>
        <stp/>
        <stp>BDP|10555016852265553684</stp>
        <tr r="V222" s="89"/>
      </tp>
      <tp t="s">
        <v>#N/A Requesting Data...3234165557</v>
        <stp/>
        <stp>BDP|11364787337662503131</stp>
        <tr r="L49" s="338"/>
        <tr r="L48" s="338"/>
        <tr r="J48" s="338"/>
        <tr r="J49" s="338"/>
      </tp>
      <tp t="s">
        <v>#N/A Requesting Data...2634787088</v>
        <stp/>
        <stp>BDP|11872742860665595345</stp>
        <tr r="C203" s="89"/>
      </tp>
      <tp t="s">
        <v>#N/A Requesting Data...2365477648</v>
        <stp/>
        <stp>BDP|10592355801820537596</stp>
        <tr r="V225" s="89"/>
      </tp>
      <tp t="s">
        <v>#N/A Requesting Data...4077308749</v>
        <stp/>
        <stp>BDP|12754284242295866781</stp>
        <tr r="Y6" s="252"/>
      </tp>
      <tp t="s">
        <v>#N/A Requesting Data...2939905258</v>
        <stp/>
        <stp>BDP|18269203655158880133</stp>
        <tr r="F39" s="446"/>
      </tp>
      <tp t="s">
        <v>#N/A Requesting Data...2205235054</v>
        <stp/>
        <stp>BDP|12227291512562192542</stp>
        <tr r="AJ37" s="338"/>
      </tp>
      <tp t="s">
        <v>#N/A Requesting Data...1551537357</v>
        <stp/>
        <stp>BDP|16951549404092060765</stp>
        <tr r="V109" s="89"/>
      </tp>
      <tp t="s">
        <v>#N/A Requesting Data...2798251664</v>
        <stp/>
        <stp>BDP|12974175115895475102</stp>
        <tr r="Q12" s="338"/>
      </tp>
      <tp t="s">
        <v>#N/A Requesting Data...4153370825</v>
        <stp/>
        <stp>BDP|14465682678745316685</stp>
        <tr r="V171" s="89"/>
      </tp>
      <tp t="s">
        <v>#N/A Requesting Data...4197242106</v>
        <stp/>
        <stp>BDP|11386689669882555588</stp>
        <tr r="E122" s="89"/>
      </tp>
      <tp t="s">
        <v>#N/A Requesting Data...3428990885</v>
        <stp/>
        <stp>BDP|16385386864915757060</stp>
        <tr r="T54" s="338"/>
      </tp>
      <tp t="s">
        <v>#N/A Requesting Data...2779123667</v>
        <stp/>
        <stp>BDP|13639162762852624052</stp>
        <tr r="AF33" s="1"/>
        <tr r="AF34" s="1"/>
      </tp>
      <tp t="s">
        <v>#N/A Requesting Data...3533612846</v>
        <stp/>
        <stp>BDP|16302213673966019302</stp>
        <tr r="V224" s="89"/>
      </tp>
      <tp t="s">
        <v>#N/A Requesting Data...2839606704</v>
        <stp/>
        <stp>BDP|14172029208847257580</stp>
        <tr r="V42" s="338"/>
      </tp>
      <tp t="s">
        <v>#N/A Requesting Data...3057835166</v>
        <stp/>
        <stp>BDP|17101265217926745477</stp>
        <tr r="D7" s="89"/>
      </tp>
      <tp t="s">
        <v>#N/A Requesting Data...4159928273</v>
        <stp/>
        <stp>BDP|10374609618263940213</stp>
        <tr r="S30" s="338"/>
      </tp>
      <tp t="s">
        <v>#N/A Requesting Data...3708827923</v>
        <stp/>
        <stp>BDP|11156706822837900596</stp>
        <tr r="V51" s="338"/>
      </tp>
      <tp t="s">
        <v>#N/A N/A</v>
        <stp/>
        <stp>BDP|10137680139817712447</stp>
        <tr r="AC20" s="2"/>
        <tr r="AC17" s="2"/>
        <tr r="AC18" s="2"/>
        <tr r="AC19" s="2"/>
      </tp>
      <tp t="s">
        <v>#N/A Requesting Data...1462277452</v>
        <stp/>
        <stp>BDP|18365939499897354990</stp>
        <tr r="D160" s="89"/>
      </tp>
      <tp t="s">
        <v>#N/A Requesting Data...3363169676</v>
        <stp/>
        <stp>BDP|15452088774745294193</stp>
        <tr r="AA14" s="89"/>
        <tr r="Z14" s="89"/>
      </tp>
      <tp t="s">
        <v>#N/A Requesting Data...2772074297</v>
        <stp/>
        <stp>BDP|11064610705050727104</stp>
        <tr r="V137" s="89"/>
      </tp>
      <tp t="s">
        <v>#N/A Requesting Data...3197635526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Data...1830122023</v>
        <stp/>
        <stp>BDP|16272552922964616315</stp>
        <tr r="T129" s="89"/>
      </tp>
      <tp t="s">
        <v>#N/A Requesting Data...3606300731</v>
        <stp/>
        <stp>BDP|16314700913165778352</stp>
        <tr r="AR19" s="2"/>
      </tp>
      <tp t="s">
        <v>#N/A Requesting Data...1597331819</v>
        <stp/>
        <stp>BDP|14073708651687201763</stp>
        <tr r="AB43" s="1"/>
      </tp>
      <tp t="s">
        <v>#N/A Requesting Data...3298636369</v>
        <stp/>
        <stp>BDP|10078809003498061665</stp>
        <tr r="AH12" s="338"/>
      </tp>
      <tp t="s">
        <v>#N/A Requesting Data...4034827150</v>
        <stp/>
        <stp>BDP|11346506323885413513</stp>
        <tr r="E21" s="2"/>
      </tp>
      <tp t="s">
        <v>#N/A Requesting Data...2801540296</v>
        <stp/>
        <stp>BDP|11277689408467201656</stp>
        <tr r="T13" s="338"/>
      </tp>
      <tp t="s">
        <v>#N/A Requesting Data...3053602461</v>
        <stp/>
        <stp>BDP|13974956684510873453</stp>
        <tr r="D123" s="89"/>
      </tp>
      <tp t="s">
        <v>#N/A Requesting Data...2618667102</v>
        <stp/>
        <stp>BDP|14773881154686753983</stp>
        <tr r="E33" s="89"/>
      </tp>
      <tp t="s">
        <v>#N/A Requesting Data...3087303183</v>
        <stp/>
        <stp>BDP|10427861548958967244</stp>
        <tr r="AJ55" s="338"/>
        <tr r="AK14" s="338"/>
        <tr r="AK55" s="338"/>
      </tp>
      <tp t="s">
        <v>#N/A Requesting Data...1721757744</v>
        <stp/>
        <stp>BDP|12964383061440508121</stp>
        <tr r="S49" s="338"/>
      </tp>
      <tp t="s">
        <v>#N/A Requesting Data...2462880585</v>
        <stp/>
        <stp>BDP|17935753969917403773</stp>
        <tr r="F11" s="252"/>
      </tp>
      <tp t="s">
        <v>#N/A Requesting Data...1963808187</v>
        <stp/>
        <stp>BDP|16562085350705983025</stp>
        <tr r="D223" s="89"/>
      </tp>
      <tp t="s">
        <v>#N/A N/A</v>
        <stp/>
        <stp>BDP|15310935059149797682</stp>
        <tr r="R33" s="89"/>
        <tr r="R34" s="89"/>
      </tp>
      <tp t="s">
        <v>#N/A Requesting Data...3018184314</v>
        <stp/>
        <stp>BDP|12893396681958013760</stp>
        <tr r="C95" s="89"/>
      </tp>
      <tp t="e">
        <v>#N/A</v>
        <stp/>
        <stp>BDH|15766123648143431580</stp>
        <tr r="AP54" s="338"/>
        <tr r="AP53" s="338"/>
        <tr r="AP52" s="338"/>
      </tp>
      <tp t="e">
        <v>#N/A</v>
        <stp/>
        <stp>BDH|10658776607639471809</stp>
        <tr r="J18" s="252"/>
      </tp>
      <tp t="e">
        <v>#N/A</v>
        <stp/>
        <stp>BDH|12955015754121805037</stp>
        <tr r="AS54" s="338"/>
      </tp>
      <tp t="e">
        <v>#N/A</v>
        <stp/>
        <stp>BDH|13421285664453469277</stp>
        <tr r="AN32" s="338"/>
        <tr r="AN31" s="338"/>
      </tp>
      <tp t="e">
        <v>#N/A</v>
        <stp/>
        <stp>BDH|10449458937589048895</stp>
        <tr r="AU54" s="338"/>
      </tp>
      <tp t="e">
        <v>#N/A</v>
        <stp/>
        <stp>BDH|11975637510286771622</stp>
        <tr r="AM30" s="338"/>
        <tr r="AM29" s="338"/>
      </tp>
      <tp t="s">
        <v>USD</v>
        <stp/>
        <stp>BDP|2423561100599861373|22</stp>
        <stp>INTC US 07/17/26 P40 Equity</stp>
        <stp>QUOTED_CURRENCY_REALTIME</stp>
        <tr r="G23" s="2"/>
        <tr r="F197" s="89"/>
      </tp>
      <tp>
        <v>40.700000000000003</v>
        <stp/>
        <stp>BDP|5005092167591802286|22</stp>
        <stp>META US 04/17/26 C690 Equity</stp>
        <stp>bid</stp>
        <tr r="P11" s="2"/>
        <tr r="K170" s="89"/>
      </tp>
      <tp t="s">
        <v>#N/A Requesting Data...3567504478</v>
        <stp/>
        <stp>BDP|14882631572614102616</stp>
        <tr r="S10" s="252"/>
      </tp>
      <tp t="s">
        <v>#N/A Requesting Data...2253308574</v>
        <stp/>
        <stp>BDP|14531256854956960242</stp>
        <tr r="D22" s="2"/>
        <tr r="C196" s="89"/>
      </tp>
      <tp t="s">
        <v>#N/A Requesting Data...3187039777</v>
        <stp/>
        <stp>BDP|14222470646161364298</stp>
        <tr r="C13" s="2"/>
      </tp>
      <tp t="s">
        <v>#N/A Requesting Data...3891918263</v>
        <stp/>
        <stp>BDP|17074663879761640004</stp>
        <tr r="E34" s="89"/>
      </tp>
      <tp t="s">
        <v>#N/A Requesting Data...3023279922</v>
        <stp/>
        <stp>BDP|13396250829954504031</stp>
        <tr r="O222" s="89"/>
      </tp>
      <tp t="s">
        <v>#N/A Requesting Data...2943691864</v>
        <stp/>
        <stp>BDP|18254298125537508829</stp>
        <tr r="E204" s="89"/>
      </tp>
      <tp t="s">
        <v>#N/A N/A</v>
        <stp/>
        <stp>BDP|17370707244810639397</stp>
        <tr r="AC7" s="2"/>
      </tp>
      <tp t="s">
        <v>#N/A Requesting Data...1530048847</v>
        <stp/>
        <stp>BDP|14546342925643453186</stp>
        <tr r="L8" s="338"/>
        <tr r="J8" s="338"/>
        <tr r="L32" s="338"/>
        <tr r="J32" s="338"/>
        <tr r="L46" s="338"/>
        <tr r="J46" s="338"/>
        <tr r="L50" s="338"/>
        <tr r="J50" s="338"/>
      </tp>
      <tp t="s">
        <v>#N/A Requesting Data...2092354684</v>
        <stp/>
        <stp>BDP|17432959968547661878</stp>
        <tr r="C39" s="89"/>
      </tp>
      <tp t="s">
        <v>#N/A N/A</v>
        <stp/>
        <stp>BDP|14283444557730868227</stp>
        <tr r="E81" s="89"/>
      </tp>
      <tp t="s">
        <v>#N/A Requesting Data...3627560444</v>
        <stp/>
        <stp>BDP|15404493773766767722</stp>
        <tr r="G36" s="446"/>
      </tp>
      <tp t="s">
        <v>#N/A Requesting Data...1982216107</v>
        <stp/>
        <stp>BDP|10498485443064599312</stp>
        <tr r="X50" s="338"/>
      </tp>
      <tp t="s">
        <v>#N/A Requesting Data...1728470742</v>
        <stp/>
        <stp>BDP|15078283603585761571</stp>
        <tr r="O171" s="89"/>
      </tp>
      <tp t="s">
        <v>#N/A Requesting Data...1675201219</v>
        <stp/>
        <stp>BDP|18114698683463557242</stp>
        <tr r="AF49" s="1"/>
        <tr r="AG9" s="338"/>
      </tp>
      <tp t="s">
        <v>#N/A Requesting Data...2638631772</v>
        <stp/>
        <stp>BDP|14185986357608085749</stp>
        <tr r="V44" s="338"/>
      </tp>
      <tp t="s">
        <v>#N/A Requesting Data...1984406032</v>
        <stp/>
        <stp>BDP|13775077133931138686</stp>
        <tr r="AH41" s="338"/>
        <tr r="AH42" s="338"/>
        <tr r="AJ41" s="338"/>
        <tr r="AJ42" s="338"/>
      </tp>
      <tp t="s">
        <v>#N/A Requesting Data...2662368877</v>
        <stp/>
        <stp>BDP|15710273126027498587</stp>
        <tr r="E68" s="89"/>
      </tp>
      <tp t="s">
        <v>#N/A Requesting Data...3199197666</v>
        <stp/>
        <stp>BDP|17601997833672663804</stp>
        <tr r="AA234" s="89"/>
        <tr r="Z234" s="89"/>
      </tp>
      <tp t="s">
        <v>#N/A Requesting Data...2058283806</v>
        <stp/>
        <stp>BDP|14627889356148517678</stp>
        <tr r="E195" s="89"/>
      </tp>
      <tp t="s">
        <v>#N/A Requesting Data...2718379013</v>
        <stp/>
        <stp>BDP|14590579742297818521</stp>
        <tr r="K30" s="1"/>
      </tp>
      <tp t="s">
        <v>#N/A Requesting Data...2985549552</v>
        <stp/>
        <stp>BDP|14232577743505528792</stp>
        <tr r="F7" s="252"/>
      </tp>
      <tp t="s">
        <v>#N/A Requesting Data...3709975592</v>
        <stp/>
        <stp>BDP|14556104661927858316</stp>
        <tr r="K17" s="1"/>
        <tr r="K6" s="1"/>
      </tp>
      <tp t="s">
        <v>#N/A Requesting Data...2981341039</v>
        <stp/>
        <stp>BDP|17852290008496542418</stp>
        <tr r="AD17" s="2"/>
        <tr r="AD18" s="2"/>
      </tp>
      <tp t="s">
        <v>#N/A Requesting Data...1772811678</v>
        <stp/>
        <stp>BDP|12341108167772818008</stp>
        <tr r="T35" s="338"/>
      </tp>
      <tp t="s">
        <v>#N/A Requesting Data...2171394534</v>
        <stp/>
        <stp>BDP|15607530839212696655</stp>
        <tr r="AG18" s="1"/>
        <tr r="AG19" s="1"/>
      </tp>
      <tp t="s">
        <v>#N/A Requesting Data...2731959596</v>
        <stp/>
        <stp>BDP|10253727379283384458</stp>
        <tr r="C56" s="89"/>
      </tp>
      <tp t="s">
        <v>#N/A Requesting Data...2266616157</v>
        <stp/>
        <stp>BDP|13772195236723550526</stp>
        <tr r="X55" s="338"/>
      </tp>
      <tp t="s">
        <v>#N/A Requesting Data...3847816755</v>
        <stp/>
        <stp>BDP|17524118567766475161</stp>
        <tr r="F20" s="252"/>
      </tp>
      <tp t="s">
        <v>#N/A Requesting Data...4193406998</v>
        <stp/>
        <stp>BDP|13483096816386354391</stp>
        <tr r="S54" s="338"/>
      </tp>
      <tp t="s">
        <v>#N/A Requesting Data...2282234559</v>
        <stp/>
        <stp>BDP|16190103000157320731</stp>
        <tr r="V144" s="89"/>
      </tp>
      <tp t="s">
        <v>#N/A Requesting Data...2022451857</v>
        <stp/>
        <stp>BDP|12052868717818962496</stp>
        <tr r="AI32" s="338"/>
        <tr r="AI46" s="338"/>
        <tr r="AI50" s="338"/>
        <tr r="AI8" s="338"/>
      </tp>
      <tp t="s">
        <v>#N/A Requesting Data...2818428475</v>
        <stp/>
        <stp>BDP|12678050625094398357</stp>
        <tr r="AC40" s="1"/>
        <tr r="AC41" s="1"/>
        <tr r="D35" s="446"/>
      </tp>
      <tp t="s">
        <v>#N/A Requesting Data...4156198577</v>
        <stp/>
        <stp>BDP|10174429034410523025</stp>
        <tr r="E7" s="2"/>
      </tp>
      <tp t="s">
        <v>#N/A Requesting Data...4136109393</v>
        <stp/>
        <stp>BDP|14466338705836267600</stp>
        <tr r="C186" s="89"/>
      </tp>
      <tp t="s">
        <v>#N/A Requesting Data...4126248410</v>
        <stp/>
        <stp>BDP|13691107662271159260</stp>
        <tr r="AR25" s="2"/>
      </tp>
      <tp t="s">
        <v>#N/A Requesting Data...3533553705</v>
        <stp/>
        <stp>BDP|15357058437984658543</stp>
        <tr r="E108" s="89"/>
      </tp>
      <tp t="s">
        <v>#N/A N/A</v>
        <stp/>
        <stp>BDP|13548034063303146173</stp>
        <tr r="AC24" s="2"/>
      </tp>
      <tp t="s">
        <v>#N/A Requesting Data...2247618661</v>
        <stp/>
        <stp>BDP|16678311834407962683</stp>
        <tr r="V180" s="89"/>
      </tp>
      <tp t="s">
        <v>#N/A Requesting Data...2622513171</v>
        <stp/>
        <stp>BDP|10809595656630258773</stp>
        <tr r="N8" s="252"/>
        <tr r="N8" s="252"/>
      </tp>
      <tp t="s">
        <v>#N/A Requesting Data...3020957805</v>
        <stp/>
        <stp>BDP|17574802280181728171</stp>
        <tr r="Q45" s="338"/>
      </tp>
      <tp t="s">
        <v>#N/A Requesting Data...3809515754</v>
        <stp/>
        <stp>BDP|11136935115988096638</stp>
        <tr r="AJ17" s="338"/>
        <tr r="AJ18" s="338"/>
      </tp>
      <tp t="s">
        <v>#N/A Requesting Data...3843217258</v>
        <stp/>
        <stp>BDP|17117535562106038540</stp>
        <tr r="X35" s="338"/>
      </tp>
      <tp t="s">
        <v>#N/A Requesting Data...2428857900</v>
        <stp/>
        <stp>BDP|11947265064485960753</stp>
        <tr r="U32" s="338"/>
      </tp>
      <tp t="s">
        <v>#N/A Requesting Data...4005323950</v>
        <stp/>
        <stp>BDP|13856641820218803820</stp>
        <tr r="AB13" s="1"/>
      </tp>
      <tp t="e">
        <v>#N/A</v>
        <stp/>
        <stp>BDH|14301289027256729596</stp>
        <tr r="AR33" s="338"/>
        <tr r="AM45" s="338"/>
        <tr r="AM46" s="338"/>
        <tr r="AR41" s="338"/>
        <tr r="AR31" s="338"/>
        <tr r="AR47" s="338"/>
        <tr r="AR51" s="338"/>
        <tr r="AM49" s="338"/>
      </tp>
      <tp t="e">
        <v>#N/A</v>
        <stp/>
        <stp>BDH|12282226732847780331</stp>
        <tr r="AS42" s="338"/>
      </tp>
      <tp>
        <v>83.16</v>
        <stp/>
        <stp>BDP|2057497571936690391|22</stp>
        <stp>XLP Equity</stp>
        <stp>LAST_PRICE</stp>
        <tr r="I49" s="1"/>
      </tp>
      <tp t="e">
        <v>#N/A</v>
        <stp/>
        <stp>BDH|15432240090189030080</stp>
        <tr r="AU9" s="338"/>
      </tp>
      <tp t="e">
        <v>#N/A</v>
        <stp/>
        <stp>BDH|14841814459759862757</stp>
        <tr r="W19" s="252"/>
        <tr r="T19" s="252"/>
      </tp>
      <tp t="e">
        <v>#N/A</v>
        <stp/>
        <stp>BDH|17663640529772248671</stp>
        <tr r="J15" s="252"/>
      </tp>
      <tp>
        <v>86.41</v>
        <stp/>
        <stp>BDP|9722167412074972561|22</stp>
        <stp>MXCN Index</stp>
        <stp>LAST_PRICE</stp>
        <tr r="H17" s="252"/>
        <tr r="H17" s="252"/>
      </tp>
      <tp>
        <v>-0.28609558939933777</v>
        <stp/>
        <stp>BDP|18418713240494206607|22</stp>
        <stp>MRVL US 03/20/26 P75 Equity</stp>
        <stp>DELTA_MID_RT</stp>
        <tr r="AF14" s="2"/>
      </tp>
      <tp>
        <v>0.33</v>
        <stp/>
        <stp>BDP|9219352217858311461|22</stp>
        <stp>NFLX US 03/20/26 C105 Equity</stp>
        <stp>bid</stp>
        <tr r="K186" s="89"/>
      </tp>
      <tp>
        <v>20.75</v>
        <stp/>
        <stp>BDP|8554484547271150911|22</stp>
        <stp>META US 04/17/26 C750 Equity</stp>
        <stp>ask</stp>
        <tr r="L169" s="89"/>
      </tp>
      <tp>
        <v>6.5</v>
        <stp/>
        <stp>BDP|3635090955104008042|22</stp>
        <stp>AKAM US 08/21/26 C130 Equity</stp>
        <stp>ask</stp>
        <tr r="L34" s="89"/>
      </tp>
      <tp t="s">
        <v>#N/A Requesting Data...3942004154</v>
        <stp/>
        <stp>BDP|16351185019962298098</stp>
        <tr r="T7" s="89"/>
      </tp>
      <tp t="s">
        <v>#N/A Requesting Data...4290908790</v>
        <stp/>
        <stp>BDP|17506313141244542095</stp>
        <tr r="O55" s="89"/>
      </tp>
      <tp t="s">
        <v>#N/A Requesting Data...3382768213</v>
        <stp/>
        <stp>BDP|12194689278231069699</stp>
        <tr r="AI12" s="1"/>
      </tp>
      <tp t="s">
        <v>#N/A N/A</v>
        <stp/>
        <stp>BDP|15839339977736656325</stp>
        <tr r="AQ10" s="2"/>
        <tr r="AB7" s="89"/>
        <tr r="AB8" s="89"/>
      </tp>
      <tp t="s">
        <v>#N/A Requesting Data...2883149242</v>
        <stp/>
        <stp>BDP|10441895032989795603</stp>
        <tr r="AI11" s="338"/>
      </tp>
      <tp t="s">
        <v>#N/A Requesting Data...3580164473</v>
        <stp/>
        <stp>BDP|13606280414576403263</stp>
        <tr r="AC38" s="1"/>
      </tp>
      <tp t="s">
        <v>#N/A Requesting Data...4268069913</v>
        <stp/>
        <stp>BDP|18204983903505786057</stp>
        <tr r="F19" s="2"/>
      </tp>
      <tp t="s">
        <v>#N/A Requesting Data...2600475075</v>
        <stp/>
        <stp>BDP|14441106816594061499</stp>
        <tr r="C123" s="89"/>
      </tp>
      <tp t="s">
        <v>#N/A Requesting Data...2140610312</v>
        <stp/>
        <stp>BDP|16150678046234374495</stp>
        <tr r="T37" s="338"/>
      </tp>
      <tp t="s">
        <v>#N/A Requesting Data...2192955814</v>
        <stp/>
        <stp>BDP|11475524919684131546</stp>
        <tr r="Q48" s="338"/>
      </tp>
      <tp t="s">
        <v>#N/A Requesting Data...4174417542</v>
        <stp/>
        <stp>BDP|11019717141062892428</stp>
        <tr r="D222" s="89"/>
      </tp>
      <tp t="s">
        <v>#N/A Requesting Data...1822776962</v>
        <stp/>
        <stp>BDP|17303082674511603530</stp>
        <tr r="C180" s="89"/>
      </tp>
      <tp t="s">
        <v>#N/A N/A</v>
        <stp/>
        <stp>BDP|13942490076261841547</stp>
        <tr r="D82" s="89"/>
      </tp>
      <tp t="s">
        <v>#N/A N/A</v>
        <stp/>
        <stp>BDP|14179689834536953393</stp>
        <tr r="AB33" s="89"/>
        <tr r="AB34" s="89"/>
      </tp>
      <tp t="s">
        <v>#N/A Requesting Data...3348610047</v>
        <stp/>
        <stp>BDP|11174255088816885991</stp>
        <tr r="AA13" s="89"/>
        <tr r="Z13" s="89"/>
      </tp>
      <tp t="s">
        <v>#N/A Requesting Data...3228398624</v>
        <stp/>
        <stp>BDP|13677881495424052263</stp>
        <tr r="V46" s="338"/>
      </tp>
      <tp t="s">
        <v>#N/A Requesting Data...2790574111</v>
        <stp/>
        <stp>BDP|17810208191751672937</stp>
        <tr r="U53" s="338"/>
      </tp>
      <tp t="s">
        <v>#N/A Requesting Data...3729119530</v>
        <stp/>
        <stp>BDP|13362587002474685639</stp>
        <tr r="G33" s="446"/>
      </tp>
      <tp t="s">
        <v>#N/A Requesting Data...2521729019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Requesting Data...2825813916</v>
        <stp/>
        <stp>BDP|11902077291294537854</stp>
        <tr r="T234" s="89"/>
      </tp>
      <tp t="s">
        <v>#N/A Requesting Data...3142477352</v>
        <stp/>
        <stp>BDP|10953387444814317799</stp>
        <tr r="S18" s="252"/>
      </tp>
      <tp t="s">
        <v>#N/A Requesting Data...2579375978</v>
        <stp/>
        <stp>BDP|16095389787508071105</stp>
        <tr r="V11" s="338"/>
      </tp>
      <tp t="s">
        <v>#N/A Requesting Data...1459239454</v>
        <stp/>
        <stp>BDP|11580587764812660407</stp>
        <tr r="P48" s="338"/>
      </tp>
      <tp t="s">
        <v>#N/A Requesting Data...1972236681</v>
        <stp/>
        <stp>BDP|14006343299942798856</stp>
        <tr r="AI21" s="1"/>
        <tr r="AI22" s="1"/>
      </tp>
      <tp t="s">
        <v>#N/A Requesting Data...2817065102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Data...2502243671</v>
        <stp/>
        <stp>BDP|15878521351180442107</stp>
        <tr r="D109" s="89"/>
      </tp>
      <tp>
        <v>26082</v>
        <stp/>
        <stp>BDP|5100640861095501669|22</stp>
        <stp>1OH6 Index</stp>
        <stp>LAST_PRICE</stp>
        <tr r="S153" s="89"/>
        <tr r="S154" s="89"/>
      </tp>
      <tp t="s">
        <v>#N/A Requesting Data...2302908902</v>
        <stp/>
        <stp>BDP|13970059459100158254</stp>
        <tr r="T222" s="89"/>
      </tp>
      <tp t="s">
        <v>#N/A Requesting Data...4198498653</v>
        <stp/>
        <stp>BDP|10930560316549062982</stp>
        <tr r="C160" s="89"/>
      </tp>
      <tp t="s">
        <v>#N/A Requesting Data...4283945962</v>
        <stp/>
        <stp>BDP|17624673723155105222</stp>
        <tr r="AB48" s="1"/>
      </tp>
      <tp t="s">
        <v>#N/A Requesting Data...3299953535</v>
        <stp/>
        <stp>BDP|15878042315295832504</stp>
        <tr r="E12" s="2"/>
      </tp>
      <tp t="s">
        <v>#N/A Requesting Data...3931589709</v>
        <stp/>
        <stp>BDP|12562415073000019571</stp>
        <tr r="T4" s="2"/>
      </tp>
      <tp t="s">
        <v>#N/A Requesting Data...4055907055</v>
        <stp/>
        <stp>BDP|16023917640776957980</stp>
        <tr r="AI11" s="338"/>
        <tr r="AK11" s="338"/>
      </tp>
      <tp t="s">
        <v>#N/A Requesting Data...1551075941</v>
        <stp/>
        <stp>BDP|14437871301241284935</stp>
        <tr r="AJ36" s="338"/>
      </tp>
      <tp t="s">
        <v>#N/A Requesting Data...2304509731</v>
        <stp/>
        <stp>BDP|11214745035248274920</stp>
        <tr r="V32" s="338"/>
      </tp>
      <tp t="s">
        <v>#N/A Requesting Data...2713796309</v>
        <stp/>
        <stp>BDP|12168490429210433067</stp>
        <tr r="AA11" s="2"/>
        <tr r="T170" s="89"/>
      </tp>
      <tp t="s">
        <v>#N/A Requesting Data...3539511100</v>
        <stp/>
        <stp>BDP|11625676250200786659</stp>
        <tr r="T32" s="338"/>
      </tp>
      <tp t="s">
        <v>#N/A Requesting Data...3971182312</v>
        <stp/>
        <stp>BDP|13296159244091423359</stp>
        <tr r="P29" s="338"/>
      </tp>
      <tp t="s">
        <v>#N/A N/A</v>
        <stp/>
        <stp>BDP|18042899846108511886</stp>
        <tr r="AB237" s="89"/>
      </tp>
      <tp t="s">
        <v>#N/A Requesting Data...4269430026</v>
        <stp/>
        <stp>BDP|10190934152880793852</stp>
        <tr r="X52" s="338"/>
      </tp>
      <tp t="s">
        <v>#N/A Requesting Data...1635441272</v>
        <stp/>
        <stp>BDP|14059396921424230587</stp>
        <tr r="AF44" s="1"/>
        <tr r="AF14" s="338"/>
        <tr r="AF35" s="338"/>
      </tp>
      <tp t="s">
        <v>#N/A Requesting Data...3218496375</v>
        <stp/>
        <stp>BDP|12679894611876997952</stp>
        <tr r="S44" s="338"/>
      </tp>
      <tp t="s">
        <v>#N/A Requesting Data...3695340653</v>
        <stp/>
        <stp>BDP|15308638561242100355</stp>
        <tr r="V203" s="89"/>
      </tp>
      <tp t="s">
        <v>#N/A Requesting Data...3010131846</v>
        <stp/>
        <stp>BDP|12166373874230381241</stp>
        <tr r="C23" s="2"/>
      </tp>
      <tp t="s">
        <v>#N/A Requesting Data...3185979879</v>
        <stp/>
        <stp>BDP|17956776735294864366</stp>
        <tr r="E145" s="89"/>
      </tp>
      <tp t="s">
        <v>#N/A Requesting Data...3112294081</v>
        <stp/>
        <stp>BDP|13164210523337526031</stp>
        <tr r="E89" s="89"/>
      </tp>
      <tp t="s">
        <v>#N/A Requesting Data...1966906849</v>
        <stp/>
        <stp>BDP|10130888374289856216</stp>
        <tr r="U13" s="338"/>
      </tp>
      <tp t="s">
        <v>#N/A Requesting Data...3740431720</v>
        <stp/>
        <stp>BDP|11025769754705706214</stp>
        <tr r="V40" s="89"/>
      </tp>
      <tp t="s">
        <v>#N/A Requesting Data...1919480303</v>
        <stp/>
        <stp>BDP|12072061123567199335</stp>
        <tr r="X16" s="338"/>
        <tr r="X38" s="338"/>
      </tp>
      <tp t="s">
        <v>#N/A Requesting Data...3564417763</v>
        <stp/>
        <stp>BDP|10337841861653211939</stp>
        <tr r="AB47" s="1"/>
        <tr r="F14" s="446"/>
      </tp>
      <tp t="s">
        <v>#N/A Requesting Data...3643533671</v>
        <stp/>
        <stp>BDP|13510264833692721404</stp>
        <tr r="U49" s="338"/>
      </tp>
      <tp t="s">
        <v>#N/A Requesting Data...1650600734</v>
        <stp/>
        <stp>BDP|12370547281383201820</stp>
        <tr r="AG21" s="1"/>
        <tr r="AG22" s="1"/>
      </tp>
      <tp t="s">
        <v>#N/A Requesting Data...3074517898</v>
        <stp/>
        <stp>BDP|11243430201469561835</stp>
        <tr r="AI39" s="1"/>
      </tp>
      <tp t="e">
        <v>#N/A</v>
        <stp/>
        <stp>BDH|15339997662517152992</stp>
        <tr r="AU12" s="338"/>
      </tp>
      <tp t="e">
        <v>#N/A</v>
        <stp/>
        <stp>BDH|11166337105767037156</stp>
        <tr r="AS45" s="338"/>
      </tp>
      <tp t="e">
        <v>#N/A</v>
        <stp/>
        <stp>BDH|15202658661834893598</stp>
        <tr r="AM15" s="338"/>
        <tr r="AM39" s="338"/>
        <tr r="AR40" s="338"/>
      </tp>
      <tp t="e">
        <v>#N/A</v>
        <stp/>
        <stp>BDH|14787871165809047737</stp>
        <tr r="J10" s="252"/>
      </tp>
      <tp t="e">
        <v>#N/A</v>
        <stp/>
        <stp>BDH|14471676628615690129</stp>
        <tr r="AP17" s="338"/>
        <tr r="AP18" s="338"/>
      </tp>
      <tp>
        <v>0.29266536235809326</v>
        <stp/>
        <stp>BDP|13606219202075101737|22</stp>
        <stp>INTC US 07/17/26 C60 Equity</stp>
        <stp>DELTA_MID_RT</stp>
        <tr r="AF21" s="2"/>
        <tr r="W195" s="89"/>
      </tp>
      <tp t="s">
        <v>#N/A Invalid Security</v>
        <stp/>
        <stp>BDP|17276935431976766163|22</stp>
        <stp xml:space="preserve"> Equity</stp>
        <stp>QUOTED_CURRENCY_REALTIME</stp>
        <tr r="F178" s="89"/>
        <tr r="F179" s="89"/>
      </tp>
      <tp>
        <v>13.75</v>
        <stp/>
        <stp>BDP|7023975285926683061|22</stp>
        <stp>MSFT US 03/20/26 P465 Equity</stp>
        <stp>bid</stp>
        <tr r="P20" s="2"/>
      </tp>
      <tp>
        <v>0.39357781410217285</v>
        <stp/>
        <stp>BDP|10756459460793807964|22</stp>
        <stp>MSFT US 01/30/26 C490 Equity</stp>
        <stp>DELTA_MID_RT</stp>
        <tr r="W26" s="89"/>
      </tp>
      <tp>
        <v>40.65</v>
        <stp/>
        <stp>BDP|3455432218402996031|22</stp>
        <stp>META US 02/27/26 C660 Equity</stp>
        <stp>bid</stp>
        <tr r="K180" s="89"/>
      </tp>
      <tp t="s">
        <v>#N/A Requesting Data...4169407518</v>
        <stp/>
        <stp>BDP|10508197528283416594</stp>
        <tr r="X48" s="338"/>
      </tp>
      <tp t="s">
        <v>#N/A N/A</v>
        <stp/>
        <stp>BDP|10976567873595722239</stp>
        <tr r="AV25" s="2"/>
        <tr r="AV26" s="2"/>
        <tr r="R13" s="89"/>
        <tr r="R14" s="89"/>
        <tr r="R19" s="89"/>
        <tr r="R20" s="89"/>
      </tp>
      <tp t="s">
        <v>#N/A Requesting Data...4229113424</v>
        <stp/>
        <stp>BDP|15688066863846340087</stp>
        <tr r="D28" s="446"/>
      </tp>
      <tp t="s">
        <v>#N/A Requesting Data...1539893189</v>
        <stp/>
        <stp>BDP|10174366559095309654</stp>
        <tr r="AA137" s="89"/>
        <tr r="Z137" s="89"/>
      </tp>
      <tp t="s">
        <v>#N/A Requesting Data...2625253065</v>
        <stp/>
        <stp>BDP|15767057305588506896</stp>
        <tr r="AH10" s="338"/>
        <tr r="AH11" s="338"/>
        <tr r="AH33" s="338"/>
      </tp>
      <tp t="s">
        <v>#N/A Requesting Data...3321753266</v>
        <stp/>
        <stp>BDP|12598914732268945550</stp>
        <tr r="E10" s="1"/>
      </tp>
      <tp t="s">
        <v>#N/A Requesting Data...3532550500</v>
        <stp/>
        <stp>BDP|10946231384896009942</stp>
        <tr r="N15" s="252"/>
        <tr r="N15" s="252"/>
      </tp>
      <tp t="s">
        <v>#N/A Requesting Data...3277903452</v>
        <stp/>
        <stp>BDP|10968744678995921066</stp>
        <tr r="C178" s="89"/>
        <tr r="C179" s="89"/>
      </tp>
      <tp t="s">
        <v>#N/A Requesting Data...2990501154</v>
        <stp/>
        <stp>BDP|11098096253680456149</stp>
        <tr r="P16" s="338"/>
        <tr r="P38" s="338"/>
      </tp>
      <tp t="s">
        <v>#N/A Requesting Data...1976647170</v>
        <stp/>
        <stp>BDP|12490577043850363694</stp>
        <tr r="D11" s="2"/>
        <tr r="C170" s="89"/>
      </tp>
      <tp t="s">
        <v>#N/A Requesting Data...2323341594</v>
        <stp/>
        <stp>BDP|10787623999933097918</stp>
        <tr r="L10" s="252"/>
        <tr r="L10" s="252"/>
      </tp>
      <tp t="s">
        <v>#N/A Requesting Data...1602267353</v>
        <stp/>
        <stp>BDP|15872646771885299421</stp>
        <tr r="F16" s="446"/>
      </tp>
      <tp t="s">
        <v>#N/A Requesting Data...3288906751</v>
        <stp/>
        <stp>BDP|16725783465037531523</stp>
        <tr r="K35" s="1"/>
      </tp>
      <tp t="s">
        <v>#N/A N/A</v>
        <stp/>
        <stp>BDP|10830071994724087877</stp>
        <tr r="E82" s="89"/>
      </tp>
      <tp t="s">
        <v>#N/A Requesting Data...3469053949</v>
        <stp/>
        <stp>BDP|17220718142881835059</stp>
        <tr r="F14" s="252"/>
      </tp>
      <tp t="s">
        <v>#N/A Requesting Data...3833742260</v>
        <stp/>
        <stp>BDP|11918335078837659785</stp>
        <tr r="Z204" s="89"/>
        <tr r="AA204" s="89"/>
      </tp>
      <tp t="s">
        <v>#N/A Requesting Data...2741632139</v>
        <stp/>
        <stp>BDP|12558430699342487846</stp>
        <tr r="E187" s="89"/>
      </tp>
      <tp t="s">
        <v>#N/A Requesting Data...2415274428</v>
        <stp/>
        <stp>BDP|15051140014688420859</stp>
        <tr r="AC12" s="1"/>
      </tp>
      <tp t="s">
        <v>#N/A Requesting Data...2928642244</v>
        <stp/>
        <stp>BDP|11160692723917345791</stp>
        <tr r="C169" s="89"/>
      </tp>
      <tp t="s">
        <v>#N/A Requesting Data...1985966000</v>
        <stp/>
        <stp>BDP|13738518813242630024</stp>
        <tr r="U55" s="338"/>
      </tp>
      <tp t="s">
        <v>#N/A Requesting Data...1891342098</v>
        <stp/>
        <stp>BDP|10649617194228048229</stp>
        <tr r="AD21" s="2"/>
        <tr r="V195" s="89"/>
      </tp>
      <tp t="s">
        <v>#N/A Requesting Data...1673836424</v>
        <stp/>
        <stp>BDP|16068368952433220674</stp>
        <tr r="D145" s="89"/>
      </tp>
      <tp t="s">
        <v>#N/A Requesting Data...3125836287</v>
        <stp/>
        <stp>BDP|10830522917212474394</stp>
        <tr r="M6" s="252"/>
      </tp>
      <tp t="s">
        <v>#N/A N/A</v>
        <stp/>
        <stp>BDP|17289014403731542359</stp>
        <tr r="AQ23" s="2"/>
        <tr r="AQ21" s="2"/>
        <tr r="AQ22" s="2"/>
        <tr r="AB195" s="89"/>
        <tr r="AB196" s="89"/>
        <tr r="AB197" s="89"/>
        <tr r="AB39" s="89"/>
      </tp>
      <tp t="s">
        <v>#N/A Requesting Data...3382923971</v>
        <stp/>
        <stp>BDP|13449047331402957787</stp>
        <tr r="F14" s="2"/>
      </tp>
      <tp t="s">
        <v>#N/A Requesting Data...3002541971</v>
        <stp/>
        <stp>BDP|14342024613619901985</stp>
        <tr r="F32" s="446"/>
      </tp>
      <tp t="s">
        <v>#N/A Requesting Data...3605065444</v>
        <stp/>
        <stp>BDP|16304777731723787419</stp>
        <tr r="D26" s="89"/>
      </tp>
      <tp t="s">
        <v>#N/A Requesting Data...1483628396</v>
        <stp/>
        <stp>BDP|17882539857607640595</stp>
        <tr r="AG54" s="338"/>
      </tp>
      <tp t="s">
        <v>#N/A Requesting Data...4042968835</v>
        <stp/>
        <stp>BDP|13450917922399223467</stp>
        <tr r="G34" s="446"/>
      </tp>
      <tp t="s">
        <v>#N/A Requesting Data...3149746881</v>
        <stp/>
        <stp>BDP|12142735374617755031</stp>
        <tr r="AG13" s="1"/>
      </tp>
      <tp t="s">
        <v>#N/A Requesting Data...2509683739</v>
        <stp/>
        <stp>BDP|12540520710212521104</stp>
        <tr r="AC18" s="1"/>
        <tr r="AC19" s="1"/>
      </tp>
      <tp t="s">
        <v>#N/A Requesting Data...3498294489</v>
        <stp/>
        <stp>BDP|10511277652532461062</stp>
        <tr r="AA90" s="89"/>
        <tr r="Z90" s="89"/>
      </tp>
      <tp t="s">
        <v>#N/A Requesting Data...2215724422</v>
        <stp/>
        <stp>BDP|12129279820182595515</stp>
        <tr r="E196" s="89"/>
      </tp>
      <tp t="s">
        <v>#N/A Requesting Data...2825286089</v>
        <stp/>
        <stp>BDP|14655831860859350630</stp>
        <tr r="L13" s="338"/>
        <tr r="J13" s="338"/>
      </tp>
      <tp t="s">
        <v>#N/A Requesting Data...2296585663</v>
        <stp/>
        <stp>BDP|12932290900667287274</stp>
        <tr r="AR11" s="2"/>
      </tp>
      <tp t="s">
        <v>#N/A Requesting Data...2065343359</v>
        <stp/>
        <stp>BDP|16326006333405026555</stp>
        <tr r="T153" s="89"/>
        <tr r="T154" s="89"/>
      </tp>
      <tp t="s">
        <v>#N/A Requesting Data...1618123353</v>
        <stp/>
        <stp>BDP|18269255641489268206</stp>
        <tr r="AC33" s="1"/>
        <tr r="AC34" s="1"/>
      </tp>
      <tp t="s">
        <v>#N/A Requesting Data...4178559046</v>
        <stp/>
        <stp>BDP|15660791077340487089</stp>
        <tr r="E1" s="1"/>
        <tr r="K39" s="1"/>
      </tp>
      <tp t="s">
        <v>#N/A Requesting Data...1798506163</v>
        <stp/>
        <stp>BDP|10749732335826116771</stp>
        <tr r="D224" s="89"/>
      </tp>
      <tp t="s">
        <v>#N/A Requesting Data...3859041461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Data...3149561559</v>
        <stp/>
        <stp>BDP|11838573161432005595</stp>
        <tr r="C187" s="89"/>
      </tp>
      <tp t="s">
        <v>#N/A Requesting Data...3582109437</v>
        <stp/>
        <stp>BDP|11028327928623879654</stp>
        <tr r="Q49" s="338"/>
      </tp>
      <tp t="s">
        <v>#N/A Requesting Data...3097225447</v>
        <stp/>
        <stp>BDP|17114611528944869260</stp>
        <tr r="AI12" s="338"/>
        <tr r="AK12" s="338"/>
      </tp>
      <tp t="s">
        <v>#N/A Requesting Data...3901207553</v>
        <stp/>
        <stp>BDP|14505061934744038618</stp>
        <tr r="AB2" s="1"/>
      </tp>
      <tp t="s">
        <v>#N/A Requesting Data...1673880816</v>
        <stp/>
        <stp>BDP|13635936347568321371</stp>
        <tr r="AA235" s="89"/>
        <tr r="Z235" s="89"/>
      </tp>
      <tp t="s">
        <v>#N/A Requesting Data...1651656067</v>
        <stp/>
        <stp>BDP|11370170641465778442</stp>
        <tr r="T11" s="2"/>
        <tr r="O170" s="89"/>
      </tp>
      <tp t="e">
        <v>#N/A</v>
        <stp/>
        <stp>BDH|14131773964710507045</stp>
        <tr r="J9" s="252"/>
      </tp>
      <tp t="e">
        <v>#N/A</v>
        <stp/>
        <stp>BDH|17133220425863177158</stp>
        <tr r="AN30" s="338"/>
        <tr r="AN29" s="338"/>
      </tp>
      <tp t="e">
        <v>#N/A</v>
        <stp/>
        <stp>BDH|16731822781851121201</stp>
        <tr r="AM8" s="338"/>
        <tr r="AM9" s="338"/>
      </tp>
      <tp t="e">
        <v>#N/A</v>
        <stp/>
        <stp>BDH|11302613208570961288</stp>
        <tr r="AN8" s="338"/>
        <tr r="AN9" s="338"/>
      </tp>
      <tp t="e">
        <v>#N/A</v>
        <stp/>
        <stp>BDH|10825554036716072545</stp>
        <tr r="W8" s="252"/>
        <tr r="T8" s="252"/>
      </tp>
      <tp t="e">
        <v>#N/A</v>
        <stp/>
        <stp>BDH|12817058387938472701</stp>
        <tr r="W10" s="252"/>
        <tr r="T10" s="252"/>
      </tp>
    </main>
    <main first="bofaddin.rtdserver">
      <tp>
        <v>14881.91</v>
        <stp/>
        <stp>BDP|9776891762487809350|22</stp>
        <stp>XIN9I Index</stp>
        <stp>LAST_PRICE</stp>
        <tr r="H11" s="252"/>
        <tr r="H11" s="252"/>
      </tp>
      <tp t="s">
        <v>#N/A Real Time</v>
        <stp/>
        <stp>BDP|15884850902642085200|22</stp>
        <stp>RFSWZ4C3 2400 Index</stp>
        <stp>ask</stp>
        <tr r="L123" s="89"/>
      </tp>
      <tp>
        <v>264.73</v>
        <stp/>
        <stp>BDP|7062867511992634566|22</stp>
        <stp>IWM EQUITY</stp>
        <stp>LAST_PRICE</stp>
        <tr r="I8" s="1"/>
      </tp>
      <tp>
        <v>-0.2792346179485321</v>
        <stp/>
        <stp>BDP|16965813729943912763|22</stp>
        <stp>META US 04/17/26 C690 Equity</stp>
        <stp>theta_mid_rt</stp>
        <tr r="AN11" s="2"/>
      </tp>
      <tp>
        <v>33.770000000000003</v>
        <stp/>
        <stp>BDP|16778716474861008512|22</stp>
        <stp>ASHR US Equity</stp>
        <stp>LAST_PRICE</stp>
        <tr r="Z5" s="2"/>
        <tr r="Z6" s="2"/>
      </tp>
      <tp t="s">
        <v>USD</v>
        <stp/>
        <stp>BDP|5680709130617741597|22</stp>
        <stp>MSFT US 07/17/26 C475 Equity</stp>
        <stp>QUOTED_CURRENCY_REALTIME</stp>
        <tr r="G17" s="2"/>
        <tr r="G18" s="2"/>
      </tp>
      <tp>
        <v>800000</v>
        <stp/>
        <stp>BDP|5584348829070198606|22</stp>
        <stp>000660 KP Equity</stp>
        <stp>LAST_PRICE</stp>
        <tr r="I30" s="1"/>
      </tp>
      <tp>
        <v>221.2</v>
        <stp/>
        <stp>BDP|14695328540844976221|22</stp>
        <stp>GSENEPOW Equity</stp>
        <stp>LAST PRICE</stp>
        <tr r="G41" s="338"/>
        <tr r="G42" s="338"/>
      </tp>
      <tp t="s">
        <v>#N/A Real Time</v>
        <stp/>
        <stp>BDP|4480144096505489759|22</stp>
        <stp>MRYWZ4C4 2390 Index</stp>
        <stp>DELTA_MID_RT</stp>
        <tr r="W129" s="89"/>
      </tp>
      <tp>
        <v>1454.59</v>
        <stp/>
        <stp>BDP|15490560954416168559|22</stp>
        <stp>ASML US Equity</stp>
        <stp>LAST_PRICE</stp>
        <tr r="S49" s="89"/>
        <tr r="S50" s="89"/>
      </tp>
      <tp>
        <v>-1.6793197020888329E-2</v>
        <stp/>
        <stp>BDP|16828695075002840217|22</stp>
        <stp>INTC US 07/17/26 P40 Equity</stp>
        <stp>theta_mid_rt</stp>
        <tr r="AN23" s="2"/>
      </tp>
      <tp t="s">
        <v>#N/A Real Time</v>
        <stp/>
        <stp>BDP|8671606719947634072|22</stp>
        <stp>4EM5P    6025 Index</stp>
        <stp>DELTA_MID_RT</stp>
        <tr r="W137" s="89"/>
      </tp>
      <tp t="s">
        <v>#N/A Real Time</v>
        <stp/>
        <stp>BDP|8369518914882815880|22</stp>
        <stp>QQQ US 01/15/26 P623 Equity</stp>
        <stp>DELTA_MID_RT</stp>
        <tr r="W68" s="89"/>
      </tp>
      <tp>
        <v>109.29</v>
        <stp/>
        <stp>BDP|828808174050573795|22</stp>
        <stp>GDX US Equity</stp>
        <stp>LAST_PRICE</stp>
        <tr r="Z8" s="2"/>
        <tr r="Z9" s="2"/>
      </tp>
      <tp t="s">
        <v>#N/A Real Time</v>
        <stp/>
        <stp>BDP|2387402778293168161|22</stp>
        <stp>4OZ24 Index</stp>
        <stp>LAST_PRICE</stp>
        <tr r="S108" s="89"/>
      </tp>
      <tp t="s">
        <v>USD</v>
        <stp/>
        <stp>BDP|7580296196262368441|22</stp>
        <stp>AKAM US 08/21/26 C115 Equity</stp>
        <stp>QUOTED_CURRENCY_REALTIME</stp>
        <tr r="F33" s="89"/>
      </tp>
      <tp t="s">
        <v>#N/A Real Time</v>
        <stp/>
        <stp>BDP|11820070012775282534|22</stp>
        <stp>RTYWU5C3 2500 Index</stp>
        <stp>ask</stp>
        <tr r="L145" s="89"/>
      </tp>
      <tp>
        <v>332.79</v>
        <stp/>
        <stp>BDP|17019897193923426340|22</stp>
        <stp>AVGO US Equity</stp>
        <stp>LAST_PRICE</stp>
        <tr r="Z7" s="2"/>
        <tr r="S222" s="89"/>
        <tr r="S223" s="89"/>
        <tr r="S224" s="89"/>
        <tr r="S225" s="89"/>
      </tp>
      <tp t="s">
        <v>USD</v>
        <stp/>
        <stp>BDP|8578071273177149995|22</stp>
        <stp>AVGO US 06/18/26 P270 Equity</stp>
        <stp>QUOTED_CURRENCY_REALTIME</stp>
        <tr r="F225" s="89"/>
      </tp>
      <tp t="s">
        <v>#N/A Real Time</v>
        <stp/>
        <stp>BDP|16831399122066681226|22</stp>
        <stp>RTYWU5C3 2500 Index</stp>
        <stp>bid</stp>
        <tr r="K145" s="89"/>
      </tp>
      <tp>
        <v>407.25</v>
        <stp/>
        <stp>BDP|5033619958928963959|22</stp>
        <stp>SMH EQUITY</stp>
        <stp>LAST_PRICE</stp>
        <tr r="I3" s="1"/>
      </tp>
      <tp t="s">
        <v>#N/A Real Time</v>
        <stp/>
        <stp>BDP|17090111944919959082|22</stp>
        <stp>IMBWK5C4 5840 Index</stp>
        <stp>ask</stp>
        <tr r="L89" s="89"/>
      </tp>
      <tp t="s">
        <v>#N/A Real Time</v>
        <stp/>
        <stp>BDP|9893971634581157776|22</stp>
        <stp>RTYWU5C3 2425 Index</stp>
        <stp>DELTA_MID_RT</stp>
        <tr r="W144" s="89"/>
      </tp>
      <tp>
        <v>63.29</v>
        <stp/>
        <stp>BDP|13905180074012668386|22</stp>
        <stp>MCHI US Equity</stp>
        <stp>LAST_PRICE</stp>
        <tr r="H15" s="252"/>
        <tr r="H15" s="252"/>
      </tp>
      <tp>
        <v>103.26</v>
        <stp/>
        <stp>BDP|18443290706302980903|22</stp>
        <stp>AKAM US Equity</stp>
        <stp>LAST_PRICE</stp>
        <tr r="S33" s="89"/>
        <tr r="S34" s="89"/>
      </tp>
      <tp t="s">
        <v>#N/A Real Time</v>
        <stp/>
        <stp>BDP|2501457664342157633|22</stp>
        <stp>4EM5C    6300 Index</stp>
        <stp>DELTA_MID_RT</stp>
        <tr r="W136" s="89"/>
      </tp>
      <tp t="s">
        <v>USD</v>
        <stp/>
        <stp>BDP|1840204436268749462|22</stp>
        <stp>NFLX US 03/20/26 C105 Equity</stp>
        <stp>QUOTED_CURRENCY_REALTIME</stp>
        <tr r="F186" s="89"/>
      </tp>
      <tp>
        <v>1.5370970591902733E-2</v>
        <stp/>
        <stp>BDP|3530608701148378750|22</stp>
        <stp>QQQ US 01/26/26 C627 Equity</stp>
        <stp>DELTA_MID_RT</stp>
        <tr r="W212" s="89"/>
      </tp>
      <tp t="s">
        <v>#N/A Requesting Data...4071257756</v>
        <stp/>
        <stp>BDP|3297967097008051</stp>
        <tr r="AA223" s="89"/>
        <tr r="Z223" s="89"/>
      </tp>
      <tp>
        <v>325.26</v>
        <stp/>
        <stp>BDP|4205875099267338750|22</stp>
        <stp>V Equity</stp>
        <stp>LAST PRICE</stp>
        <tr r="G15" s="338"/>
        <tr r="G39" s="338"/>
        <tr r="I40" s="338"/>
      </tp>
      <tp>
        <v>-0.37978723645210266</v>
        <stp/>
        <stp>BDP|8018217066080596524|22</stp>
        <stp>QQQ US 01/29/26 P628 Equity</stp>
        <stp>DELTA_MID_RT</stp>
        <tr r="W81" s="89"/>
        <tr r="AF24" s="2"/>
      </tp>
      <tp>
        <v>338.34</v>
        <stp/>
        <stp>BDP|5454315708850008901|22</stp>
        <stp>TSM EQUITY</stp>
        <stp>LAST_PRICE</stp>
        <tr r="C3" s="1"/>
      </tp>
      <tp>
        <v>8.25</v>
        <stp/>
        <stp>BDP|447918517676217935|22</stp>
        <stp>MSFT US 01/30/26 C490 Equity</stp>
        <stp>ask</stp>
        <tr r="L26" s="89"/>
      </tp>
      <tp>
        <v>46.65</v>
        <stp/>
        <stp>BDP|224084046732399728|22</stp>
        <stp>MSFT US 07/17/26 C470 Equity</stp>
        <stp>ask</stp>
        <tr r="L235" s="89"/>
      </tp>
      <tp t="s">
        <v>USD</v>
        <stp/>
        <stp>BDP|4302585845716339382|22</stp>
        <stp>MSFT US 07/17/26 C470 Equity</stp>
        <stp>QUOTED_CURRENCY_REALTIME</stp>
        <tr r="F235" s="89"/>
      </tp>
      <tp t="s">
        <v>USD</v>
        <stp/>
        <stp>BDP|5718330705965420367|22</stp>
        <stp>AVGO US 06/18/26 P300 Equity</stp>
        <stp>QUOTED_CURRENCY_REALTIME</stp>
        <tr r="F224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>
        <v>332.71</v>
        <stp/>
        <stp>BDP|14680776317739946594|22</stp>
        <stp>AMAT US Equity</stp>
        <stp>LAST_PRICE</stp>
        <tr r="S55" s="89"/>
        <tr r="S56" s="89"/>
      </tp>
      <tp t="s">
        <v>#N/A Real Time</v>
        <stp/>
        <stp>BDP|5618054662935339575|22</stp>
        <stp>4EM5P    5800 Index</stp>
        <stp>DELTA_MID_RT</stp>
        <tr r="W138" s="89"/>
      </tp>
      <tp t="s">
        <v>#N/A Real Time</v>
        <stp/>
        <stp>BDP|3644211716247599726|22</stp>
        <stp>RTYWU5C3 2500 Index</stp>
        <stp>DELTA_MID_RT</stp>
        <tr r="W145" s="89"/>
      </tp>
      <tp t="s">
        <v>USD</v>
        <stp/>
        <stp>BDP|8040044914643621400|22</stp>
        <stp>MSFT US 07/17/26 C500 Equity</stp>
        <stp>QUOTED_CURRENCY_REALTIME</stp>
        <tr r="G19" s="2"/>
      </tp>
      <tp>
        <v>-5.6139999069273472E-3</v>
        <stp/>
        <stp>BDP|7770981328006744750|22</stp>
        <stp>QQQ US 01/23/26 P615 Equity</stp>
        <stp>DELTA_MID_RT</stp>
        <tr r="W75" s="89"/>
      </tp>
      <tp t="s">
        <v>USD</v>
        <stp/>
        <stp>BDP|8789910064232569805|22</stp>
        <stp>AMAT US 01/23/26 P290 Equity</stp>
        <stp>QUOTED_CURRENCY_REALTIME</stp>
        <tr r="F55" s="89"/>
      </tp>
      <tp>
        <v>-0.54775208234786987</v>
        <stp/>
        <stp>BDP|17444184218214348444|22</stp>
        <stp>LITE US 03/20/26 C420 Equity</stp>
        <stp>theta_mid_rt</stp>
        <tr r="AN10" s="2"/>
      </tp>
      <tp>
        <v>-6.2141235917806625E-2</v>
        <stp/>
        <stp>BDP|15158621682476696755|22</stp>
        <stp>MRVL US 03/20/26 P75 Equity</stp>
        <stp>theta_mid_rt</stp>
        <tr r="AN14" s="2"/>
      </tp>
      <tp>
        <v>28.05</v>
        <stp/>
        <stp>BDP|213268990698774113|22</stp>
        <stp>GOOG US 07/17/26 C350 Equity</stp>
        <stp>bid</stp>
        <tr r="K236" s="89"/>
      </tp>
      <tp t="s">
        <v>#N/A Real Time</v>
        <stp/>
        <stp>BDP|14239316141835558447|22</stp>
        <stp>4EM5P    6025 Index</stp>
        <stp>QUOTED_CURRENCY_REALTIME</stp>
        <tr r="F137" s="89"/>
      </tp>
      <tp t="s">
        <v>USD</v>
        <stp/>
        <stp>BDP|7738847520517229982|22</stp>
        <stp>META US 07/17/26 C670 Equity</stp>
        <stp>QUOTED_CURRENCY_REALTIME</stp>
        <tr r="G12" s="2"/>
      </tp>
      <tp t="s">
        <v>USD</v>
        <stp/>
        <stp>BDP|12646934507024855207|22</stp>
        <stp>QQQ US 01/26/26 C627 Equity</stp>
        <stp>QUOTED_CURRENCY_REALTIME</stp>
        <tr r="F212" s="89"/>
      </tp>
      <tp t="s">
        <v>USD</v>
        <stp/>
        <stp>BDP|5793744081546209980|22</stp>
        <stp>META US 04/17/26 C690 Equity</stp>
        <stp>QUOTED_CURRENCY_REALTIME</stp>
        <tr r="G11" s="2"/>
        <tr r="F170" s="89"/>
      </tp>
      <tp t="s">
        <v>#N/A Real Time</v>
        <stp/>
        <stp>BDP|4903616747917947670|22</stp>
        <stp>SCH5C   6200 Index</stp>
        <stp>DELTA_MID_RT</stp>
        <tr r="W101" s="89"/>
      </tp>
      <tp>
        <v>-0.10231039673089981</v>
        <stp/>
        <stp>BDP|16650515249797519042|22</stp>
        <stp>MSFT US 07/17/26 C475 Equity</stp>
        <stp>theta_mid_rt</stp>
        <tr r="AN17" s="2"/>
        <tr r="AN18" s="2"/>
      </tp>
      <tp>
        <v>0.547535240650177</v>
        <stp/>
        <stp>BDP|4155313352666840768|22</stp>
        <stp>GDX US 09/18/26 C115 Equity</stp>
        <stp>DELTA_MID_RT</stp>
        <tr r="AF9" s="2"/>
      </tp>
      <tp t="s">
        <v>#N/A Invalid Security</v>
        <stp/>
        <stp>BDP|4149584775528543730|22</stp>
        <stp xml:space="preserve"> Equity</stp>
        <stp>ask</stp>
        <tr r="Q2" s="2"/>
        <tr r="L178" s="89"/>
        <tr r="L179" s="89"/>
      </tp>
      <tp>
        <v>410.24</v>
        <stp/>
        <stp>BDP|12429311880057526361|22</stp>
        <stp>MU EQUITY</stp>
        <stp>LAST_PRICE</stp>
        <tr r="C4" s="1"/>
      </tp>
      <tp t="s">
        <v>USD</v>
        <stp/>
        <stp>BDP|2525333739928687371|22</stp>
        <stp>W US 05/15/26 C125 Equity</stp>
        <stp>QUOTED_CURRENCY_REALTIME</stp>
        <tr r="F40" s="89"/>
      </tp>
      <tp t="s">
        <v>#N/A Real Time</v>
        <stp/>
        <stp>BDP|7920363454183743223|22</stp>
        <stp>IMBWK5C4 5880 Index</stp>
        <stp>DELTA_MID_RT</stp>
        <tr r="W90" s="89"/>
      </tp>
      <tp>
        <v>14.35</v>
        <stp/>
        <stp>BDP|959515516383838906|22</stp>
        <stp>AVGO US 06/18/26 P270 Equity</stp>
        <stp>ask</stp>
        <tr r="L225" s="89"/>
      </tp>
      <tp t="s">
        <v>USD</v>
        <stp/>
        <stp>BDP|14386805558121359006|22</stp>
        <stp>QQQ US 01/23/26 P615 Equity</stp>
        <stp>QUOTED_CURRENCY_REALTIME</stp>
        <tr r="F75" s="89"/>
      </tp>
      <tp t="s">
        <v>USD</v>
        <stp/>
        <stp>BDP|3970030095933477348|22</stp>
        <stp>LITE US 02/20/26 C400 Equity</stp>
        <stp>QUOTED_CURRENCY_REALTIME</stp>
        <tr r="F7" s="89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>
        <v>-1.7248304560780525E-2</v>
        <stp/>
        <stp>BDP|18355121389053073684|22</stp>
        <stp>INTC US 07/17/26 C60 Equity</stp>
        <stp>theta_mid_rt</stp>
        <tr r="AN21" s="2"/>
      </tp>
      <tp>
        <v>43.93</v>
        <stp/>
        <stp>BDP|15280641543212915371|22</stp>
        <stp>INTC US Equity</stp>
        <stp>LAST_PRICE</stp>
        <tr r="Z21" s="2"/>
        <tr r="Z22" s="2"/>
        <tr r="Z23" s="2"/>
        <tr r="S39" s="89"/>
        <tr r="S195" s="89"/>
        <tr r="S196" s="89"/>
        <tr r="S197" s="89"/>
      </tp>
      <tp t="s">
        <v>#N/A Real Time</v>
        <stp/>
        <stp>BDP|4377385755401510832|22</stp>
        <stp>RFSWZ4C3 2360 Index</stp>
        <stp>DELTA_MID_RT</stp>
        <tr r="W122" s="89"/>
      </tp>
      <tp t="s">
        <v>#N/A Real Time</v>
        <stp/>
        <stp>BDP|8704363037405218648|22</stp>
        <stp>3OF5C    22500 Index</stp>
        <stp>QUOTED_CURRENCY_REALTIME</stp>
        <tr r="F109" s="89"/>
      </tp>
      <tp>
        <v>-5.0983335822820663E-2</v>
        <stp/>
        <stp>BDP|16456111785153391042|22</stp>
        <stp>MRVL US 03/20/26 P70 Equity</stp>
        <stp>theta_mid_rt</stp>
        <tr r="AN16" s="2"/>
      </tp>
      <tp>
        <v>6087.7929999999997</v>
        <stp/>
        <stp>BDP|12063806539307343070|22</stp>
        <stp>H11137 Index</stp>
        <stp>LAST_PRICE</stp>
        <tr r="H13" s="252"/>
        <tr r="H13" s="252"/>
      </tp>
      <tp>
        <v>244.68</v>
        <stp/>
        <stp>BDP|11431942920512482031|22</stp>
        <stp>AMZN US Equity</stp>
        <stp>LAST_PRICE</stp>
        <tr r="Z4" s="2"/>
        <tr r="S234" s="89"/>
      </tp>
      <tp>
        <v>0.63902777433395386</v>
        <stp/>
        <stp>BDP|7447356985829106309|22</stp>
        <stp>GDX US 09/18/26 C105 Equity</stp>
        <stp>DELTA_MID_RT</stp>
        <tr r="AF8" s="2"/>
      </tp>
      <tp>
        <v>631.13</v>
        <stp/>
        <stp>BDP|360499996244621952|22</stp>
        <stp>QQQ US Equity</stp>
        <stp>LAST_PRICE</stp>
        <tr r="S68" s="89"/>
        <tr r="S69" s="89"/>
        <tr r="S75" s="89"/>
        <tr r="S76" s="89"/>
        <tr r="S81" s="89"/>
        <tr r="S82" s="89"/>
        <tr r="S203" s="89"/>
        <tr r="S204" s="89"/>
        <tr r="S205" s="89"/>
        <tr r="S211" s="89"/>
        <tr r="S212" s="89"/>
        <tr r="S213" s="89"/>
        <tr r="Z24" s="2"/>
      </tp>
      <tp t="s">
        <v>#N/A Real Time</v>
        <stp/>
        <stp>BDP|15463751634066228508|22</stp>
        <stp>MRYWZ4C4 2390 Index</stp>
        <stp>ask</stp>
        <tr r="L129" s="89"/>
      </tp>
      <tp>
        <v>0.05</v>
        <stp/>
        <stp>BDP|7471545347057439094|22</stp>
        <stp>ASML US 01/23/26 P1200 Equity</stp>
        <stp>ask</stp>
        <tr r="L49" s="89"/>
      </tp>
      <tp>
        <v>672.97</v>
        <stp/>
        <stp>BDP|12884552599081678750|22</stp>
        <stp>META US Equity</stp>
        <stp>LAST_PRICE</stp>
        <tr r="Z11" s="2"/>
        <tr r="Z12" s="2"/>
        <tr r="S169" s="89"/>
        <tr r="S170" s="89"/>
        <tr r="S171" s="89"/>
        <tr r="S180" s="89"/>
        <tr r="S233" s="89"/>
      </tp>
      <tp t="s">
        <v>#N/A Real Time</v>
        <stp/>
        <stp>BDP|11252053857629401191|22</stp>
        <stp>MRYWZ4C4 2390 Index</stp>
        <stp>QUOTED_CURRENCY_REALTIME</stp>
        <tr r="F129" s="89"/>
      </tp>
      <tp>
        <v>-1.9205044955015182E-2</v>
        <stp/>
        <stp>BDP|17856461713270669920|22</stp>
        <stp>INTC US 07/17/26 C50 Equity</stp>
        <stp>theta_mid_rt</stp>
        <tr r="AN22" s="2"/>
      </tp>
      <tp>
        <v>-7.2049394249916077E-2</v>
        <stp/>
        <stp>BDP|12438727553717188638|22</stp>
        <stp>MRVL US 03/20/26 P85 Equity</stp>
        <stp>theta_mid_rt</stp>
        <tr r="AN13" s="2"/>
      </tp>
      <tp t="s">
        <v>#N/A N/A</v>
        <stp/>
        <stp>BDP|4931331422744178730|22</stp>
        <stp>ASML US 01/23/26 P1100 Equity</stp>
        <stp>bid</stp>
        <tr r="K50" s="89"/>
      </tp>
      <tp t="s">
        <v>#N/A Real Time</v>
        <stp/>
        <stp>BDP|13653475185267269899|22</stp>
        <stp>QQQ US 01/16/26 C633 Equity</stp>
        <stp>QUOTED_CURRENCY_REALTIME</stp>
        <tr r="F204" s="89"/>
      </tp>
      <tp t="s">
        <v>#N/A Real Time</v>
        <stp/>
        <stp>BDP|658030899051855651|22</stp>
        <stp>RFSZ24 Index</stp>
        <stp>LAST_PRICE</stp>
        <tr r="S122" s="89"/>
        <tr r="S123" s="89"/>
      </tp>
      <tp t="s">
        <v>USD</v>
        <stp/>
        <stp>BDP|6391045500104896499|22</stp>
        <stp>LITE US 03/20/26 C420 Equity</stp>
        <stp>QUOTED_CURRENCY_REALTIME</stp>
        <tr r="G10" s="2"/>
        <tr r="F8" s="89"/>
      </tp>
      <tp>
        <v>97.76</v>
        <stp/>
        <stp>BDP|2213699979188169021|22</stp>
        <stp>IGV EQUITY</stp>
        <stp>LAST_PRICE</stp>
        <tr r="I2" s="1"/>
      </tp>
      <tp t="s">
        <v>#N/A Real Time</v>
        <stp/>
        <stp>BDP|6678830315195885932|22</stp>
        <stp>RFSWZ4C3 2400 Index</stp>
        <stp>DELTA_MID_RT</stp>
        <tr r="W123" s="89"/>
      </tp>
      <tp>
        <v>78.680000000000007</v>
        <stp/>
        <stp>BDP|224343272968290990|22</stp>
        <stp>CSCO Equity</stp>
        <stp>LAST_PRICE</stp>
        <tr r="I35" s="1"/>
        <tr r="I36" s="1"/>
      </tp>
      <tp t="s">
        <v>USD</v>
        <stp/>
        <stp>BDP|4017173425125763732|22</stp>
        <stp>META US 04/17/26 C750 Equity</stp>
        <stp>QUOTED_CURRENCY_REALTIME</stp>
        <tr r="F169" s="89"/>
      </tp>
      <tp t="s">
        <v>#N/A Real Time</v>
        <stp/>
        <stp>BDP|2879552152728014398|22</stp>
        <stp>4OK5C 21300 Index</stp>
        <stp>QUOTED_CURRENCY_REALTIME</stp>
        <tr r="F115" s="89"/>
      </tp>
      <tp t="s">
        <v>#N/A Invalid Security</v>
        <stp/>
        <stp>BDP|7846864529941089881|22</stp>
        <stp xml:space="preserve"> Equity</stp>
        <stp>mid</stp>
        <tr r="L2" s="2"/>
      </tp>
      <tp>
        <v>631.13</v>
        <stp/>
        <stp>BDP|2689810960265066336|22</stp>
        <stp>QQQ EQUITY</stp>
        <stp>LAST_PRICE</stp>
        <tr r="I6" s="1"/>
      </tp>
      <tp t="s">
        <v>#N/A Requesting Data...2816613539</v>
        <stp/>
        <stp>BDP|3970119255888163378</stp>
        <tr r="L14" s="338"/>
        <tr r="H14" s="338"/>
        <tr r="L35" s="338"/>
        <tr r="H35" s="338"/>
      </tp>
      <tp t="s">
        <v>#N/A Requesting Data...3362716281</v>
        <stp/>
        <stp>BDP|1780817128230709721</stp>
        <tr r="AC42" s="1"/>
      </tp>
      <tp t="s">
        <v>#N/A Requesting Data...1838111597</v>
        <stp/>
        <stp>BDP|6079579929065496810</stp>
        <tr r="O17" s="252"/>
      </tp>
      <tp t="s">
        <v>#N/A Requesting Data...3913103157</v>
        <stp/>
        <stp>BDP|7892942422180160079</stp>
        <tr r="AF29" s="338"/>
        <tr r="AF30" s="338"/>
      </tp>
      <tp t="s">
        <v>#N/A Requesting Data...2849401829</v>
        <stp/>
        <stp>BDP|6875767680954769102</stp>
        <tr r="AR7" s="2"/>
      </tp>
      <tp t="s">
        <v>#N/A Requesting Data...2982683163</v>
        <stp/>
        <stp>BDP|7500005297250850236</stp>
        <tr r="K1" s="1"/>
      </tp>
      <tp t="s">
        <v>#N/A Requesting Data...2057461415</v>
        <stp/>
        <stp>BDP|7828562231434179977</stp>
        <tr r="G30" s="446"/>
      </tp>
      <tp t="s">
        <v>#N/A Requesting Data...3863995611</v>
        <stp/>
        <stp>BDP|5719360958046661910</stp>
        <tr r="U16" s="338"/>
        <tr r="U38" s="338"/>
      </tp>
      <tp t="e">
        <v>#N/A</v>
        <stp/>
        <stp>BDH|2454031656198884371</stp>
        <tr r="AM13" s="338"/>
        <tr r="AM34" s="338"/>
      </tp>
      <tp t="s">
        <v>#N/A Requesting Data...1691749392</v>
        <stp/>
        <stp>BDP|8367283627072476679</stp>
        <tr r="AC39" s="1"/>
      </tp>
      <tp t="s">
        <v>#N/A Requesting Data...4204591601</v>
        <stp/>
        <stp>BDP|6021078455249412694</stp>
        <tr r="AJ37" s="338"/>
      </tp>
      <tp t="s">
        <v>#N/A Requesting Data...2135555920</v>
        <stp/>
        <stp>BDP|2116301475429922329</stp>
        <tr r="E205" s="89"/>
      </tp>
      <tp t="s">
        <v>#N/A Requesting Data...3131607494</v>
        <stp/>
        <stp>BDP|4925191488924434539</stp>
        <tr r="D33" s="89"/>
      </tp>
      <tp t="s">
        <v>#N/A Requesting Data...2727725405</v>
        <stp/>
        <stp>BDP|1166102887343177783</stp>
        <tr r="C69" s="89"/>
      </tp>
      <tp t="s">
        <v>#N/A Requesting Data...2681516379</v>
        <stp/>
        <stp>BDP|4596394917382492801</stp>
        <tr r="AF10" s="1"/>
      </tp>
      <tp t="e">
        <v>#N/A</v>
        <stp/>
        <stp>BDH|7747770504569374580</stp>
        <tr r="AN33" s="338"/>
        <tr r="AN10" s="338"/>
        <tr r="AN11" s="338"/>
      </tp>
      <tp t="e">
        <v>#N/A</v>
        <stp/>
        <stp>BDH|9332342045151585382</stp>
        <tr r="AR18" s="338"/>
      </tp>
      <tp t="s">
        <v>#N/A Requesting Data...3220018378</v>
        <stp/>
        <stp>BDP|6404917817581645389</stp>
        <tr r="O14" s="252"/>
      </tp>
      <tp t="s">
        <v>#N/A Requesting Data...3738002343</v>
        <stp/>
        <stp>BDP|8267476373493896423</stp>
        <tr r="K2" s="1"/>
      </tp>
      <tp t="s">
        <v>#N/A Requesting Data...1874938737</v>
        <stp/>
        <stp>BDP|1273854938052127439</stp>
        <tr r="Q18" s="338"/>
      </tp>
      <tp t="s">
        <v>#N/A Requesting Data...3399304305</v>
        <stp/>
        <stp>BDP|2147920936397925310</stp>
        <tr r="Q30" s="338"/>
      </tp>
      <tp t="s">
        <v>#N/A Requesting Data...1972241573</v>
        <stp/>
        <stp>BDP|4738998939235389797</stp>
        <tr r="F8" s="446"/>
      </tp>
      <tp t="s">
        <v>#N/A N/A</v>
        <stp/>
        <stp>BDP|2282995976142786289</stp>
        <tr r="AV7" s="2"/>
        <tr r="R222" s="89"/>
        <tr r="R223" s="89"/>
        <tr r="R224" s="89"/>
        <tr r="R225" s="89"/>
      </tp>
      <tp t="s">
        <v>#N/A Requesting Data...2364842222</v>
        <stp/>
        <stp>BDP|8370148836023021531</stp>
        <tr r="AF45" s="1"/>
        <tr r="AF37" s="338"/>
      </tp>
      <tp t="s">
        <v>#N/A Requesting Data...2264630366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s">
        <v>#N/A Requesting Data...1948455894</v>
        <stp/>
        <stp>BDP|5270872678817673187</stp>
        <tr r="O13" s="252"/>
      </tp>
      <tp t="e">
        <v>#N/A</v>
        <stp/>
        <stp>BDH|6211634363303017917</stp>
        <tr r="AS18" s="338"/>
      </tp>
      <tp t="s">
        <v>#N/A Requesting Data...4011032050</v>
        <stp/>
        <stp>BDP|2737330982055463026</stp>
        <tr r="AG45" s="1"/>
      </tp>
      <tp t="e">
        <v>#N/A</v>
        <stp/>
        <stp>BDH|6517271543218995481</stp>
        <tr r="AU29" s="338"/>
      </tp>
      <tp t="s">
        <v>#N/A Requesting Data...3196931171</v>
        <stp/>
        <stp>BDP|3098041072779459130</stp>
        <tr r="E170" s="89"/>
      </tp>
      <tp t="s">
        <v>#N/A Requesting Data...2610797180</v>
        <stp/>
        <stp>BDP|6202726206315217853</stp>
        <tr r="AH41" s="338"/>
        <tr r="AH42" s="338"/>
      </tp>
      <tp t="e">
        <v>#N/A</v>
        <stp/>
        <stp>BDH|9004776845775608355</stp>
        <tr r="J13" s="252"/>
      </tp>
      <tp t="s">
        <v>#N/A Requesting Data...4072557752</v>
        <stp/>
        <stp>BDP|5489377534060375922</stp>
        <tr r="T145" s="89"/>
      </tp>
      <tp t="s">
        <v>#N/A Requesting Data...3565541463</v>
        <stp/>
        <stp>BDP|7547135630721272822</stp>
        <tr r="T29" s="338"/>
      </tp>
      <tp t="s">
        <v>#N/A Requesting Data...3780684896</v>
        <stp/>
        <stp>BDP|9515949913399601436</stp>
        <tr r="G25" s="446"/>
      </tp>
      <tp t="s">
        <v>#N/A Requesting Data...2582041476</v>
        <stp/>
        <stp>BDP|2250196021425433893</stp>
        <tr r="AA237" s="89"/>
        <tr r="Z237" s="89"/>
      </tp>
      <tp t="s">
        <v>#N/A Requesting Data...3334090211</v>
        <stp/>
        <stp>BDP|9712190854671951078</stp>
        <tr r="M16" s="252"/>
      </tp>
      <tp t="s">
        <v>#N/A Requesting Data...3384390520</v>
        <stp/>
        <stp>BDP|5511275398847971578</stp>
        <tr r="T45" s="338"/>
      </tp>
      <tp t="s">
        <v>#N/A Requesting Data...2245703766</v>
        <stp/>
        <stp>BDP|2209854278019805833</stp>
        <tr r="D39" s="89"/>
      </tp>
      <tp t="e">
        <v>#N/A</v>
        <stp/>
        <stp>BDH|3300669142249187427</stp>
        <tr r="AS8" s="338"/>
        <tr r="AS50" s="338"/>
        <tr r="AS46" s="338"/>
        <tr r="AS32" s="338"/>
      </tp>
      <tp t="s">
        <v>#N/A Requesting Data...3522626425</v>
        <stp/>
        <stp>BDP|4858986133875298741</stp>
        <tr r="Q17" s="338"/>
      </tp>
      <tp>
        <v>85.49</v>
        <stp/>
        <stp>BDP|7394371982457470369|22</stp>
        <stp>KBWB Equity</stp>
        <stp>LAST PRICE</stp>
        <tr r="G52" s="338"/>
        <tr r="G53" s="338"/>
        <tr r="G54" s="338"/>
      </tp>
      <tp t="s">
        <v>#N/A Requesting Data...2520738457</v>
        <stp/>
        <stp>BDP|5415224161148491497</stp>
        <tr r="O187" s="89"/>
      </tp>
      <tp t="s">
        <v>#N/A Requesting Data...3038376659</v>
        <stp/>
        <stp>BDP|9641015641826985650</stp>
        <tr r="U52" s="338"/>
      </tp>
      <tp t="s">
        <v>#N/A Requesting Data...2323446051</v>
        <stp/>
        <stp>BDP|9663379623834075196</stp>
        <tr r="C17" s="2"/>
        <tr r="C18" s="2"/>
      </tp>
      <tp t="s">
        <v>#N/A Requesting Data...2560517745</v>
        <stp/>
        <stp>BDP|6731818678664058062</stp>
        <tr r="C116" s="89"/>
      </tp>
      <tp t="s">
        <v>#N/A Requesting Data...2525411957</v>
        <stp/>
        <stp>BDP|3337761684491833019</stp>
        <tr r="F44" s="446"/>
      </tp>
      <tp t="s">
        <v>#N/A Requesting Data...3272708068</v>
        <stp/>
        <stp>BDP|4245700180187394193</stp>
        <tr r="E144" s="89"/>
      </tp>
      <tp t="s">
        <v>#N/A Requesting Data...3817331998</v>
        <stp/>
        <stp>BDP|6711922664411963502</stp>
        <tr r="Q10" s="338"/>
      </tp>
      <tp t="s">
        <v>#N/A Requesting Data...2668347169</v>
        <stp/>
        <stp>BDP|3291358635057263983</stp>
        <tr r="Q41" s="338"/>
      </tp>
      <tp t="s">
        <v>#N/A Requesting Data...3578677746</v>
        <stp/>
        <stp>BDP|2599954552966387584</stp>
        <tr r="V15" s="338"/>
        <tr r="V39" s="338"/>
      </tp>
      <tp t="s">
        <v>#N/A Requesting Data...1881595162</v>
        <stp/>
        <stp>BDP|6927294984968537987</stp>
        <tr r="C224" s="89"/>
      </tp>
      <tp t="s">
        <v>#N/A Requesting Data...1755055314</v>
        <stp/>
        <stp>BDP|9699474378527567053</stp>
        <tr r="AC31" s="1"/>
        <tr r="AC32" s="1"/>
      </tp>
      <tp t="s">
        <v>#N/A Requesting Data...2344821541</v>
        <stp/>
        <stp>BDP|4059296425981795825</stp>
        <tr r="T89" s="89"/>
      </tp>
      <tp t="s">
        <v>#N/A Requesting Data...2535900465</v>
        <stp/>
        <stp>BDP|9987750837224410406</stp>
        <tr r="F12" s="2"/>
      </tp>
      <tp t="s">
        <v>#N/A Requesting Data...3319428727</v>
        <stp/>
        <stp>BDP|8113789535866062735</stp>
        <tr r="T237" s="89"/>
      </tp>
      <tp t="s">
        <v>#N/A Requesting Data...3103110646</v>
        <stp/>
        <stp>BDP|6822986114586808509</stp>
        <tr r="AA14" s="2"/>
      </tp>
      <tp t="s">
        <v>#N/A Requesting Data...3423418338</v>
        <stp/>
        <stp>BDP|9592498748502103695</stp>
        <tr r="L7" s="252"/>
        <tr r="L7" s="252"/>
      </tp>
      <tp t="s">
        <v>#N/A Requesting Data...1950345426</v>
        <stp/>
        <stp>BDP|6754010884411976277</stp>
        <tr r="X44" s="338"/>
      </tp>
      <tp t="s">
        <v>#N/A Requesting Data...2658587814</v>
        <stp/>
        <stp>BDP|4958570254160242959</stp>
        <tr r="T33" s="338"/>
      </tp>
      <tp t="s">
        <v>#N/A Requesting Data...1931058368</v>
        <stp/>
        <stp>BDP|4678905769292619449</stp>
        <tr r="AK29" s="338"/>
      </tp>
      <tp t="e">
        <v>#N/A</v>
        <stp/>
        <stp>BDH|4917550142010467876</stp>
        <tr r="AM44" s="338"/>
        <tr r="AR10" s="338"/>
        <tr r="AM48" s="338"/>
        <tr r="AR53" s="338"/>
        <tr r="AM47" s="338"/>
      </tp>
      <tp t="s">
        <v>#N/A Requesting Data...3784949339</v>
        <stp/>
        <stp>BDP|7223883239641187000</stp>
        <tr r="G16" s="446"/>
      </tp>
      <tp t="s">
        <v>#N/A Requesting Data...1906656146</v>
        <stp/>
        <stp>BDP|5114854945934215018</stp>
        <tr r="AD11" s="2"/>
        <tr r="V170" s="89"/>
      </tp>
      <tp t="e">
        <v>#N/A</v>
        <stp/>
        <stp>BDH|6510200972726120845</stp>
        <tr r="T14" s="252"/>
        <tr r="W14" s="252"/>
      </tp>
      <tp t="s">
        <v>#N/A N/A</v>
        <stp/>
        <stp>BDP|9686918113715191967</stp>
        <tr r="AA81" s="89"/>
        <tr r="Z81" s="89"/>
      </tp>
      <tp t="s">
        <v>#N/A Requesting Data...2932362791</v>
        <stp/>
        <stp>BDP|8227558946176666242</stp>
        <tr r="C204" s="89"/>
      </tp>
      <tp t="s">
        <v>#N/A Requesting Data...4097253671</v>
        <stp/>
        <stp>BDP|8023230975554206472</stp>
        <tr r="U33" s="338"/>
      </tp>
      <tp t="s">
        <v>#N/A Requesting Data...2984931295</v>
        <stp/>
        <stp>BDP|2832828567039648888</stp>
        <tr r="D5" s="2"/>
        <tr r="D6" s="2"/>
      </tp>
      <tp t="s">
        <v>#N/A Requesting Data...3975784157</v>
        <stp/>
        <stp>BDP|1449141764908407306</stp>
        <tr r="F11" s="446"/>
      </tp>
      <tp t="s">
        <v>#N/A Requesting Data...2900333331</v>
        <stp/>
        <stp>BDP|6113923539666992720</stp>
        <tr r="N14" s="252"/>
        <tr r="N14" s="252"/>
      </tp>
      <tp t="s">
        <v>#N/A N/A</v>
        <stp/>
        <stp>BDP|8840098927283470439</stp>
        <tr r="AB153" s="89"/>
        <tr r="AB154" s="89"/>
      </tp>
      <tp t="s">
        <v>#N/A Requesting Data...2436060261</v>
        <stp/>
        <stp>BDP|7951947862590616582</stp>
        <tr r="AF40" s="1"/>
        <tr r="AF41" s="1"/>
        <tr r="AF13" s="338"/>
        <tr r="AF34" s="338"/>
      </tp>
      <tp t="s">
        <v>#N/A Requesting Data...4162669586</v>
        <stp/>
        <stp>BDP|9891481019803044282</stp>
        <tr r="G23" s="446"/>
      </tp>
      <tp t="s">
        <v>#N/A Requesting Data...3065203393</v>
        <stp/>
        <stp>BDP|1195676192547587478</stp>
        <tr r="O27" s="89"/>
      </tp>
      <tp t="s">
        <v>#N/A Requesting Data...2664592067</v>
        <stp/>
        <stp>BDP|8890689995642342808</stp>
        <tr r="V53" s="338"/>
      </tp>
      <tp t="s">
        <v>#N/A Requesting Data...3611315509</v>
        <stp/>
        <stp>BDP|4140538680732569611</stp>
        <tr r="AD12" s="2"/>
      </tp>
      <tp t="s">
        <v>#N/A Requesting Data...3952134409</v>
        <stp/>
        <stp>BDP|9480751962541692435</stp>
        <tr r="D17" s="2"/>
        <tr r="D18" s="2"/>
      </tp>
      <tp t="s">
        <v>#N/A Requesting Data...3477194230</v>
        <stp/>
        <stp>BDP|2455215735317653905</stp>
        <tr r="E223" s="89"/>
      </tp>
      <tp t="s">
        <v>#N/A Requesting Data...2853353888</v>
        <stp/>
        <stp>BDP|2447569196515159629</stp>
        <tr r="T9" s="2"/>
      </tp>
      <tp t="s">
        <v>#N/A Requesting Data...1838213906</v>
        <stp/>
        <stp>BDP|7612533417436704812</stp>
        <tr r="AJ13" s="338"/>
        <tr r="AJ34" s="338"/>
      </tp>
      <tp t="s">
        <v>#N/A Requesting Data...2707447570</v>
        <stp/>
        <stp>BDP|9574059420494792234</stp>
        <tr r="L41" s="338"/>
        <tr r="L31" s="338"/>
        <tr r="J31" s="338"/>
        <tr r="L33" s="338"/>
        <tr r="J33" s="338"/>
        <tr r="J41" s="338"/>
        <tr r="L45" s="338"/>
        <tr r="H45" s="338"/>
        <tr r="L46" s="338"/>
        <tr r="H46" s="338"/>
        <tr r="L47" s="338"/>
        <tr r="J47" s="338"/>
        <tr r="L49" s="338"/>
        <tr r="H49" s="338"/>
        <tr r="L51" s="338"/>
        <tr r="J51" s="338"/>
      </tp>
      <tp t="s">
        <v>#N/A Requesting Data...3600031275</v>
        <stp/>
        <stp>BDP|3007975292676340821</stp>
        <tr r="G24" s="446"/>
      </tp>
      <tp t="s">
        <v>#N/A Requesting Data...3649255127</v>
        <stp/>
        <stp>BDP|5665815221263095138</stp>
        <tr r="E95" s="89"/>
      </tp>
      <tp t="e">
        <v>#N/A</v>
        <stp/>
        <stp>BDH|2114060395467773106</stp>
        <tr r="J16" s="252"/>
      </tp>
      <tp>
        <v>14.05</v>
        <stp/>
        <stp>BDP|18096733178424916458|22</stp>
        <stp>AVGO US 06/18/26 P270 Equity</stp>
        <stp>bid</stp>
        <tr r="K225" s="89"/>
      </tp>
      <tp>
        <v>34.35</v>
        <stp/>
        <stp>BDP|10089550128122679017|22</stp>
        <stp>TSM US 06/18/26 C340 Equity</stp>
        <stp>ask</stp>
        <tr r="Q25" s="2"/>
        <tr r="L13" s="89"/>
      </tp>
      <tp>
        <v>-0.19714395701885223</v>
        <stp/>
        <stp>BDP|3431413272118379814|22</stp>
        <stp>MRVL US 03/20/26 P70 Equity</stp>
        <stp>DELTA_MID_RT</stp>
        <tr r="AF16" s="2"/>
        <tr r="W63" s="89"/>
      </tp>
      <tp t="s">
        <v>#N/A Requesting Data...3322321464</v>
        <stp/>
        <stp>BDP|5266989866390412427</stp>
        <tr r="D38" s="446"/>
      </tp>
      <tp t="s">
        <v>#N/A Requesting Data...3594434521</v>
        <stp/>
        <stp>BDP|8338110186819693688</stp>
        <tr r="E212" s="89"/>
      </tp>
      <tp t="s">
        <v>#N/A N/A</v>
        <stp/>
        <stp>BDP|8927228557595141478</stp>
        <tr r="R115" s="89"/>
        <tr r="R116" s="89"/>
      </tp>
      <tp t="s">
        <v>#N/A Requesting Data...3610840451</v>
        <stp/>
        <stp>BDP|5527710723047808956</stp>
        <tr r="T50" s="89"/>
      </tp>
      <tp t="s">
        <v>#N/A Requesting Data...2075895347</v>
        <stp/>
        <stp>BDP|5586265622589882234</stp>
        <tr r="T187" s="89"/>
      </tp>
      <tp t="s">
        <v>#N/A Requesting Data...1763687115</v>
        <stp/>
        <stp>BDP|3507742477994476993</stp>
        <tr r="D40" s="89"/>
      </tp>
      <tp t="s">
        <v>#N/A Requesting Data...3285753150</v>
        <stp/>
        <stp>BDP|1529618684855229495</stp>
        <tr r="E197" s="89"/>
      </tp>
      <tp t="s">
        <v>#N/A Requesting Data...3382458260</v>
        <stp/>
        <stp>BDP|8452001835880289581</stp>
        <tr r="AB35" s="1"/>
        <tr r="AB36" s="1"/>
      </tp>
      <tp t="s">
        <v>#N/A Requesting Data...2127110344</v>
        <stp/>
        <stp>BDP|8518419899713251871</stp>
        <tr r="X8" s="338"/>
      </tp>
      <tp t="s">
        <v>#N/A Requesting Data...3060954304</v>
        <stp/>
        <stp>BDP|6375542897924166091</stp>
        <tr r="C109" s="89"/>
      </tp>
      <tp t="s">
        <v>#N/A Requesting Data...3765919405</v>
        <stp/>
        <stp>BDP|6865956502756622717</stp>
        <tr r="AH36" s="338"/>
        <tr r="AJ36" s="338"/>
      </tp>
      <tp t="s">
        <v>#N/A Requesting Data...3979199388</v>
        <stp/>
        <stp>BDP|2379295593121097618</stp>
        <tr r="D44" s="446"/>
      </tp>
      <tp t="s">
        <v>#N/A Requesting Data...2916142130</v>
        <stp/>
        <stp>BDP|9349867885552045593</stp>
        <tr r="S48" s="338"/>
      </tp>
      <tp t="e">
        <v>#N/A</v>
        <stp/>
        <stp>BDH|4654456077031979847</stp>
        <tr r="AN36" s="338"/>
      </tp>
      <tp t="s">
        <v>#N/A Requesting Data...1760537184</v>
        <stp/>
        <stp>BDP|8800614714481507068</stp>
        <tr r="AD23" s="2"/>
        <tr r="V197" s="89"/>
      </tp>
      <tp t="s">
        <v>#N/A Requesting Data...2708538838</v>
        <stp/>
        <stp>BDP|8943988508449477635</stp>
        <tr r="F4" s="2"/>
      </tp>
      <tp t="s">
        <v>#N/A Requesting Data...3368280523</v>
        <stp/>
        <stp>BDP|1210812459016425419</stp>
        <tr r="T169" s="89"/>
      </tp>
      <tp t="s">
        <v>#N/A Requesting Data...3925534966</v>
        <stp/>
        <stp>BDP|3116185742219750133</stp>
        <tr r="T109" s="89"/>
      </tp>
      <tp t="s">
        <v>#N/A Requesting Data...2219833949</v>
        <stp/>
        <stp>BDP|8974216276565695646</stp>
        <tr r="C9" s="2"/>
      </tp>
      <tp t="s">
        <v>#N/A Requesting Data...3762977600</v>
        <stp/>
        <stp>BDP|8883658922450224216</stp>
        <tr r="C76" s="89"/>
      </tp>
      <tp t="s">
        <v>#N/A N/A</v>
        <stp/>
        <stp>BDP|8927803377951233812</stp>
        <tr r="AB160" s="89"/>
      </tp>
      <tp t="s">
        <v>#N/A Requesting Data...2984870578</v>
        <stp/>
        <stp>BDP|5511689169463708814</stp>
        <tr r="E27" s="89"/>
      </tp>
      <tp t="s">
        <v>#N/A Requesting Data...3155575503</v>
        <stp/>
        <stp>BDP|9104922632105284817</stp>
        <tr r="D20" s="89"/>
      </tp>
      <tp t="s">
        <v>#N/A Requesting Data...2641389327</v>
        <stp/>
        <stp>BDP|5796504129065876948</stp>
        <tr r="U8" s="338"/>
      </tp>
      <tp t="s">
        <v>#N/A Requesting Data...3557049672</v>
        <stp/>
        <stp>BDP|5334711267318453225</stp>
        <tr r="N10" s="252"/>
        <tr r="N10" s="252"/>
      </tp>
      <tp t="s">
        <v>#N/A N/A</v>
        <stp/>
        <stp>BDP|8778194253835698784</stp>
        <tr r="AB49" s="89"/>
        <tr r="AB50" s="89"/>
      </tp>
      <tp t="s">
        <v>#N/A Requesting Data...3264140729</v>
        <stp/>
        <stp>BDP|9233199299816659948</stp>
        <tr r="P11" s="252"/>
      </tp>
      <tp t="s">
        <v>#N/A N/A</v>
        <stp/>
        <stp>BDP|3671266900018321730</stp>
        <tr r="C82" s="89"/>
      </tp>
      <tp t="e">
        <v>#N/A</v>
        <stp/>
        <stp>BDH|8068639236406776521</stp>
        <tr r="AU53" s="338"/>
        <tr r="AU10" s="338"/>
        <tr r="AP48" s="338"/>
        <tr r="AP47" s="338"/>
        <tr r="AP44" s="338"/>
      </tp>
      <tp t="s">
        <v>#N/A Requesting Data...2844622041</v>
        <stp/>
        <stp>BDP|2292616657717420814</stp>
        <tr r="AF31" s="338"/>
        <tr r="AF32" s="338"/>
      </tp>
      <tp t="s">
        <v>#N/A Requesting Data...2286379597</v>
        <stp/>
        <stp>BDP|1704402293557704529</stp>
        <tr r="K7" s="1"/>
      </tp>
      <tp t="s">
        <v>#N/A Requesting Data...3946342406</v>
        <stp/>
        <stp>BDP|4042472092244568314</stp>
        <tr r="V108" s="89"/>
      </tp>
      <tp t="s">
        <v>#N/A Requesting Data...3620889339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Data...3211555308</v>
        <stp/>
        <stp>BDP|5068380246295060987</stp>
        <tr r="P49" s="338"/>
      </tp>
      <tp t="e">
        <v>#N/A</v>
        <stp/>
        <stp>BDH|8894626295250075998</stp>
        <tr r="AR16" s="338"/>
        <tr r="AR17" s="338"/>
        <tr r="AR52" s="338"/>
        <tr r="AR38" s="338"/>
        <tr r="AR15" s="338"/>
        <tr r="AR44" s="338"/>
        <tr r="AR39" s="338"/>
      </tp>
      <tp t="e">
        <v>#N/A</v>
        <stp/>
        <stp>BDH|5674194540649995708</stp>
        <tr r="T17" s="252"/>
        <tr r="W17" s="252"/>
      </tp>
      <tp t="s">
        <v>#N/A Requesting Data...2004533279</v>
        <stp/>
        <stp>BDP|6562923680930375939</stp>
        <tr r="T11" s="338"/>
      </tp>
      <tp t="s">
        <v>#N/A Requesting Data...2834110576</v>
        <stp/>
        <stp>BDP|4719256686637012732</stp>
        <tr r="M19" s="252"/>
      </tp>
      <tp t="s">
        <v>#N/A Requesting Data...2159545385</v>
        <stp/>
        <stp>BDP|2644203280360986688</stp>
        <tr r="AB40" s="1"/>
        <tr r="AB41" s="1"/>
        <tr r="F35" s="446"/>
      </tp>
      <tp t="s">
        <v>#N/A Requesting Data...3247339704</v>
        <stp/>
        <stp>BDP|3687895063137929413</stp>
        <tr r="U51" s="338"/>
      </tp>
      <tp t="e">
        <v>#N/A</v>
        <stp/>
        <stp>BDH|3289957786588193446</stp>
        <tr r="AS34" s="338"/>
        <tr r="AS35" s="338"/>
        <tr r="AS36" s="338"/>
        <tr r="AN50" s="338"/>
        <tr r="AS37" s="338"/>
        <tr r="AN51" s="338"/>
      </tp>
      <tp t="s">
        <v>#N/A Requesting Data...3964832518</v>
        <stp/>
        <stp>BDP|2866283045919885388</stp>
        <tr r="L18" s="338"/>
        <tr r="J18" s="338"/>
      </tp>
      <tp t="s">
        <v>#N/A Requesting Data...1864750717</v>
        <stp/>
        <stp>BDP|8754151420072627717</stp>
        <tr r="AR9" s="2"/>
      </tp>
      <tp t="s">
        <v>#N/A Requesting Data...3445684015</v>
        <stp/>
        <stp>BDP|8565804017506463936</stp>
        <tr r="L17" s="252"/>
        <tr r="L17" s="252"/>
      </tp>
      <tp>
        <v>22.75</v>
        <stp/>
        <stp>BDP|13753378013260123339|22</stp>
        <stp>AMZN US 07/17/26 C250 Equity</stp>
        <stp>bid</stp>
        <tr r="K234" s="89"/>
      </tp>
      <tp>
        <v>20.09</v>
        <stp/>
        <stp>BDP|1056906607050736285|22</stp>
        <stp>CPNG Equity</stp>
        <stp>LAST PRICE</stp>
        <tr r="L7" s="446"/>
      </tp>
      <tp>
        <v>37.619999999999997</v>
        <stp/>
        <stp>BDP|8479129259841183337|22</stp>
        <stp>BP Equity</stp>
        <stp>LAST PRICE</stp>
        <tr r="G29" s="338"/>
        <tr r="G30" s="338"/>
      </tp>
      <tp>
        <v>-0.19198855757713318</v>
        <stp/>
        <stp>BDP|5526706154841928378|22</stp>
        <stp>MSFT US 03/20/26 P465 Equity</stp>
        <stp>theta_mid_rt</stp>
        <tr r="AN20" s="2"/>
      </tp>
      <tp t="s">
        <v>USD</v>
        <stp/>
        <stp>BDP|14291221851174083025|22</stp>
        <stp>AMZN US 07/17/26 C245 Equity</stp>
        <stp>QUOTED_CURRENCY_REALTIME</stp>
        <tr r="G4" s="2"/>
      </tp>
      <tp>
        <v>338.34</v>
        <stp/>
        <stp>BDP|10734773146792366841|22</stp>
        <stp>TSM US Equity</stp>
        <stp>LAST_PRICE</stp>
        <tr r="Z25" s="2"/>
        <tr r="Z26" s="2"/>
        <tr r="S13" s="89"/>
        <tr r="S14" s="89"/>
        <tr r="S19" s="89"/>
        <tr r="S20" s="89"/>
      </tp>
      <tp t="s">
        <v>#N/A Requesting Data...3285976122</v>
        <stp/>
        <stp>BDP|3786323124408946521</stp>
        <tr r="D45" s="446"/>
      </tp>
      <tp t="s">
        <v>#N/A Requesting Data...2474931897</v>
        <stp/>
        <stp>BDP|7859159525229324216</stp>
        <tr r="C49" s="89"/>
      </tp>
      <tp t="s">
        <v>#N/A Requesting Data...1832219487</v>
        <stp/>
        <stp>BDP|8896143753810578305</stp>
        <tr r="F15" s="2"/>
      </tp>
      <tp t="s">
        <v>#N/A Requesting Data...2294374129</v>
        <stp/>
        <stp>BDP|2806504826139638334</stp>
        <tr r="AG40" s="1"/>
        <tr r="AG41" s="1"/>
      </tp>
      <tp t="s">
        <v>#N/A Requesting Data...2477430061</v>
        <stp/>
        <stp>BDP|4784976331940308190</stp>
        <tr r="AA144" s="89"/>
        <tr r="Z144" s="89"/>
      </tp>
      <tp t="s">
        <v>#N/A Requesting Data...2715497678</v>
        <stp/>
        <stp>BDP|2131718523418809031</stp>
        <tr r="X9" s="338"/>
      </tp>
      <tp t="s">
        <v>#N/A Requesting Data...4210454304</v>
        <stp/>
        <stp>BDP|8119275495638947437</stp>
        <tr r="AI46" s="1"/>
      </tp>
      <tp t="s">
        <v>#N/A Requesting Data...2320215985</v>
        <stp/>
        <stp>BDP|4060140891760852341</stp>
        <tr r="T95" s="89"/>
      </tp>
      <tp t="s">
        <v>#N/A N/A</v>
        <stp/>
        <stp>BDP|1110263465193964954</stp>
        <tr r="AB122" s="89"/>
        <tr r="AB123" s="89"/>
      </tp>
      <tp t="s">
        <v>#N/A Requesting Data...1858256357</v>
        <stp/>
        <stp>BDP|2842170687233636700</stp>
        <tr r="AH13" s="338"/>
        <tr r="AH34" s="338"/>
      </tp>
      <tp t="s">
        <v>#N/A Requesting Data...1918740099</v>
        <stp/>
        <stp>BDP|1457483532620769970</stp>
        <tr r="L18" s="252"/>
        <tr r="L18" s="252"/>
      </tp>
      <tp t="s">
        <v>#N/A Requesting Data...3977479940</v>
        <stp/>
        <stp>BDP|7952717157178061208</stp>
        <tr r="AI18" s="1"/>
        <tr r="AI19" s="1"/>
      </tp>
      <tp t="s">
        <v>#N/A Requesting Data...3697415572</v>
        <stp/>
        <stp>BDP|6268649388386345129</stp>
        <tr r="D144" s="89"/>
      </tp>
      <tp t="s">
        <v>#N/A Requesting Data...2357702360</v>
        <stp/>
        <stp>BDP|8154630115763023381</stp>
        <tr r="T52" s="338"/>
      </tp>
      <tp t="s">
        <v>#N/A Requesting Data...1983766823</v>
        <stp/>
        <stp>BDP|4559885652492456444</stp>
        <tr r="Q54" s="338"/>
      </tp>
      <tp t="s">
        <v>#N/A Requesting Data...4007677239</v>
        <stp/>
        <stp>BDP|7576730522755872830</stp>
        <tr r="F38" s="446"/>
      </tp>
      <tp t="s">
        <v>#N/A Requesting Data...2944992236</v>
        <stp/>
        <stp>BDP|3379738209742094959</stp>
        <tr r="AG43" s="1"/>
      </tp>
      <tp t="s">
        <v>#N/A Requesting Data...2625133041</v>
        <stp/>
        <stp>BDP|9507005719251486644</stp>
        <tr r="M10" s="252"/>
      </tp>
      <tp t="s">
        <v>#N/A Requesting Data...2913541293</v>
        <stp/>
        <stp>BDP|8864177178196306783</stp>
        <tr r="C213" s="89"/>
      </tp>
      <tp t="s">
        <v>#N/A Requesting Data...1951971071</v>
        <stp/>
        <stp>BDP|3243919885914808926</stp>
        <tr r="AB14" s="1"/>
        <tr r="AB15" s="1"/>
      </tp>
      <tp t="s">
        <v>#N/A Requesting Data...3255621600</v>
        <stp/>
        <stp>BDP|9539667201337640785</stp>
        <tr r="U36" s="338"/>
      </tp>
      <tp t="s">
        <v>#N/A Requesting Data...1802118086</v>
        <stp/>
        <stp>BDP|7446900777882759491</stp>
        <tr r="AF17" s="1"/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Requesting Data...4107325493</v>
        <stp/>
        <stp>BDP|3017449980125941505</stp>
        <tr r="V212" s="89"/>
      </tp>
      <tp t="s">
        <v>#N/A Requesting Data...3635961403</v>
        <stp/>
        <stp>BDP|7758988602381610061</stp>
        <tr r="AC16" s="1"/>
      </tp>
      <tp t="s">
        <v>#N/A Requesting Data...2804078996</v>
        <stp/>
        <stp>BDP|8782158116286979106</stp>
        <tr r="AG49" s="1"/>
      </tp>
      <tp t="s">
        <v>#N/A Requesting Data...4159233912</v>
        <stp/>
        <stp>BDP|2751859474321958329</stp>
        <tr r="V187" s="89"/>
      </tp>
      <tp t="s">
        <v>#N/A N/A</v>
        <stp/>
        <stp>BDP|7737565625888423724</stp>
        <tr r="AB40" s="89"/>
      </tp>
      <tp t="s">
        <v>#N/A Requesting Data...3132437802</v>
        <stp/>
        <stp>BDP|4065099833740136891</stp>
        <tr r="P42" s="338"/>
      </tp>
      <tp t="s">
        <v>#N/A Requesting Data...3037386107</v>
        <stp/>
        <stp>BDP|8496510345395763350</stp>
        <tr r="D49" s="89"/>
      </tp>
      <tp t="s">
        <v>#N/A Requesting Data...2388354235</v>
        <stp/>
        <stp>BDP|5267619434148669720</stp>
        <tr r="AJ52" s="338"/>
        <tr r="AJ53" s="338"/>
        <tr r="AJ54" s="338"/>
      </tp>
      <tp t="s">
        <v>#N/A Requesting Data...3249811519</v>
        <stp/>
        <stp>BDP|8622760163721094706</stp>
        <tr r="Z178" s="89"/>
        <tr r="Z179" s="89"/>
        <tr r="AA178" s="89"/>
        <tr r="AA179" s="89"/>
      </tp>
      <tp t="s">
        <v>#N/A Requesting Data...3110731244</v>
        <stp/>
        <stp>BDP|7148106705448380141</stp>
        <tr r="V41" s="338"/>
      </tp>
      <tp t="s">
        <v>#N/A Requesting Data...4092953255</v>
        <stp/>
        <stp>BDP|1566983548630295344</stp>
        <tr r="AA13" s="2"/>
      </tp>
      <tp t="s">
        <v>#N/A Requesting Data...3135965551</v>
        <stp/>
        <stp>BDP|7511636250779138240</stp>
        <tr r="V40" s="338"/>
      </tp>
      <tp t="e">
        <v>#N/A</v>
        <stp/>
        <stp>BDH|4854289768666278998</stp>
        <tr r="AR30" s="338"/>
      </tp>
      <tp t="s">
        <v>#N/A Requesting Data...3283124974</v>
        <stp/>
        <stp>BDP|9935789077965622300</stp>
        <tr r="O26" s="89"/>
      </tp>
      <tp t="s">
        <v>#N/A Requesting Data...3001462716</v>
        <stp/>
        <stp>BDP|5576438787561382724</stp>
        <tr r="AJ10" s="338"/>
        <tr r="AJ11" s="338"/>
        <tr r="AJ33" s="338"/>
      </tp>
      <tp t="s">
        <v>#N/A Requesting Data...3311557429</v>
        <stp/>
        <stp>BDP|6748506835519289617</stp>
        <tr r="V27" s="89"/>
      </tp>
      <tp t="s">
        <v>#N/A Requesting Data...4260684802</v>
        <stp/>
        <stp>BDP|1371944730256623208</stp>
        <tr r="T137" s="89"/>
      </tp>
      <tp t="s">
        <v>#N/A Requesting Data...4126820134</v>
        <stp/>
        <stp>BDP|2475069015355307957</stp>
        <tr r="V178" s="89"/>
        <tr r="V179" s="89"/>
      </tp>
      <tp t="s">
        <v>#N/A Requesting Data...3638595566</v>
        <stp/>
        <stp>BDP|8553085138774321079</stp>
        <tr r="T123" s="89"/>
      </tp>
      <tp t="s">
        <v>#N/A Requesting Data...2754820063</v>
        <stp/>
        <stp>BDP|9274343827420648768</stp>
        <tr r="G10" s="446"/>
      </tp>
      <tp t="s">
        <v>#N/A Requesting Data...4255094325</v>
        <stp/>
        <stp>BDP|1937197186723171466</stp>
        <tr r="F25" s="2"/>
      </tp>
      <tp t="s">
        <v>#N/A Requesting Data...3114892607</v>
        <stp/>
        <stp>BDP|1136567666448935591</stp>
        <tr r="V37" s="338"/>
      </tp>
      <tp t="s">
        <v>#N/A Requesting Data...3463219561</v>
        <stp/>
        <stp>BDP|7385638697900780713</stp>
        <tr r="AB33" s="1"/>
        <tr r="AB34" s="1"/>
      </tp>
      <tp t="s">
        <v>#N/A Requesting Data...2770784206</v>
        <stp/>
        <stp>BDP|8715752362304396251</stp>
        <tr r="C233" s="89"/>
      </tp>
      <tp t="s">
        <v>#N/A Requesting Data...2370408241</v>
        <stp/>
        <stp>BDP|9728149439951510598</stp>
        <tr r="F16" s="2"/>
      </tp>
      <tp t="s">
        <v>#N/A Requesting Data...2344129399</v>
        <stp/>
        <stp>BDP|2036830374436602479</stp>
        <tr r="U50" s="338"/>
      </tp>
      <tp t="s">
        <v>#N/A Requesting Data...3220610675</v>
        <stp/>
        <stp>BDP|6317578591636076338</stp>
        <tr r="D138" s="89"/>
      </tp>
      <tp t="s">
        <v>#N/A N/A</v>
        <stp/>
        <stp>BDP|3916828528720515608</stp>
        <tr r="AQ9" s="2"/>
        <tr r="AQ8" s="2"/>
      </tp>
      <tp t="s">
        <v>#N/A Requesting Data...3105790626</v>
        <stp/>
        <stp>BDP|1370952567270052174</stp>
        <tr r="AJ8" s="338"/>
        <tr r="AJ9" s="338"/>
        <tr r="AH8" s="338"/>
        <tr r="AH9" s="338"/>
      </tp>
      <tp t="s">
        <v>#N/A Requesting Data...3489456425</v>
        <stp/>
        <stp>BDP|9908493190928009374</stp>
        <tr r="S17" s="338"/>
      </tp>
      <tp t="s">
        <v>#N/A N/A</v>
        <stp/>
        <stp>BDP|5278263338822851904</stp>
        <tr r="AB108" s="89"/>
      </tp>
      <tp t="s">
        <v>#N/A Requesting Data...3598045446</v>
        <stp/>
        <stp>BDP|9461243956507277607</stp>
        <tr r="K47" s="1"/>
      </tp>
      <tp t="s">
        <v>#N/A Requesting Data...3482986590</v>
        <stp/>
        <stp>BDP|6160662584120657700</stp>
        <tr r="G12" s="446"/>
      </tp>
      <tp t="s">
        <v>#N/A Requesting Data...4018926197</v>
        <stp/>
        <stp>BDP|2050769895694328758</stp>
        <tr r="S7" s="252"/>
      </tp>
      <tp t="s">
        <v>#N/A Requesting Data...3090848669</v>
        <stp/>
        <stp>BDP|9347523066310519576</stp>
        <tr r="E17" s="2"/>
        <tr r="E18" s="2"/>
      </tp>
      <tp t="s">
        <v>#N/A Requesting Data...2550112129</v>
        <stp/>
        <stp>BDP|7406613185485631331</stp>
        <tr r="V233" s="89"/>
      </tp>
      <tp t="s">
        <v>#N/A Requesting Data...3219648275</v>
        <stp/>
        <stp>BDP|8759533260432150600</stp>
        <tr r="E56" s="89"/>
      </tp>
      <tp t="e">
        <v>#N/A</v>
        <stp/>
        <stp>BDH|4827991049333918540</stp>
        <tr r="AS10" s="338"/>
        <tr r="AN44" s="338"/>
        <tr r="AN48" s="338"/>
        <tr r="AS53" s="338"/>
        <tr r="AN47" s="338"/>
      </tp>
      <tp>
        <v>332.79</v>
        <stp/>
        <stp>BDP|6093066913446547993|22</stp>
        <stp>AVGO Equity</stp>
        <stp>LAST_PRICE</stp>
        <tr r="I39" s="1"/>
      </tp>
      <tp>
        <v>33.1</v>
        <stp/>
        <stp>BDP|14476957307763141828|22</stp>
        <stp>TSM US 06/18/26 C340 Equity</stp>
        <stp>bid</stp>
        <tr r="P25" s="2"/>
        <tr r="K13" s="89"/>
      </tp>
      <tp>
        <v>695.49</v>
        <stp/>
        <stp>BDP|11764468863197025710|22</stp>
        <stp>SPY EQUITY</stp>
        <stp>LAST_PRICE</stp>
        <tr r="I4" s="1"/>
      </tp>
      <tp>
        <v>-2.9964800924062729E-2</v>
        <stp/>
        <stp>BDP|12480500075908314127|22</stp>
        <stp>GDX US 09/18/26 C105 Equity</stp>
        <stp>theta_mid_rt</stp>
        <tr r="AN8" s="2"/>
      </tp>
      <tp t="s">
        <v>#N/A Requesting Data...3205767388</v>
        <stp/>
        <stp>BDP|4983617041569093735</stp>
        <tr r="U10" s="338"/>
      </tp>
      <tp t="s">
        <v>#N/A Requesting Data...2055299593</v>
        <stp/>
        <stp>BDP|9340855016030830837</stp>
        <tr r="D8" s="2"/>
      </tp>
      <tp t="s">
        <v>#N/A Requesting Data...2412918651</v>
        <stp/>
        <stp>BDP|1158468690973405781</stp>
        <tr r="AK18" s="338"/>
      </tp>
      <tp t="s">
        <v>#N/A Requesting Data...3116014391</v>
        <stp/>
        <stp>BDP|2898694498747321222</stp>
        <tr r="E3" s="1"/>
        <tr r="K40" s="1"/>
      </tp>
      <tp t="s">
        <v>#N/A Requesting Data...3498827926</v>
        <stp/>
        <stp>BDP|7526986475906100712</stp>
        <tr r="E123" s="89"/>
      </tp>
      <tp t="s">
        <v>#N/A Requesting Data...3294852549</v>
        <stp/>
        <stp>BDP|9064191480710005817</stp>
        <tr r="V16" s="338"/>
        <tr r="V38" s="338"/>
      </tp>
      <tp t="s">
        <v>#N/A Requesting Data...3463928512</v>
        <stp/>
        <stp>BDP|9490986995892939382</stp>
        <tr r="E13" s="89"/>
      </tp>
      <tp t="e">
        <v>#N/A</v>
        <stp/>
        <stp>BDH|8023020774341834669</stp>
        <tr r="AP35" s="338"/>
        <tr r="AP14" s="338"/>
      </tp>
      <tp t="s">
        <v>#N/A Requesting Data...3476834654</v>
        <stp/>
        <stp>BDP|9119371270756838373</stp>
        <tr r="N18" s="252"/>
        <tr r="N18" s="252"/>
      </tp>
      <tp t="s">
        <v>#N/A Requesting Data...3026779781</v>
        <stp/>
        <stp>BDP|6201270299844298101</stp>
        <tr r="O68" s="89"/>
      </tp>
      <tp t="s">
        <v>#N/A Requesting Data...4274234450</v>
        <stp/>
        <stp>BDP|8264861794661907073</stp>
        <tr r="T33" s="89"/>
      </tp>
      <tp t="s">
        <v>#N/A Requesting Data...2182049442</v>
        <stp/>
        <stp>BDP|8903788637142927602</stp>
        <tr r="AK30" s="338"/>
      </tp>
      <tp t="s">
        <v>#N/A Requesting Data...2458824374</v>
        <stp/>
        <stp>BDP|9657162411476734792</stp>
        <tr r="P47" s="338"/>
      </tp>
      <tp t="s">
        <v>#N/A Requesting Data...4093987092</v>
        <stp/>
        <stp>BDP|5133781604559034315</stp>
        <tr r="O76" s="89"/>
      </tp>
      <tp t="e">
        <v>#N/A</v>
        <stp/>
        <stp>BDH|4442084161279694376</stp>
        <tr r="AR9" s="338"/>
      </tp>
      <tp t="e">
        <v>#N/A</v>
        <stp/>
        <stp>BDH|1298172192794239590</stp>
        <tr r="AP37" s="338"/>
      </tp>
      <tp t="s">
        <v>#N/A N/A</v>
        <stp/>
        <stp>BDP|5803451222809040222</stp>
        <tr r="AD24" s="2"/>
        <tr r="V81" s="89"/>
      </tp>
      <tp t="s">
        <v>#N/A Requesting Data...2915790445</v>
        <stp/>
        <stp>BDP|5701078106065387880</stp>
        <tr r="C33" s="89"/>
      </tp>
      <tp t="s">
        <v>#N/A Requesting Data...1878323952</v>
        <stp/>
        <stp>BDP|7099656161528162789</stp>
        <tr r="E22" s="2"/>
      </tp>
      <tp t="s">
        <v>#N/A Requesting Data...4192169304</v>
        <stp/>
        <stp>BDP|9541693808182769518</stp>
        <tr r="D29" s="446"/>
      </tp>
      <tp t="s">
        <v>#N/A Requesting Data...3148874801</v>
        <stp/>
        <stp>BDP|6024155984106720147</stp>
        <tr r="D26" s="2"/>
        <tr r="C14" s="89"/>
      </tp>
      <tp t="s">
        <v>#N/A Requesting Data...3808852732</v>
        <stp/>
        <stp>BDP|2361913501277478452</stp>
        <tr r="E203" s="89"/>
      </tp>
      <tp t="s">
        <v>#N/A Requesting Data...2037658894</v>
        <stp/>
        <stp>BDP|6772414405089956382</stp>
        <tr r="Z76" s="89"/>
        <tr r="AA76" s="89"/>
      </tp>
      <tp t="s">
        <v>#N/A Requesting Data...3998233308</v>
        <stp/>
        <stp>BDP|6839173327418343594</stp>
        <tr r="F7" s="446"/>
      </tp>
      <tp t="s">
        <v>#N/A Requesting Data...2095402415</v>
        <stp/>
        <stp>BDP|7248503210943138805</stp>
        <tr r="D68" s="89"/>
      </tp>
      <tp t="s">
        <v>#N/A Requesting Data...3222519343</v>
        <stp/>
        <stp>BDP|5668869742685379426</stp>
        <tr r="AA222" s="89"/>
        <tr r="Z222" s="89"/>
      </tp>
      <tp t="s">
        <v>#N/A Requesting Data...2240232725</v>
        <stp/>
        <stp>BDP|5036112677148006353</stp>
        <tr r="L14" s="338"/>
        <tr r="H55" s="338"/>
        <tr r="J14" s="338"/>
        <tr r="J55" s="338"/>
        <tr r="L55" s="338"/>
        <tr r="L55" s="338"/>
      </tp>
      <tp t="s">
        <v>#N/A Requesting Data...2661134343</v>
        <stp/>
        <stp>BDP|4481261054123222849</stp>
        <tr r="V213" s="89"/>
      </tp>
      <tp t="s">
        <v>#N/A Requesting Data...3760469403</v>
        <stp/>
        <stp>BDP|5237225300886746967</stp>
        <tr r="AA129" s="89"/>
        <tr r="Z129" s="89"/>
      </tp>
      <tp t="s">
        <v>#N/A Requesting Data...3025207138</v>
        <stp/>
        <stp>BDP|5098111893277025237</stp>
        <tr r="AI16" s="1"/>
      </tp>
      <tp t="s">
        <v>#N/A Requesting Data...2134377584</v>
        <stp/>
        <stp>BDP|3746009638598604087</stp>
        <tr r="AA136" s="89"/>
        <tr r="Z136" s="89"/>
      </tp>
      <tp t="s">
        <v>#N/A Requesting Data...2081450989</v>
        <stp/>
        <stp>BDP|7027987678572062314</stp>
        <tr r="AC44" s="1"/>
        <tr r="D36" s="446"/>
      </tp>
      <tp t="s">
        <v>#N/A Requesting Data...2484812228</v>
        <stp/>
        <stp>BDP|2739243071518004749</stp>
        <tr r="E138" s="89"/>
      </tp>
      <tp t="s">
        <v>#N/A N/A</v>
        <stp/>
        <stp>BDP|9400997768466424874</stp>
        <tr r="AV21" s="2"/>
        <tr r="AV22" s="2"/>
        <tr r="AV23" s="2"/>
        <tr r="R39" s="89"/>
        <tr r="R195" s="89"/>
        <tr r="R196" s="89"/>
        <tr r="R197" s="89"/>
      </tp>
      <tp t="e">
        <v>#N/A</v>
        <stp/>
        <stp>BDH|9832427656639875921</stp>
        <tr r="AS12" s="338"/>
      </tp>
      <tp t="e">
        <v>#N/A</v>
        <stp/>
        <stp>BDH|7010958550111077231</stp>
        <tr r="W16" s="252"/>
        <tr r="T16" s="252"/>
      </tp>
      <tp t="s">
        <v>#N/A Requesting Data...3100779403</v>
        <stp/>
        <stp>BDP|9450040674965070308</stp>
        <tr r="E26" s="2"/>
      </tp>
      <tp t="e">
        <v>#N/A</v>
        <stp/>
        <stp>BDH|2375673906255636901</stp>
        <tr r="W11" s="252"/>
        <tr r="T11" s="252"/>
      </tp>
      <tp t="s">
        <v>#N/A Requesting Data...1999653044</v>
        <stp/>
        <stp>BDP|7322810857195514754</stp>
        <tr r="T235" s="89"/>
      </tp>
      <tp t="s">
        <v>#N/A Requesting Data...3256166242</v>
        <stp/>
        <stp>BDP|2056152586557168472</stp>
        <tr r="O39" s="89"/>
      </tp>
      <tp>
        <v>132.22</v>
        <stp/>
        <stp>BDP|1232203967796078876|22</stp>
        <stp>ABNB Equity</stp>
        <stp>LAST PRICE</stp>
        <tr r="I12" s="338"/>
      </tp>
      <tp>
        <v>-0.10406755656003952</v>
        <stp/>
        <stp>BDP|3057300999621918080|22</stp>
        <stp>MSFT US 07/17/26 C500 Equity</stp>
        <stp>theta_mid_rt</stp>
        <tr r="AN19" s="2"/>
      </tp>
      <tp>
        <v>35.9</v>
        <stp/>
        <stp>BDP|2650520762982825878|22</stp>
        <stp>KWEB Equity</stp>
        <stp>LAST_PRICE</stp>
        <tr r="H12" s="252"/>
        <tr r="H12" s="252"/>
      </tp>
      <tp>
        <v>3.85</v>
        <stp/>
        <stp>BDP|239012915816136366|22</stp>
        <stp>MRVL US 03/20/26 P75 Equity</stp>
        <stp>bid</stp>
        <tr r="P14" s="2"/>
      </tp>
      <tp>
        <v>0.01</v>
        <stp/>
        <stp>BDP|14861555431928893617|22</stp>
        <stp>QQQ US 01/26/26 C627 Equity</stp>
        <stp>ask</stp>
        <tr r="L212" s="89"/>
      </tp>
      <tp t="s">
        <v>#N/A Requesting Data...2167215514</v>
        <stp/>
        <stp>BDP|2441593726955875997</stp>
        <tr r="L20" s="252"/>
        <tr r="L20" s="252"/>
      </tp>
      <tp t="s">
        <v>#N/A Requesting Data...2431900375</v>
        <stp/>
        <stp>BDP|8996292475495824173</stp>
        <tr r="O16" s="252"/>
      </tp>
      <tp t="e">
        <v>#N/A</v>
        <stp/>
        <stp>BDH|7339184917719167779</stp>
        <tr r="AU30" s="338"/>
      </tp>
      <tp t="s">
        <v>#N/A Requesting Data...2909114751</v>
        <stp/>
        <stp>BDP|9788785317823069539</stp>
        <tr r="C145" s="89"/>
      </tp>
      <tp t="s">
        <v>#N/A Requesting Data...3498394238</v>
        <stp/>
        <stp>BDP|3993805876862168756</stp>
        <tr r="U45" s="338"/>
      </tp>
      <tp t="s">
        <v>#N/A Requesting Data...2480833762</v>
        <stp/>
        <stp>BDP|5562894851780567134</stp>
        <tr r="AA203" s="89"/>
        <tr r="Z203" s="89"/>
      </tp>
      <tp t="s">
        <v>#N/A Requesting Data...4013577401</v>
        <stp/>
        <stp>BDP|5255036781235828107</stp>
        <tr r="D108" s="89"/>
      </tp>
      <tp t="s">
        <v>#N/A N/A</v>
        <stp/>
        <stp>BDP|6439491793934169661</stp>
        <tr r="AB236" s="89"/>
      </tp>
      <tp t="s">
        <v>#N/A Requesting Data...2092145024</v>
        <stp/>
        <stp>BDP|9754162438145550750</stp>
        <tr r="E15" s="2"/>
      </tp>
      <tp t="s">
        <v>#N/A Requesting Data...2565361606</v>
        <stp/>
        <stp>BDP|2257884823860585153</stp>
        <tr r="C144" s="89"/>
      </tp>
      <tp t="s">
        <v>#N/A Requesting Data...2850262651</v>
        <stp/>
        <stp>BDP|2463897743725982291</stp>
        <tr r="F20" s="446"/>
      </tp>
      <tp t="s">
        <v>#N/A Requesting Data...3803117710</v>
        <stp/>
        <stp>BDP|9344561247696579794</stp>
        <tr r="AH15" s="338"/>
        <tr r="AH39" s="338"/>
        <tr r="AI40" s="338"/>
      </tp>
      <tp t="s">
        <v>#N/A Requesting Data...3845353054</v>
        <stp/>
        <stp>BDP|8207706352447744484</stp>
        <tr r="AG35" s="1"/>
        <tr r="AG36" s="1"/>
      </tp>
      <tp t="e">
        <v>#N/A</v>
        <stp/>
        <stp>BDH|9027970398979600963</stp>
        <tr r="AR49" s="338"/>
        <tr r="AR48" s="338"/>
      </tp>
      <tp t="s">
        <v>#N/A Requesting Data...3152439205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Data...2835965134</v>
        <stp/>
        <stp>BDP|1654355529258739113</stp>
        <tr r="E153" s="89"/>
        <tr r="E154" s="89"/>
      </tp>
      <tp t="e">
        <v>#N/A</v>
        <stp/>
        <stp>BDH|8610117694920932969</stp>
        <tr r="AS49" s="338"/>
        <tr r="AS48" s="338"/>
      </tp>
      <tp t="s">
        <v>#N/A Requesting Data...3397454638</v>
        <stp/>
        <stp>BDP|1918834507510755077</stp>
        <tr r="S8" s="338"/>
      </tp>
      <tp t="s">
        <v>#N/A Requesting Data...3020665335</v>
        <stp/>
        <stp>BDP|1186915098941854922</stp>
        <tr r="P17" s="338"/>
      </tp>
      <tp t="s">
        <v>#N/A Requesting Data...3368085046</v>
        <stp/>
        <stp>BDP|3411193788855096676</stp>
        <tr r="AA26" s="2"/>
        <tr r="T14" s="89"/>
      </tp>
      <tp t="s">
        <v>#N/A N/A</v>
        <stp/>
        <stp>BDP|5430386408488532737</stp>
        <tr r="AB109" s="89"/>
      </tp>
      <tp t="s">
        <v>#N/A Requesting Data...2048929847</v>
        <stp/>
        <stp>BDP|9786265344314211258</stp>
        <tr r="AA17" s="2"/>
        <tr r="AA18" s="2"/>
      </tp>
      <tp t="s">
        <v>#N/A Requesting Data...2553076706</v>
        <stp/>
        <stp>BDP|3649600281764069044</stp>
        <tr r="T19" s="2"/>
      </tp>
      <tp t="s">
        <v>#N/A Requesting Data...3461506385</v>
        <stp/>
        <stp>BDP|9316566775525772740</stp>
        <tr r="O186" s="89"/>
      </tp>
      <tp t="s">
        <v>#N/A Requesting Data...2309802123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Data...3441420275</v>
        <stp/>
        <stp>BDP|2048477006706491956</stp>
        <tr r="X33" s="338"/>
      </tp>
      <tp t="s">
        <v>#N/A Requesting Data...4123553283</v>
        <stp/>
        <stp>BDP|8193756994096264929</stp>
        <tr r="AA154" s="89"/>
        <tr r="AA153" s="89"/>
        <tr r="Z153" s="89"/>
        <tr r="Z154" s="89"/>
      </tp>
      <tp t="s">
        <v>#N/A Requesting Data...2923486004</v>
        <stp/>
        <stp>BDP|4401866454658402822</stp>
        <tr r="D203" s="89"/>
      </tp>
      <tp t="s">
        <v>#N/A Requesting Data...3427882307</v>
        <stp/>
        <stp>BDP|8993500628312049404</stp>
        <tr r="E180" s="89"/>
      </tp>
      <tp t="s">
        <v>#N/A Requesting Data...2703896190</v>
        <stp/>
        <stp>BDP|1756053945708834498</stp>
        <tr r="Q33" s="338"/>
      </tp>
      <tp t="s">
        <v>#N/A Requesting Data...2204074824</v>
        <stp/>
        <stp>BDP|9762563002360150543</stp>
        <tr r="P9" s="338"/>
      </tp>
      <tp t="s">
        <v>#N/A Requesting Data...2189408845</v>
        <stp/>
        <stp>BDP|1617406885725244177</stp>
        <tr r="AA68" s="89"/>
        <tr r="Z68" s="89"/>
      </tp>
      <tp t="s">
        <v>#N/A Requesting Data...3406691013</v>
        <stp/>
        <stp>BDP|3266268590763139222</stp>
        <tr r="AA9" s="2"/>
      </tp>
      <tp t="s">
        <v>#N/A Requesting Data...2380885690</v>
        <stp/>
        <stp>BDP|8690033388548820123</stp>
        <tr r="AJ14" s="338"/>
        <tr r="AJ35" s="338"/>
      </tp>
      <tp t="s">
        <v>#N/A Requesting Data...3638935091</v>
        <stp/>
        <stp>BDP|8916289435834203428</stp>
        <tr r="O234" s="89"/>
      </tp>
      <tp t="s">
        <v>#N/A Requesting Data...4035904605</v>
        <stp/>
        <stp>BDP|5400835087744406808</stp>
        <tr r="AG29" s="338"/>
      </tp>
      <tp t="s">
        <v>#N/A Requesting Data...3527701913</v>
        <stp/>
        <stp>BDP|2272046972965931995</stp>
        <tr r="V188" s="89"/>
      </tp>
      <tp t="s">
        <v>#N/A Requesting Data...2466121602</v>
        <stp/>
        <stp>BDP|9280288157897826002</stp>
        <tr r="C138" s="89"/>
      </tp>
      <tp t="s">
        <v>#N/A Requesting Data...3664964422</v>
        <stp/>
        <stp>BDP|6141864573737095712</stp>
        <tr r="T178" s="89"/>
        <tr r="T179" s="89"/>
      </tp>
      <tp t="s">
        <v>#N/A Requesting Data...4209315292</v>
        <stp/>
        <stp>BDP|8865039534922905038</stp>
        <tr r="L13" s="252"/>
        <tr r="L13" s="252"/>
      </tp>
      <tp t="s">
        <v>#N/A Requesting Data...2602039676</v>
        <stp/>
        <stp>BDP|5629592674339849762</stp>
        <tr r="E75" s="89"/>
      </tp>
      <tp t="s">
        <v>#N/A N/A</v>
        <stp/>
        <stp>BDP|8508395004434515685</stp>
        <tr r="AB186" s="89"/>
        <tr r="AB187" s="89"/>
        <tr r="AB188" s="89"/>
      </tp>
      <tp>
        <v>20.55</v>
        <stp/>
        <stp>BDP|15170082727718363189|22</stp>
        <stp>META US 04/17/26 C750 Equity</stp>
        <stp>bid</stp>
        <tr r="K169" s="89"/>
      </tp>
      <tp>
        <v>40.9</v>
        <stp/>
        <stp>BDP|14111141271769378618|22</stp>
        <stp>META US 04/17/26 C690 Equity</stp>
        <stp>ask</stp>
        <tr r="Q11" s="2"/>
        <tr r="L170" s="89"/>
      </tp>
      <tp t="s">
        <v>#N/A Real Time</v>
        <stp/>
        <stp>BDP|12169995077563309253|22</stp>
        <stp>QQQ US 01/16/26 C635 Equity</stp>
        <stp>bid</stp>
        <tr r="K203" s="89"/>
      </tp>
      <tp t="s">
        <v>#N/A Real Time</v>
        <stp/>
        <stp>BDP|11293148887699984855|22</stp>
        <stp>4EM5P    5800 Index</stp>
        <stp>bid</stp>
        <tr r="K138" s="89"/>
      </tp>
      <tp t="s">
        <v>USD</v>
        <stp/>
        <stp>BDP|14253103693290071279|22</stp>
        <stp>AMZN US 07/17/26 C250 Equity</stp>
        <stp>QUOTED_CURRENCY_REALTIME</stp>
        <tr r="F234" s="89"/>
      </tp>
      <tp t="s">
        <v>#N/A Requesting Data...3400311630</v>
        <stp/>
        <stp>BDP|9888398554546738389</stp>
        <tr r="T76" s="89"/>
      </tp>
      <tp t="s">
        <v>#N/A Requesting Data...2453268442</v>
        <stp/>
        <stp>BDP|5587682882935341464</stp>
        <tr r="E90" s="89"/>
      </tp>
      <tp t="s">
        <v>#N/A Requesting Data...3852800405</v>
        <stp/>
        <stp>BDP|2131282893963648068</stp>
        <tr r="C19" s="2"/>
      </tp>
      <tp t="s">
        <v>#N/A Requesting Data...3730452408</v>
        <stp/>
        <stp>BDP|7230833674217968563</stp>
        <tr r="S36" s="338"/>
      </tp>
      <tp t="s">
        <v>#N/A Requesting Data...3323662103</v>
        <stp/>
        <stp>BDP|3603190722478324251</stp>
        <tr r="AI44" s="1"/>
      </tp>
      <tp t="s">
        <v>#N/A N/A</v>
        <stp/>
        <stp>BDP|1841797186795773188</stp>
        <tr r="AV10" s="2"/>
        <tr r="R7" s="89"/>
        <tr r="R8" s="89"/>
      </tp>
      <tp t="s">
        <v>#N/A Requesting Data...3245503572</v>
        <stp/>
        <stp>BDP|6392840872006556586</stp>
        <tr r="E8" s="1"/>
      </tp>
      <tp t="s">
        <v>#N/A Requesting Data...2147348711</v>
        <stp/>
        <stp>BDP|5263574927779802120</stp>
        <tr r="V45" s="338"/>
      </tp>
      <tp t="s">
        <v>#N/A Requesting Data...3515717328</v>
        <stp/>
        <stp>BDP|2344935394120970850</stp>
        <tr r="C108" s="89"/>
      </tp>
      <tp t="s">
        <v>#N/A Requesting Data...4205138348</v>
        <stp/>
        <stp>BDP|1305485589197843027</stp>
        <tr r="AJ17" s="338"/>
        <tr r="AJ18" s="338"/>
        <tr r="AH17" s="338"/>
        <tr r="AH18" s="338"/>
      </tp>
      <tp t="e">
        <v>#N/A</v>
        <stp/>
        <stp>BDH|1859022894392642004</stp>
        <tr r="AP42" s="338"/>
        <tr r="AP41" s="338"/>
      </tp>
      <tp t="s">
        <v>#N/A Requesting Data...4217253092</v>
        <stp/>
        <stp>BDP|9065585755010767336</stp>
        <tr r="F17" s="252"/>
      </tp>
      <tp t="e">
        <v>#N/A</v>
        <stp/>
        <stp>BDH|2734053018858031144</stp>
        <tr r="J6" s="252"/>
      </tp>
      <tp t="s">
        <v>#N/A Requesting Data...2894111628</v>
        <stp/>
        <stp>BDP|3271990383928035073</stp>
        <tr r="K10" s="1"/>
        <tr r="K18" s="1"/>
      </tp>
      <tp t="s">
        <v>#N/A Requesting Data...3576905462</v>
        <stp/>
        <stp>BDP|7038982583049677518</stp>
        <tr r="T108" s="89"/>
      </tp>
      <tp t="s">
        <v>#N/A Requesting Data...3639214916</v>
        <stp/>
        <stp>BDP|1004337573258431787</stp>
        <tr r="L8" s="338"/>
        <tr r="L9" s="338"/>
        <tr r="H8" s="338"/>
        <tr r="H9" s="338"/>
      </tp>
      <tp t="s">
        <v>#N/A Requesting Data...2442958107</v>
        <stp/>
        <stp>BDP|2913836118172985362</stp>
        <tr r="X47" s="338"/>
      </tp>
      <tp t="s">
        <v>#N/A N/A</v>
        <stp/>
        <stp>BDP|2658140518380678816</stp>
        <tr r="R95" s="89"/>
        <tr r="R96" s="89"/>
        <tr r="R101" s="89"/>
        <tr r="R102" s="89"/>
      </tp>
      <tp t="s">
        <v>#N/A Requesting Data...3167123075</v>
        <stp/>
        <stp>BDP|2322958882768230140</stp>
        <tr r="E178" s="89"/>
        <tr r="E179" s="89"/>
      </tp>
      <tp t="s">
        <v>#N/A Requesting Data...2732651791</v>
        <stp/>
        <stp>BDP|2786473499167807238</stp>
        <tr r="AI45" s="338"/>
      </tp>
      <tp t="s">
        <v>#N/A Requesting Data...3065087570</v>
        <stp/>
        <stp>BDP|9928781162902167014</stp>
        <tr r="AA171" s="89"/>
        <tr r="Z171" s="89"/>
      </tp>
      <tp t="s">
        <v>#N/A Requesting Data...2814885320</v>
        <stp/>
        <stp>BDP|6785747401219846296</stp>
        <tr r="S41" s="338"/>
      </tp>
      <tp t="s">
        <v>#N/A Requesting Data...3352850369</v>
        <stp/>
        <stp>BDP|9500211458423629792</stp>
        <tr r="V31" s="338"/>
      </tp>
      <tp t="s">
        <v>#N/A Requesting Data...3822020182</v>
        <stp/>
        <stp>BDP|3991525680666985223</stp>
        <tr r="C171" s="89"/>
      </tp>
      <tp t="s">
        <v>#N/A Requesting Data...4265152745</v>
        <stp/>
        <stp>BDP|4587517495856843492</stp>
        <tr r="T16" s="338"/>
        <tr r="T38" s="338"/>
      </tp>
      <tp t="s">
        <v>#N/A N/A</v>
        <stp/>
        <stp>BDP|8471485932241814460</stp>
        <tr r="AQ4" s="2"/>
        <tr r="AB234" s="89"/>
      </tp>
      <tp t="s">
        <v>#N/A Requesting Data...1974148024</v>
        <stp/>
        <stp>BDP|2397499487206466291</stp>
        <tr r="O237" s="89"/>
      </tp>
      <tp t="s">
        <v>#N/A N/A</v>
        <stp/>
        <stp>BDP|8582278211013363216</stp>
        <tr r="AI17" s="1"/>
      </tp>
      <tp t="s">
        <v>#N/A Requesting Data...3564125328</v>
        <stp/>
        <stp>BDP|2830595975422333866</stp>
        <tr r="E235" s="89"/>
      </tp>
      <tp t="s">
        <v>#N/A Requesting Data...3040647014</v>
        <stp/>
        <stp>BDP|9965794027725386324</stp>
        <tr r="AB25" s="1"/>
        <tr r="AB28" s="1"/>
        <tr r="F26" s="446"/>
      </tp>
      <tp t="s">
        <v>#N/A N/A</v>
        <stp/>
        <stp>BDP|1354781798976465315</stp>
        <tr r="R40" s="89"/>
      </tp>
      <tp t="s">
        <v>#N/A Requesting Data...3130664881</v>
        <stp/>
        <stp>BDP|1269563299172286598</stp>
        <tr r="V56" s="89"/>
      </tp>
      <tp t="e">
        <v>#N/A</v>
        <stp/>
        <stp>BDH|5833733393457638682</stp>
        <tr r="AP36" s="338"/>
      </tp>
      <tp t="s">
        <v>#N/A Requesting Data...3164431059</v>
        <stp/>
        <stp>BDP|3885846074322660492</stp>
        <tr r="AG48" s="1"/>
      </tp>
      <tp t="s">
        <v>#N/A Requesting Data...2474417204</v>
        <stp/>
        <stp>BDP|6933090956031492852</stp>
        <tr r="E39" s="89"/>
      </tp>
      <tp t="s">
        <v>#N/A Requesting Data...2574448934</v>
        <stp/>
        <stp>BDP|1001769831296786978</stp>
        <tr r="AI45" s="338"/>
        <tr r="AK45" s="338"/>
      </tp>
      <tp t="s">
        <v>#N/A Requesting Data...3042611849</v>
        <stp/>
        <stp>BDP|2779597998256859293</stp>
        <tr r="E188" s="89"/>
      </tp>
      <tp t="s">
        <v>#N/A Requesting Data...3166506994</v>
        <stp/>
        <stp>BDP|3394479430858909693</stp>
        <tr r="C96" s="89"/>
      </tp>
      <tp t="s">
        <v>#N/A Requesting Data...4283622756</v>
        <stp/>
        <stp>BDP|4524000010539321624</stp>
        <tr r="V129" s="89"/>
      </tp>
      <tp t="s">
        <v>#N/A Requesting Data...2945628222</v>
        <stp/>
        <stp>BDP|8558300512371318103</stp>
        <tr r="C205" s="89"/>
      </tp>
      <tp t="s">
        <v>#N/A N/A</v>
        <stp/>
        <stp>BDP|2140911238616808459</stp>
        <tr r="AQ11" s="2"/>
        <tr r="AQ12" s="2"/>
        <tr r="AB169" s="89"/>
        <tr r="AB170" s="89"/>
        <tr r="AB171" s="89"/>
        <tr r="AB180" s="89"/>
        <tr r="AB233" s="89"/>
      </tp>
      <tp t="s">
        <v>#N/A Requesting Data...2955191146</v>
        <stp/>
        <stp>BDP|3332604227028093513</stp>
        <tr r="S13" s="338"/>
      </tp>
      <tp t="s">
        <v>#N/A Requesting Data...4141022092</v>
        <stp/>
        <stp>BDP|7403651280812138158</stp>
        <tr r="L15" s="338"/>
        <tr r="J15" s="338"/>
        <tr r="L16" s="338"/>
        <tr r="J16" s="338"/>
        <tr r="L17" s="338"/>
        <tr r="J17" s="338"/>
        <tr r="L38" s="338"/>
        <tr r="J38" s="338"/>
        <tr r="L39" s="338"/>
        <tr r="J39" s="338"/>
        <tr r="L44" s="338"/>
        <tr r="J44" s="338"/>
        <tr r="L52" s="338"/>
        <tr r="J52" s="338"/>
      </tp>
      <tp t="s">
        <v>#N/A Requesting Data...2237290291</v>
        <stp/>
        <stp>BDP|3948059027399786291</stp>
        <tr r="C102" s="89"/>
      </tp>
      <tp t="s">
        <v>USD</v>
        <stp/>
        <stp>BDP|762828546256908007|22</stp>
        <stp>QQQ US 01/29/26 P628 Equity</stp>
        <stp>QUOTED_CURRENCY_REALTIME</stp>
        <tr r="G24" s="2"/>
        <tr r="F81" s="89"/>
      </tp>
      <tp t="s">
        <v>#N/A Real Time</v>
        <stp/>
        <stp>BDP|11422101846013417478|22</stp>
        <stp>SPXW US 12/31/25 C6950 Index</stp>
        <stp>bid</stp>
        <tr r="K160" s="89"/>
      </tp>
      <tp>
        <v>33.729999999999997</v>
        <stp/>
        <stp>BDP|12794319931511644694|22</stp>
        <stp>TSM US 06/18/26 C340 Equity</stp>
        <stp>mid</stp>
        <tr r="L25" s="2"/>
      </tp>
      <tp t="s">
        <v>#N/A N/A</v>
        <stp/>
        <stp>BDP|4960882964263664299</stp>
        <tr r="C24" s="2"/>
      </tp>
      <tp t="s">
        <v>#N/A Requesting Data...3661678142</v>
        <stp/>
        <stp>BDP|6535458296649412984</stp>
        <tr r="T188" s="89"/>
      </tp>
      <tp t="s">
        <v>#N/A Requesting Data...3900199406</v>
        <stp/>
        <stp>BDP|8888687617413548780</stp>
        <tr r="L54" s="338"/>
        <tr r="J54" s="338"/>
      </tp>
      <tp t="s">
        <v>#N/A Requesting Data...2489180673</v>
        <stp/>
        <stp>BDP|9388393805602203373</stp>
        <tr r="V39" s="89"/>
      </tp>
      <tp t="s">
        <v>#N/A Requesting Data...2008670606</v>
        <stp/>
        <stp>BDP|2329729297960563787</stp>
        <tr r="U42" s="338"/>
      </tp>
      <tp t="s">
        <v>#N/A Requesting Data...2565435628</v>
        <stp/>
        <stp>BDP|5055978459833341163</stp>
        <tr r="S40" s="338"/>
      </tp>
      <tp t="s">
        <v>#N/A Requesting Data...2880278137</v>
        <stp/>
        <stp>BDP|9916250733583306071</stp>
        <tr r="V95" s="89"/>
      </tp>
      <tp t="s">
        <v>#N/A Requesting Data...2434523842</v>
        <stp/>
        <stp>BDP|4721614875256887832</stp>
        <tr r="AR13" s="2"/>
      </tp>
      <tp t="s">
        <v>#N/A Requesting Data...2981055572</v>
        <stp/>
        <stp>BDP|7681331339914567810</stp>
        <tr r="S47" s="338"/>
      </tp>
      <tp t="s">
        <v>#N/A N/A</v>
        <stp/>
        <stp>BDP|4371199915239626618</stp>
        <tr r="AB115" s="89"/>
        <tr r="AB116" s="89"/>
      </tp>
      <tp t="s">
        <v>#N/A Requesting Data...2001231467</v>
        <stp/>
        <stp>BDP|4926041887351657654</stp>
        <tr r="D137" s="89"/>
      </tp>
      <tp t="e">
        <v>#N/A</v>
        <stp/>
        <stp>BDH|8978543574169094806</stp>
        <tr r="AN37" s="338"/>
      </tp>
      <tp t="s">
        <v>#N/A Requesting Data...2443811685</v>
        <stp/>
        <stp>BDP|9866940913692641877</stp>
        <tr r="AF23" s="1"/>
        <tr r="AF24" s="1"/>
      </tp>
      <tp t="s">
        <v>#N/A Requesting Data...4219656713</v>
        <stp/>
        <stp>BDP|8737954890503872047</stp>
        <tr r="D33" s="446"/>
      </tp>
      <tp t="s">
        <v>#N/A Requesting Data...3160303574</v>
        <stp/>
        <stp>BDP|2112788937098040510</stp>
        <tr r="AJ10" s="338"/>
        <tr r="AJ11" s="338"/>
        <tr r="AJ33" s="338"/>
        <tr r="AH10" s="338"/>
        <tr r="AH11" s="338"/>
        <tr r="AH33" s="338"/>
      </tp>
      <tp t="s">
        <v>#N/A Requesting Data...3943723924</v>
        <stp/>
        <stp>BDP|4440081808298299792</stp>
        <tr r="AK42" s="338"/>
        <tr r="AI42" s="338"/>
      </tp>
      <tp t="s">
        <v>#N/A Requesting Data...3731085711</v>
        <stp/>
        <stp>BDP|2501985451390717549</stp>
        <tr r="AA19" s="2"/>
      </tp>
      <tp t="s">
        <v>#N/A Requesting Data...4280922280</v>
        <stp/>
        <stp>BDP|6735248014207248991</stp>
        <tr r="T49" s="338"/>
      </tp>
      <tp t="s">
        <v>#N/A Requesting Data...3548776903</v>
        <stp/>
        <stp>BDP|2139028585213834226</stp>
        <tr r="AA123" s="89"/>
        <tr r="Z123" s="89"/>
      </tp>
      <tp t="s">
        <v>#N/A Requesting Data...2816014817</v>
        <stp/>
        <stp>BDP|8786342763721865752</stp>
        <tr r="P31" s="338"/>
      </tp>
      <tp t="s">
        <v>#N/A Requesting Data...4104270521</v>
        <stp/>
        <stp>BDP|7001248851652159998</stp>
        <tr r="T34" s="338"/>
      </tp>
      <tp t="s">
        <v>#N/A Requesting Data...3058690947</v>
        <stp/>
        <stp>BDP|1914533822549360466</stp>
        <tr r="K14" s="1"/>
      </tp>
      <tp t="s">
        <v>#N/A Requesting Data...2083679721</v>
        <stp/>
        <stp>BDP|9650633421404369258</stp>
        <tr r="T211" s="89"/>
      </tp>
      <tp t="s">
        <v>#N/A Requesting Data...3315005799</v>
        <stp/>
        <stp>BDP|9762687753917905669</stp>
        <tr r="T12" s="338"/>
      </tp>
      <tp t="s">
        <v>#N/A N/A</v>
        <stp/>
        <stp>BDP|2220703499371845606</stp>
        <tr r="R237" s="89"/>
      </tp>
      <tp t="s">
        <v>#N/A Requesting Data...3999533676</v>
        <stp/>
        <stp>BDP|9615961074615640914</stp>
        <tr r="AJ50" s="338"/>
        <tr r="AJ51" s="338"/>
        <tr r="AK34" s="338"/>
        <tr r="AK35" s="338"/>
        <tr r="AK36" s="338"/>
        <tr r="AK37" s="338"/>
      </tp>
      <tp t="s">
        <v>#N/A Requesting Data...3533569849</v>
        <stp/>
        <stp>BDP|6241611932378988086</stp>
        <tr r="G42" s="446"/>
      </tp>
      <tp t="s">
        <v>#N/A Requesting Data...2107736862</v>
        <stp/>
        <stp>BDP|6296263756973290900</stp>
        <tr r="F21" s="2"/>
      </tp>
      <tp t="s">
        <v>#N/A Requesting Data...2737081840</v>
        <stp/>
        <stp>BDP|7985659615982817917</stp>
        <tr r="V36" s="338"/>
      </tp>
      <tp t="s">
        <v>#N/A Requesting Data...2835534081</v>
        <stp/>
        <stp>BDP|3686904656286506250</stp>
        <tr r="O69" s="89"/>
      </tp>
      <tp t="s">
        <v>#N/A Requesting Data...2734865201</v>
        <stp/>
        <stp>BDP|2754061954929434510</stp>
        <tr r="D62" s="89"/>
      </tp>
      <tp t="s">
        <v>#N/A Requesting Data...2752285829</v>
        <stp/>
        <stp>BDP|8637443246353684034</stp>
        <tr r="T51" s="338"/>
      </tp>
      <tp t="s">
        <v>#N/A Requesting Data...2603990634</v>
        <stp/>
        <stp>BDP|7254106586446704322</stp>
        <tr r="AA55" s="89"/>
        <tr r="Z55" s="89"/>
      </tp>
      <tp t="s">
        <v>#N/A N/A</v>
        <stp/>
        <stp>BDP|8959047049495095258</stp>
        <tr r="AV17" s="2"/>
        <tr r="AV18" s="2"/>
        <tr r="AV19" s="2"/>
        <tr r="AV20" s="2"/>
        <tr r="R26" s="89"/>
        <tr r="R27" s="89"/>
        <tr r="R235" s="89"/>
      </tp>
      <tp t="s">
        <v>#N/A Requesting Data...3883993828</v>
        <stp/>
        <stp>BDP|5187006175490775958</stp>
        <tr r="N7" s="252"/>
        <tr r="N7" s="252"/>
      </tp>
      <tp t="s">
        <v>#N/A Requesting Data...2889924991</v>
        <stp/>
        <stp>BDP|2612160096671704068</stp>
        <tr r="D31" s="446"/>
      </tp>
      <tp t="s">
        <v>#N/A Requesting Data...2340166754</v>
        <stp/>
        <stp>BDP|7517755008088933364</stp>
        <tr r="AG16" s="1"/>
      </tp>
      <tp t="s">
        <v>#N/A Requesting Data...2409799796</v>
        <stp/>
        <stp>BDP|4718173344583097938</stp>
        <tr r="F16" s="252"/>
      </tp>
      <tp t="s">
        <v>#N/A Requesting Data...2772846183</v>
        <stp/>
        <stp>BDP|2268545091931148418</stp>
        <tr r="T21" s="2"/>
        <tr r="O195" s="89"/>
      </tp>
      <tp t="s">
        <v>#N/A Requesting Data...2224787316</v>
        <stp/>
        <stp>BDP|9318183699928316256</stp>
        <tr r="D43" s="446"/>
      </tp>
      <tp t="s">
        <v>#N/A Requesting Data...3696132987</v>
        <stp/>
        <stp>BDP|2397389796744963701</stp>
        <tr r="AK42" s="338"/>
      </tp>
      <tp t="s">
        <v>#N/A Requesting Data...4287646266</v>
        <stp/>
        <stp>BDP|2130704157473529871</stp>
        <tr r="C16" s="2"/>
      </tp>
      <tp t="s">
        <v>#N/A Requesting Data...3914137906</v>
        <stp/>
        <stp>BDP|9352295318971282043</stp>
        <tr r="T102" s="89"/>
      </tp>
      <tp t="s">
        <v>#N/A Requesting Data...3783763546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Data...3232574290</v>
        <stp/>
        <stp>BDP|9109255824295024740</stp>
        <tr r="E4" s="2"/>
      </tp>
      <tp t="s">
        <v>#N/A Requesting Data...3861953706</v>
        <stp/>
        <stp>BDP|4946496227111068830</stp>
        <tr r="T101" s="89"/>
      </tp>
      <tp t="s">
        <v>#N/A Requesting Data...3594015734</v>
        <stp/>
        <stp>BDP|4411149358442996952</stp>
        <tr r="O11" s="252"/>
      </tp>
      <tp t="s">
        <v>#N/A Requesting Data...2483731861</v>
        <stp/>
        <stp>BDP|8633363721614159645</stp>
        <tr r="G8" s="446"/>
      </tp>
      <tp>
        <v>24.05</v>
        <stp/>
        <stp>BDP|16895049281307982456|22</stp>
        <stp>AVGO US 06/18/26 P300 Equity</stp>
        <stp>ask</stp>
        <tr r="L224" s="89"/>
      </tp>
      <tp>
        <v>70</v>
        <stp/>
        <stp>BDP|18281957532617946909|22</stp>
        <stp>META US 07/17/26 C680 Equity</stp>
        <stp>ask</stp>
        <tr r="L233" s="89"/>
      </tp>
      <tp>
        <v>82.93</v>
        <stp/>
        <stp>BDP|2279876738225149449|22</stp>
        <stp>MRVL US Equity</stp>
        <stp>LAST_PRICE</stp>
        <tr r="Z13" s="2"/>
        <tr r="Z14" s="2"/>
        <tr r="Z15" s="2"/>
        <tr r="Z16" s="2"/>
        <tr r="S62" s="89"/>
        <tr r="S63" s="89"/>
      </tp>
      <tp>
        <v>2.6</v>
        <stp/>
        <stp>BDP|16321192409833246773|22</stp>
        <stp>ASML US 01/23/26 P1100 Equity</stp>
        <stp>ask</stp>
        <tr r="L50" s="89"/>
      </tp>
      <tp>
        <v>-0.38652956485748291</v>
        <stp/>
        <stp>BDP|1393123865485650562|22</stp>
        <stp>MRVL US 03/20/26 P80 Equity</stp>
        <stp>DELTA_MID_RT</stp>
        <tr r="AF15" s="2"/>
        <tr r="W62" s="89"/>
      </tp>
      <tp t="s">
        <v>#N/A Requesting Data...4288835906</v>
        <stp/>
        <stp>BDP|9567827728965373264</stp>
        <tr r="Q9" s="338"/>
      </tp>
      <tp t="s">
        <v>#N/A Requesting Data...2758152214</v>
        <stp/>
        <stp>BDP|9669031297401111598</stp>
        <tr r="AG33" s="1"/>
        <tr r="AG34" s="1"/>
      </tp>
      <tp t="s">
        <v>#N/A N/A</v>
        <stp/>
        <stp>BDP|5693044851924916002</stp>
        <tr r="T82" s="89"/>
      </tp>
      <tp t="s">
        <v>#N/A N/A</v>
        <stp/>
        <stp>BDP|4283940605309327082</stp>
        <tr r="AV5" s="2"/>
        <tr r="AV6" s="2"/>
      </tp>
      <tp t="s">
        <v>#N/A Requesting Data...2649531852</v>
        <stp/>
        <stp>BDP|7846163779046776380</stp>
        <tr r="V8" s="338"/>
      </tp>
      <tp t="s">
        <v>#N/A Requesting Data...2245620296</v>
        <stp/>
        <stp>BDP|3958804124584137945</stp>
        <tr r="T22" s="2"/>
        <tr r="O196" s="89"/>
      </tp>
      <tp t="s">
        <v>#N/A Requesting Data...2365700049</v>
        <stp/>
        <stp>BDP|7798787343353582310</stp>
        <tr r="O233" s="89"/>
      </tp>
      <tp t="s">
        <v>#N/A Requesting Data...2982839329</v>
        <stp/>
        <stp>BDP|1272798819383873033</stp>
        <tr r="D10" s="2"/>
        <tr r="C8" s="89"/>
      </tp>
      <tp t="s">
        <v>#N/A Requesting Data...2952414916</v>
        <stp/>
        <stp>BDP|4966659791349467604</stp>
        <tr r="AG45" s="338"/>
      </tp>
      <tp t="s">
        <v>#N/A Requesting Data...2277379145</v>
        <stp/>
        <stp>BDP|2906346500884364176</stp>
        <tr r="AJ31" s="338"/>
        <tr r="AJ32" s="338"/>
      </tp>
      <tp t="s">
        <v>#N/A Requesting Data...3988980098</v>
        <stp/>
        <stp>BDP|3419727698730200952</stp>
        <tr r="AR5" s="2"/>
        <tr r="AR6" s="2"/>
      </tp>
      <tp t="s">
        <v>#N/A Requesting Data...2227499376</v>
        <stp/>
        <stp>BDP|6472525957406128491</stp>
        <tr r="AA63" s="89"/>
        <tr r="Z63" s="89"/>
      </tp>
      <tp t="s">
        <v>#N/A Requesting Data...3801442319</v>
        <stp/>
        <stp>BDP|6899414930851030473</stp>
        <tr r="V50" s="89"/>
      </tp>
      <tp t="s">
        <v>#N/A Requesting Data...2182316492</v>
        <stp/>
        <stp>BDP|1105691956700330633</stp>
        <tr r="AG39" s="1"/>
      </tp>
      <tp t="s">
        <v>#N/A Requesting Data...3258022656</v>
        <stp/>
        <stp>BDP|7494523709231730773</stp>
        <tr r="F31" s="446"/>
      </tp>
      <tp t="s">
        <v>#N/A Requesting Data...2720154434</v>
        <stp/>
        <stp>BDP|2743037479982482367</stp>
        <tr r="AF46" s="1"/>
      </tp>
      <tp t="e">
        <v>#N/A</v>
        <stp/>
        <stp>BDH|9853450435833177960</stp>
        <tr r="AM42" s="338"/>
        <tr r="AM41" s="338"/>
      </tp>
      <tp t="s">
        <v>#N/A Requesting Data...3132884889</v>
        <stp/>
        <stp>BDP|8549451961438864644</stp>
        <tr r="AJ55" s="338"/>
        <tr r="AK14" s="338"/>
        <tr r="AK55" s="338"/>
      </tp>
      <tp t="s">
        <v>#N/A Requesting Data...2125739308</v>
        <stp/>
        <stp>BDP|9945382899790540700</stp>
        <tr r="AA138" s="89"/>
        <tr r="Z138" s="89"/>
      </tp>
      <tp t="s">
        <v>#N/A Requesting Data...3603243550</v>
        <stp/>
        <stp>BDP|1051127841111916176</stp>
        <tr r="P16" s="252"/>
      </tp>
      <tp t="s">
        <v>#N/A Requesting Data...3116460075</v>
        <stp/>
        <stp>BDP|2199559048282875569</stp>
        <tr r="AI18" s="338"/>
      </tp>
      <tp t="s">
        <v>#N/A Requesting Data...4112515893</v>
        <stp/>
        <stp>BDP|4374742715501301730</stp>
        <tr r="N16" s="252"/>
        <tr r="N16" s="252"/>
      </tp>
      <tp t="s">
        <v>#N/A Requesting Data...3452503920</v>
        <stp/>
        <stp>BDP|9063402768959888626</stp>
        <tr r="AA22" s="2"/>
        <tr r="T196" s="89"/>
      </tp>
      <tp t="s">
        <v>#N/A Requesting Data...2645805025</v>
        <stp/>
        <stp>BDP|3004206956470481008</stp>
        <tr r="AA20" s="89"/>
        <tr r="Z20" s="89"/>
      </tp>
      <tp t="s">
        <v>#N/A Requesting Data...4170399840</v>
        <stp/>
        <stp>BDP|8764335623844685936</stp>
        <tr r="T225" s="89"/>
      </tp>
      <tp t="s">
        <v>#N/A Requesting Data...3916734447</v>
        <stp/>
        <stp>BDP|1615244074723761330</stp>
        <tr r="T36" s="338"/>
      </tp>
      <tp t="s">
        <v>#N/A Requesting Data...4074624113</v>
        <stp/>
        <stp>BDP|8326860540126523632</stp>
        <tr r="E129" s="89"/>
      </tp>
      <tp t="s">
        <v>#N/A Requesting Data...3928777877</v>
        <stp/>
        <stp>BDP|5790626169004593599</stp>
        <tr r="F40" s="446"/>
      </tp>
      <tp t="s">
        <v>#N/A Requesting Data...4231137286</v>
        <stp/>
        <stp>BDP|9726257024364768910</stp>
        <tr r="O19" s="252"/>
      </tp>
      <tp t="s">
        <v>#N/A Requesting Data...2819014372</v>
        <stp/>
        <stp>BDP|3121965407037939996</stp>
        <tr r="T10" s="338"/>
      </tp>
      <tp t="s">
        <v>#N/A Requesting Data...2807175030</v>
        <stp/>
        <stp>BDP|7599424229276827376</stp>
        <tr r="AF18" s="1"/>
        <tr r="AF19" s="1"/>
      </tp>
      <tp t="s">
        <v>#N/A Requesting Data...2234633955</v>
        <stp/>
        <stp>BDP|7467390538945749637</stp>
        <tr r="AD9" s="2"/>
      </tp>
      <tp t="s">
        <v>#N/A Requesting Data...3763543290</v>
        <stp/>
        <stp>BDP|5177333853422420541</stp>
        <tr r="AI43" s="1"/>
      </tp>
      <tp t="s">
        <v>#N/A Requesting Data...2697220249</v>
        <stp/>
        <stp>BDP|6940186872470420463</stp>
        <tr r="AI42" s="1"/>
      </tp>
      <tp t="s">
        <v>#N/A Requesting Data...2511901701</v>
        <stp/>
        <stp>BDP|2781273192095754848</stp>
        <tr r="P37" s="338"/>
      </tp>
      <tp t="s">
        <v>#N/A Requesting Data...3530848822</v>
        <stp/>
        <stp>BDP|5028796441871860363</stp>
        <tr r="D7" s="2"/>
        <tr r="C223" s="89"/>
      </tp>
      <tp t="s">
        <v>#N/A Requesting Data...3254131102</v>
        <stp/>
        <stp>BDP|5440482774885960773</stp>
        <tr r="AH36" s="338"/>
      </tp>
      <tp t="s">
        <v>#N/A Requesting Data...2638042620</v>
        <stp/>
        <stp>BDP|8903483087139985997</stp>
        <tr r="S8" s="252"/>
      </tp>
      <tp t="s">
        <v>#N/A Requesting Data...2416532534</v>
        <stp/>
        <stp>BDP|1490932935796586918</stp>
        <tr r="T19" s="89"/>
      </tp>
      <tp t="s">
        <v>#N/A Requesting Data...3749528335</v>
        <stp/>
        <stp>BDP|2357040805921494704</stp>
        <tr r="AJ10" s="338"/>
        <tr r="AJ11" s="338"/>
        <tr r="AJ33" s="338"/>
      </tp>
      <tp t="e">
        <v>#N/A</v>
        <stp/>
        <stp>BDH|1209557527745412723</stp>
        <tr r="AS29" s="338"/>
      </tp>
      <tp t="s">
        <v>#N/A Requesting Data...2968089860</v>
        <stp/>
        <stp>BDP|6846041857277848049</stp>
        <tr r="T236" s="89"/>
      </tp>
      <tp t="s">
        <v>#N/A Requesting Data...3681513865</v>
        <stp/>
        <stp>BDP|2556399295188869464</stp>
        <tr r="Q35" s="338"/>
      </tp>
      <tp t="s">
        <v>#N/A Requesting Data...2091568724</v>
        <stp/>
        <stp>BDP|2785695221570324283</stp>
        <tr r="O188" s="89"/>
      </tp>
      <tp t="s">
        <v>#N/A Requesting Data...2899114302</v>
        <stp/>
        <stp>BDP|1913639431982971268</stp>
        <tr r="V122" s="89"/>
      </tp>
      <tp t="s">
        <v>#N/A Requesting Data...3494835916</v>
        <stp/>
        <stp>BDP|8103428543709687520</stp>
        <tr r="G5" s="446"/>
        <tr r="G6" s="446"/>
      </tp>
      <tp t="s">
        <v>#N/A Requesting Data...2412836004</v>
        <stp/>
        <stp>BDP|5430094244624859152</stp>
        <tr r="D34" s="446"/>
      </tp>
      <tp t="s">
        <v>#N/A Requesting Data...3851408501</v>
        <stp/>
        <stp>BDP|5284294530751812164</stp>
        <tr r="AI12" s="338"/>
      </tp>
      <tp t="s">
        <v>#N/A Requesting Data...3322429092</v>
        <stp/>
        <stp>BDP|2593154816901666757</stp>
        <tr r="N13" s="252"/>
        <tr r="N13" s="252"/>
      </tp>
      <tp t="s">
        <v>#N/A Requesting Data...4050817438</v>
        <stp/>
        <stp>BDP|9638513960499697749</stp>
        <tr r="T46" s="338"/>
      </tp>
      <tp>
        <v>43.4</v>
        <stp/>
        <stp>BDP|16085343363608571045|22</stp>
        <stp>LITE US 03/20/26 C420 Equity</stp>
        <stp>ask</stp>
        <tr r="Q10" s="2"/>
        <tr r="L8" s="89"/>
      </tp>
      <tp>
        <v>672.97</v>
        <stp/>
        <stp>BDP|3807768373389777345|22</stp>
        <stp>META Equity</stp>
        <stp>LAST_PRICE</stp>
        <tr r="I25" s="1"/>
        <tr r="I28" s="1"/>
      </tp>
      <tp>
        <v>103.26</v>
        <stp/>
        <stp>BDP|7985005465703992696|22</stp>
        <stp>AKAM Equity</stp>
        <stp>LAST_PRICE</stp>
        <tr r="I37" s="1"/>
      </tp>
      <tp>
        <v>109.29</v>
        <stp/>
        <stp>BDP|11512636158714040679|22</stp>
        <stp>GDX EQUITY</stp>
        <stp>LAST_PRICE</stp>
        <tr r="I10" s="1"/>
      </tp>
      <tp t="s">
        <v>USD</v>
        <stp/>
        <stp>BDP|15724339035979194733|22</stp>
        <stp>META US 02/27/26 C660 Equity</stp>
        <stp>QUOTED_CURRENCY_REALTIME</stp>
        <tr r="F180" s="89"/>
      </tp>
      <tp t="s">
        <v>USD</v>
        <stp/>
        <stp>BDP|13238054977426083009|22</stp>
        <stp>META US 04/17/26 P590 Equity</stp>
        <stp>QUOTED_CURRENCY_REALTIME</stp>
        <tr r="F171" s="89"/>
      </tp>
      <tp t="s">
        <v>#N/A Requesting Data...3984529503</v>
        <stp/>
        <stp>BDP|9005897765572380053</stp>
        <tr r="E16" s="2"/>
      </tp>
      <tp t="s">
        <v>#N/A Requesting Data...2801706671</v>
        <stp/>
        <stp>BDP|7147805784283812178</stp>
        <tr r="Q40" s="338"/>
      </tp>
      <tp t="s">
        <v>#N/A N/A</v>
        <stp/>
        <stp>BDP|1163242074811817033</stp>
        <tr r="AV4" s="2"/>
        <tr r="R234" s="89"/>
      </tp>
      <tp t="s">
        <v>#N/A Requesting Data...2158809464</v>
        <stp/>
        <stp>BDP|2926137671092226333</stp>
        <tr r="P14" s="252"/>
      </tp>
      <tp t="e">
        <v>#N/A</v>
        <stp/>
        <stp>BDH|2448855848258400372</stp>
        <tr r="AP10" s="338"/>
        <tr r="AP11" s="338"/>
        <tr r="AP33" s="338"/>
      </tp>
      <tp t="s">
        <v>#N/A Requesting Data...3188941811</v>
        <stp/>
        <stp>BDP|4780459414043985746</stp>
        <tr r="S33" s="338"/>
      </tp>
      <tp t="s">
        <v>#N/A Requesting Data...2306658788</v>
        <stp/>
        <stp>BDP|3715220583989463590</stp>
        <tr r="AB27" s="1"/>
        <tr r="AB29" s="1"/>
        <tr r="F30" s="446"/>
      </tp>
      <tp t="s">
        <v>#N/A Requesting Data...2292580412</v>
        <stp/>
        <stp>BDP|3983744460122577503</stp>
        <tr r="AF39" s="1"/>
        <tr r="AF36" s="338"/>
      </tp>
      <tp t="s">
        <v>#N/A Requesting Data...2204451352</v>
        <stp/>
        <stp>BDP|5013605744345919757</stp>
        <tr r="D20" s="2"/>
      </tp>
      <tp t="s">
        <v>#N/A Requesting Data...3553330224</v>
        <stp/>
        <stp>BDP|5308081551174601141</stp>
        <tr r="U11" s="338"/>
      </tp>
      <tp t="s">
        <v>#N/A Requesting Data...3920171815</v>
        <stp/>
        <stp>BDP|3051431949301095732</stp>
        <tr r="AB46" s="1"/>
      </tp>
      <tp t="s">
        <v>#N/A Requesting Data...2576201302</v>
        <stp/>
        <stp>BDP|2636595951407112010</stp>
        <tr r="D41" s="446"/>
      </tp>
      <tp t="e">
        <v>#N/A</v>
        <stp/>
        <stp>BDH|7779618312036278380</stp>
        <tr r="J19" s="252"/>
      </tp>
      <tp t="s">
        <v>#N/A Requesting Data...2784268811</v>
        <stp/>
        <stp>BDP|6525006869707181227</stp>
        <tr r="AF50" s="338"/>
        <tr r="AF51" s="338"/>
        <tr r="AG34" s="338"/>
        <tr r="AG35" s="338"/>
        <tr r="AG36" s="338"/>
        <tr r="AG37" s="338"/>
      </tp>
      <tp t="s">
        <v>#N/A Requesting Data...2559367529</v>
        <stp/>
        <stp>BDP|2530200609104129121</stp>
        <tr r="AH44" s="338"/>
        <tr r="AH47" s="338"/>
        <tr r="AH48" s="338"/>
        <tr r="AI10" s="338"/>
        <tr r="AI53" s="338"/>
      </tp>
      <tp t="s">
        <v>#N/A Requesting Data...4003206409</v>
        <stp/>
        <stp>BDP|8626964800726479283</stp>
        <tr r="T17" s="338"/>
      </tp>
      <tp t="e">
        <v>#N/A</v>
        <stp/>
        <stp>BDH|1255579249662255728</stp>
        <tr r="AU51" s="338"/>
        <tr r="AU33" s="338"/>
        <tr r="AU31" s="338"/>
        <tr r="AP49" s="338"/>
        <tr r="AU47" s="338"/>
        <tr r="AU41" s="338"/>
        <tr r="AP46" s="338"/>
        <tr r="AP45" s="338"/>
      </tp>
      <tp t="s">
        <v>#N/A Requesting Data...3597967493</v>
        <stp/>
        <stp>BDP|8161895482119328448</stp>
        <tr r="D21" s="2"/>
        <tr r="C195" s="89"/>
      </tp>
      <tp t="s">
        <v>#N/A Requesting Data...2910531960</v>
        <stp/>
        <stp>BDP|6689657087039171489</stp>
        <tr r="D50" s="89"/>
      </tp>
      <tp t="s">
        <v>#N/A Requesting Data...2131892791</v>
        <stp/>
        <stp>BDP|6453493511390892665</stp>
        <tr r="T31" s="338"/>
      </tp>
      <tp t="s">
        <v>#N/A Requesting Data...4041389241</v>
        <stp/>
        <stp>BDP|1933423945534840047</stp>
        <tr r="AK9" s="338"/>
      </tp>
      <tp t="s">
        <v>#N/A Requesting Data...3274359419</v>
        <stp/>
        <stp>BDP|4087771710803757431</stp>
        <tr r="X54" s="338"/>
      </tp>
      <tp t="s">
        <v>#N/A Requesting Data...3886611307</v>
        <stp/>
        <stp>BDP|7419327903193598239</stp>
        <tr r="AJ15" s="338"/>
        <tr r="AJ39" s="338"/>
        <tr r="AK40" s="338"/>
      </tp>
      <tp t="s">
        <v>#N/A Requesting Data...2552895707</v>
        <stp/>
        <stp>BDP|5133852355808281539</stp>
        <tr r="AD16" s="2"/>
        <tr r="V63" s="89"/>
      </tp>
      <tp t="s">
        <v>#N/A Requesting Data...4230501568</v>
        <stp/>
        <stp>BDP|4569291905061840219</stp>
        <tr r="C8" s="2"/>
      </tp>
      <tp t="s">
        <v>#N/A Requesting Data...4117871313</v>
        <stp/>
        <stp>BDP|9525835047501594141</stp>
        <tr r="AG20" s="1"/>
        <tr r="AG26" s="1"/>
      </tp>
      <tp t="s">
        <v>#N/A N/A</v>
        <stp/>
        <stp>BDP|9212642566604321834</stp>
        <tr r="R89" s="89"/>
        <tr r="R90" s="89"/>
      </tp>
      <tp t="s">
        <v>#N/A Requesting Data...3377477938</v>
        <stp/>
        <stp>BDP|7337309723996972590</stp>
        <tr r="K49" s="1"/>
      </tp>
      <tp t="s">
        <v>#N/A Requesting Data...3916142114</v>
        <stp/>
        <stp>BDP|1252039566197775513</stp>
        <tr r="AK54" s="338"/>
      </tp>
      <tp t="s">
        <v>#N/A Requesting Data...3720679387</v>
        <stp/>
        <stp>BDP|6695752411146080338</stp>
        <tr r="AG31" s="1"/>
        <tr r="AG32" s="1"/>
      </tp>
      <tp t="s">
        <v>#N/A Requesting Data...3474337927</v>
        <stp/>
        <stp>BDP|9107847052373360258</stp>
        <tr r="C11" s="2"/>
      </tp>
      <tp t="s">
        <v>#N/A Requesting Data...2873712979</v>
        <stp/>
        <stp>BDP|1340430251865159018</stp>
        <tr r="C122" s="89"/>
      </tp>
      <tp t="s">
        <v>#N/A Requesting Data...3172260529</v>
        <stp/>
        <stp>BDP|6973296607750514137</stp>
        <tr r="V76" s="89"/>
      </tp>
      <tp t="s">
        <v>#N/A Requesting Data...3121314746</v>
        <stp/>
        <stp>BDP|4316184976870928759</stp>
        <tr r="AF37" s="1"/>
      </tp>
      <tp t="e">
        <v>#N/A</v>
        <stp/>
        <stp>BDH|6497725724591169728</stp>
        <tr r="AN39" s="338"/>
        <tr r="AN15" s="338"/>
        <tr r="AS40" s="338"/>
      </tp>
      <tp t="s">
        <v>#N/A Requesting Data...3912587666</v>
        <stp/>
        <stp>BDP|6397811860628218562</stp>
        <tr r="O40" s="89"/>
      </tp>
      <tp t="s">
        <v>#N/A Requesting Data...2410480662</v>
        <stp/>
        <stp>BDP|3777685039867817484</stp>
        <tr r="E20" s="89"/>
      </tp>
      <tp t="s">
        <v>#N/A Requesting Data...3642426825</v>
        <stp/>
        <stp>BDP|6124212647123164610</stp>
        <tr r="AA109" s="89"/>
        <tr r="Z109" s="89"/>
      </tp>
      <tp t="s">
        <v>#N/A Requesting Data...3260853986</v>
        <stp/>
        <stp>BDP|6362820535118116020</stp>
        <tr r="D75" s="89"/>
      </tp>
      <tp t="s">
        <v>#N/A Requesting Data...4107049245</v>
        <stp/>
        <stp>BDP|2987580469143878743</stp>
        <tr r="AA115" s="89"/>
        <tr r="Z115" s="89"/>
      </tp>
      <tp t="s">
        <v>#N/A Requesting Data...2233461180</v>
        <stp/>
        <stp>BDP|7460910680203620073</stp>
        <tr r="E25" s="2"/>
      </tp>
      <tp t="e">
        <v>#N/A</v>
        <stp/>
        <stp>BDH|5599418905792447613</stp>
        <tr r="AU18" s="338"/>
      </tp>
      <tp t="s">
        <v>#N/A Requesting Data...3784061443</v>
        <stp/>
        <stp>BDP|2426662074501571768</stp>
        <tr r="AI37" s="1"/>
      </tp>
      <tp t="s">
        <v>#N/A Requesting Data...4022413161</v>
        <stp/>
        <stp>BDP|1785534484179509007</stp>
        <tr r="U37" s="338"/>
      </tp>
      <tp>
        <v>69.650000000000006</v>
        <stp/>
        <stp>BDP|14201652617253647190|22</stp>
        <stp>META US 07/17/26 C680 Equity</stp>
        <stp>bid</stp>
        <tr r="K233" s="89"/>
      </tp>
      <tp>
        <v>25.15</v>
        <stp/>
        <stp>BDP|14623209133839534515|22</stp>
        <stp>AMZN US 07/17/26 C245 Equity</stp>
        <stp>bid</stp>
        <tr r="P4" s="2"/>
      </tp>
      <tp>
        <v>14</v>
        <stp/>
        <stp>BDP|16902259978573716312|22</stp>
        <stp>MSFT US 03/20/26 P465 Equity</stp>
        <stp>ask</stp>
        <tr r="Q20" s="2"/>
      </tp>
      <tp>
        <v>74.400000000000006</v>
        <stp/>
        <stp>BDP|10509480426370688750|22</stp>
        <stp>META US 07/17/26 C670 Equity</stp>
        <stp>bid</stp>
        <tr r="P12" s="2"/>
      </tp>
      <tp>
        <v>15.75</v>
        <stp/>
        <stp>BDP|479954285595231818|22</stp>
        <stp>GDX US 09/18/26 C115 Equity</stp>
        <stp>ask</stp>
        <tr r="Q9" s="2"/>
      </tp>
      <tp t="s">
        <v>USD</v>
        <stp/>
        <stp>BDP|397487976034915571|22</stp>
        <stp>TSM US 06/18/26 C380 Equity</stp>
        <stp>QUOTED_CURRENCY_REALTIME</stp>
        <tr r="G26" s="2"/>
        <tr r="F14" s="89"/>
      </tp>
      <tp>
        <v>258.27</v>
        <stp/>
        <stp>BDP|4350104393385922955|22</stp>
        <stp>AAPL Equity</stp>
        <stp>LAST PRICE</stp>
        <tr r="I11" s="338"/>
      </tp>
      <tp t="s">
        <v>#N/A Requesting Data...3856874116</v>
        <stp/>
        <stp>BDP|9823698439132005823</stp>
        <tr r="M12" s="252"/>
      </tp>
      <tp t="s">
        <v>#N/A Requesting Data...3749563045</v>
        <stp/>
        <stp>BDP|3019690065241065465</stp>
        <tr r="AI48" s="338"/>
        <tr r="AI49" s="338"/>
      </tp>
      <tp t="s">
        <v>#N/A Requesting Data...4191355382</v>
        <stp/>
        <stp>BDP|7188757863485888551</stp>
        <tr r="G39" s="446"/>
      </tp>
      <tp t="s">
        <v>#N/A Requesting Data...2671268423</v>
        <stp/>
        <stp>BDP|7422247533576110683</stp>
        <tr r="AI48" s="1"/>
      </tp>
      <tp t="s">
        <v>#N/A Requesting Data...3134299906</v>
        <stp/>
        <stp>BDP|6357706968437215632</stp>
        <tr r="S51" s="338"/>
      </tp>
      <tp t="s">
        <v>#N/A Requesting Data...2396466122</v>
        <stp/>
        <stp>BDP|2912249135106636351</stp>
        <tr r="E171" s="89"/>
      </tp>
      <tp t="s">
        <v>#N/A Requesting Data...2387956286</v>
        <stp/>
        <stp>BDP|1481294716502130617</stp>
        <tr r="AB37" s="1"/>
      </tp>
      <tp t="s">
        <v>#N/A Requesting Data...3747325940</v>
        <stp/>
        <stp>BDP|1443585917713323038</stp>
        <tr r="L30" s="338"/>
        <tr r="J30" s="338"/>
      </tp>
      <tp t="s">
        <v>#N/A Requesting Data...2780647272</v>
        <stp/>
        <stp>BDP|4646626558147768607</stp>
        <tr r="T144" s="89"/>
      </tp>
      <tp t="s">
        <v>#N/A Requesting Data...3514404053</v>
        <stp/>
        <stp>BDP|9958243614845156906</stp>
        <tr r="AK30" s="338"/>
        <tr r="AI30" s="338"/>
      </tp>
      <tp t="s">
        <v>#N/A Requesting Data...2896239376</v>
        <stp/>
        <stp>BDP|3175608666544602195</stp>
        <tr r="T171" s="89"/>
      </tp>
      <tp t="s">
        <v>#N/A Requesting Data...3958337202</v>
        <stp/>
        <stp>BDP|1754575979255457051</stp>
        <tr r="G14" s="446"/>
      </tp>
      <tp t="s">
        <v>#N/A Requesting Data...3224855985</v>
        <stp/>
        <stp>BDP|5130174576111125487</stp>
        <tr r="K45" s="1"/>
      </tp>
      <tp t="s">
        <v>#N/A Requesting Data...2810447198</v>
        <stp/>
        <stp>BDP|3760494913447762734</stp>
        <tr r="AA34" s="89"/>
        <tr r="Z34" s="89"/>
      </tp>
      <tp t="s">
        <v>#N/A Requesting Data...2768045738</v>
        <stp/>
        <stp>BDP|9212972615641945606</stp>
        <tr r="AH52" s="338"/>
        <tr r="AH53" s="338"/>
        <tr r="AH54" s="338"/>
        <tr r="AJ52" s="338"/>
        <tr r="AJ53" s="338"/>
        <tr r="AJ54" s="338"/>
      </tp>
      <tp t="e">
        <v>#N/A</v>
        <stp/>
        <stp>BDH|9301424001463021898</stp>
        <tr r="AN40" s="338"/>
        <tr r="AN16" s="338"/>
        <tr r="AN38" s="338"/>
      </tp>
      <tp t="s">
        <v>#N/A Requesting Data...3672549706</v>
        <stp/>
        <stp>BDP|6095484704072209604</stp>
        <tr r="AJ13" s="338"/>
        <tr r="AJ34" s="338"/>
      </tp>
      <tp t="s">
        <v>#N/A Requesting Data...4123194602</v>
        <stp/>
        <stp>BDP|6921540255739678909</stp>
        <tr r="AK32" s="338"/>
        <tr r="AK46" s="338"/>
        <tr r="AK50" s="338"/>
        <tr r="AK8" s="338"/>
      </tp>
      <tp t="s">
        <v>#N/A Requesting Data...3860344420</v>
        <stp/>
        <stp>BDP|3249294146887437478</stp>
        <tr r="T17" s="2"/>
        <tr r="T18" s="2"/>
      </tp>
      <tp t="s">
        <v>#N/A Requesting Data...2912812936</v>
        <stp/>
        <stp>BDP|5836174453674625345</stp>
        <tr r="V34" s="338"/>
      </tp>
      <tp t="s">
        <v>#N/A Requesting Data...3508503076</v>
        <stp/>
        <stp>BDP|6914181187250139988</stp>
        <tr r="AA7" s="2"/>
        <tr r="T223" s="89"/>
      </tp>
      <tp t="s">
        <v>#N/A Requesting Data...3472173257</v>
        <stp/>
        <stp>BDP|3930578222146831483</stp>
        <tr r="G43" s="446"/>
      </tp>
      <tp t="s">
        <v>#N/A Requesting Data...2642016400</v>
        <stp/>
        <stp>BDP|1796976268448721036</stp>
        <tr r="E14" s="89"/>
      </tp>
      <tp t="s">
        <v>#N/A Requesting Data...3620841628</v>
        <stp/>
        <stp>BDP|8403728728339567278</stp>
        <tr r="AC49" s="1"/>
      </tp>
      <tp t="s">
        <v>#N/A Requesting Data...2791076111</v>
        <stp/>
        <stp>BDP|9880395878588381367</stp>
        <tr r="AA188" s="89"/>
        <tr r="Z188" s="89"/>
      </tp>
      <tp t="s">
        <v>#N/A Requesting Data...2625727880</v>
        <stp/>
        <stp>BDP|3166087990788095446</stp>
        <tr r="G21" s="446"/>
      </tp>
      <tp t="s">
        <v>#N/A Requesting Data...2616288210</v>
        <stp/>
        <stp>BDP|4996607430791175657</stp>
        <tr r="T122" s="89"/>
      </tp>
      <tp t="s">
        <v>#N/A Requesting Data...4023145001</v>
        <stp/>
        <stp>BDP|3807948298497989200</stp>
        <tr r="P45" s="338"/>
      </tp>
      <tp t="s">
        <v>#N/A Requesting Data...2772415047</v>
        <stp/>
        <stp>BDP|2491561370304776274</stp>
        <tr r="T27" s="89"/>
      </tp>
      <tp t="s">
        <v>#N/A Requesting Data...3200237956</v>
        <stp/>
        <stp>BDP|4148348666006447154</stp>
        <tr r="AF20" s="1"/>
        <tr r="AF26" s="1"/>
      </tp>
      <tp t="s">
        <v>#N/A Requesting Data...2851427316</v>
        <stp/>
        <stp>BDP|2876687939266845739</stp>
        <tr r="AA20" s="2"/>
      </tp>
      <tp t="s">
        <v>#N/A N/A</v>
        <stp/>
        <stp>BDP|9242806905375372266</stp>
        <tr r="R122" s="89"/>
        <tr r="R123" s="89"/>
      </tp>
      <tp t="s">
        <v>#N/A Requesting Data...2996723545</v>
        <stp/>
        <stp>BDP|3531676896459233342</stp>
        <tr r="G35" s="446"/>
      </tp>
      <tp t="s">
        <v>#N/A Requesting Data...2832369153</v>
        <stp/>
        <stp>BDP|9850960325197941300</stp>
        <tr r="AF16" s="338"/>
        <tr r="AF38" s="338"/>
        <tr r="AF40" s="338"/>
      </tp>
      <tp t="s">
        <v>#N/A Requesting Data...2409391783</v>
        <stp/>
        <stp>BDP|6363186864423553482</stp>
        <tr r="D205" s="89"/>
      </tp>
      <tp t="s">
        <v>#N/A Requesting Data...2717414741</v>
        <stp/>
        <stp>BDP|9543956282087889997</stp>
        <tr r="T34" s="89"/>
      </tp>
      <tp t="s">
        <v>#N/A Requesting Data...2200180878</v>
        <stp/>
        <stp>BDP|1831578601782415092</stp>
        <tr r="V18" s="338"/>
      </tp>
      <tp t="s">
        <v>#N/A Requesting Data...2220837177</v>
        <stp/>
        <stp>BDP|5023379335197141408</stp>
        <tr r="T23" s="2"/>
        <tr r="O197" s="89"/>
      </tp>
      <tp t="e">
        <v>#N/A</v>
        <stp/>
        <stp>BDH|2753330217997547168</stp>
        <tr r="AU42" s="338"/>
      </tp>
      <tp t="s">
        <v>#N/A Requesting Data...2865069845</v>
        <stp/>
        <stp>BDP|5315552559291956278</stp>
        <tr r="T56" s="89"/>
      </tp>
      <tp t="s">
        <v>#N/A Requesting Data...4213733516</v>
        <stp/>
        <stp>BDP|9650470625011320866</stp>
        <tr r="AA225" s="89"/>
        <tr r="Z225" s="89"/>
      </tp>
      <tp t="s">
        <v>#N/A Requesting Data...3608708461</v>
        <stp/>
        <stp>BDP|9271742846914689876</stp>
        <tr r="S15" s="338"/>
        <tr r="S39" s="338"/>
      </tp>
      <tp t="s">
        <v>#N/A Requesting Data...2918316744</v>
        <stp/>
        <stp>BDP|1183356610207551274</stp>
        <tr r="T26" s="2"/>
        <tr r="O14" s="89"/>
      </tp>
      <tp t="s">
        <v>#N/A Requesting Data...3414077765</v>
        <stp/>
        <stp>BDP|3672362430114067167</stp>
        <tr r="T14" s="338"/>
      </tp>
      <tp t="s">
        <v>#N/A Requesting Data...3090178752</v>
        <stp/>
        <stp>BDP|3597495719060392002</stp>
        <tr r="C237" s="89"/>
      </tp>
      <tp t="s">
        <v>#N/A Requesting Data...2813276396</v>
        <stp/>
        <stp>BDP|2714917007269668409</stp>
        <tr r="M8" s="252"/>
      </tp>
      <tp t="s">
        <v>#N/A Requesting Data...3281889412</v>
        <stp/>
        <stp>BDP|7823950808111144939</stp>
        <tr r="AJ44" s="338"/>
        <tr r="AJ47" s="338"/>
        <tr r="AJ48" s="338"/>
        <tr r="AK10" s="338"/>
        <tr r="AK53" s="338"/>
      </tp>
      <tp t="s">
        <v>#N/A Requesting Data...3874842639</v>
        <stp/>
        <stp>BDP|8408000722589740564</stp>
        <tr r="T68" s="89"/>
      </tp>
      <tp t="s">
        <v>#N/A Requesting Data...3302896827</v>
        <stp/>
        <stp>BDP|8885961869603230210</stp>
        <tr r="AK32" s="338"/>
        <tr r="AK46" s="338"/>
        <tr r="AK50" s="338"/>
        <tr r="AK8" s="338"/>
      </tp>
      <tp t="s">
        <v>#N/A Requesting Data...4272868602</v>
        <stp/>
        <stp>BDP|5769981822101030995</stp>
        <tr r="T96" s="89"/>
      </tp>
      <tp t="s">
        <v>#N/A Requesting Data...2204921764</v>
        <stp/>
        <stp>BDP|8318036623599634512</stp>
        <tr r="D225" s="89"/>
      </tp>
      <tp t="e">
        <v>#N/A</v>
        <stp/>
        <stp>BDH|5258474960590067119</stp>
        <tr r="AU8" s="338"/>
        <tr r="AU50" s="338"/>
        <tr r="AU46" s="338"/>
        <tr r="AU32" s="338"/>
      </tp>
      <tp t="s">
        <v>#N/A Requesting Data...3007013497</v>
        <stp/>
        <stp>BDP|1772751390731486839</stp>
        <tr r="AI35" s="1"/>
        <tr r="AI36" s="1"/>
      </tp>
      <tp t="s">
        <v>#N/A Requesting Data...3195409280</v>
        <stp/>
        <stp>BDP|2700137841574069501</stp>
        <tr r="AR8" s="2"/>
      </tp>
      <tp t="s">
        <v>#N/A Requesting Data...3584437077</v>
        <stp/>
        <stp>BDP|3256176262240474260</stp>
        <tr r="K43" s="1"/>
      </tp>
      <tp t="s">
        <v>#N/A Requesting Data...4023959625</v>
        <stp/>
        <stp>BDP|7214956164048318650</stp>
        <tr r="U34" s="338"/>
      </tp>
      <tp>
        <v>672.97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>
        <v>-0.14013487100601196</v>
        <stp/>
        <stp>BDP|8795046347241444117|22</stp>
        <stp>AVGO US 06/18/26 C350 Equity</stp>
        <stp>theta_mid_rt</stp>
        <tr r="AN7" s="2"/>
      </tp>
      <tp t="s">
        <v>#N/A N/A</v>
        <stp/>
        <stp>BDP|10619735984996990676|22</stp>
        <stp>QQQ US 01/26/26 C627 Equity</stp>
        <stp>bid</stp>
        <tr r="K212" s="89"/>
      </tp>
      <tp t="s">
        <v>#N/A Requesting Data...3917424319</v>
        <stp/>
        <stp>BDP|4283425441594897730</stp>
        <tr r="AA170" s="89"/>
        <tr r="Z170" s="89"/>
      </tp>
      <tp t="e">
        <v>#N/A</v>
        <stp/>
        <stp>BDH|1277745328382009144</stp>
        <tr r="AM33" s="338"/>
        <tr r="AM11" s="338"/>
        <tr r="AM10" s="338"/>
      </tp>
      <tp t="e">
        <v>#N/A</v>
        <stp/>
        <stp>BDH|1866303491694456879</stp>
        <tr r="AP38" s="338"/>
        <tr r="AP40" s="338"/>
        <tr r="AP16" s="338"/>
      </tp>
      <tp t="s">
        <v>#N/A Requesting Data...2718392977</v>
        <stp/>
        <stp>BDP|4245799967772009077</stp>
        <tr r="D37" s="446"/>
      </tp>
      <tp t="s">
        <v>#N/A N/A</v>
        <stp/>
        <stp>BDP|3546004289969099570</stp>
        <tr r="D81" s="89"/>
      </tp>
      <tp t="s">
        <v>#N/A Requesting Data...3565112389</v>
        <stp/>
        <stp>BDP|4758516714777806016</stp>
        <tr r="AR16" s="2"/>
      </tp>
      <tp t="s">
        <v>#N/A Requesting Data...3609940482</v>
        <stp/>
        <stp>BDP|2863781781368349292</stp>
        <tr r="AJ16" s="338"/>
        <tr r="AJ38" s="338"/>
        <tr r="AJ40" s="338"/>
      </tp>
      <tp t="s">
        <v>#N/A Requesting Data...3139972104</v>
        <stp/>
        <stp>BDP|8120208431448184693</stp>
        <tr r="S46" s="338"/>
      </tp>
      <tp t="s">
        <v>#N/A Requesting Data...3125482443</v>
        <stp/>
        <stp>BDP|7156185906827354649</stp>
        <tr r="AI13" s="1"/>
      </tp>
      <tp t="s">
        <v>#N/A Requesting Data...2899305705</v>
        <stp/>
        <stp>BDP|4897361001360642018</stp>
        <tr r="T48" s="338"/>
      </tp>
      <tp t="s">
        <v>#N/A Requesting Data...3643738532</v>
        <stp/>
        <stp>BDP|6577894425722203925</stp>
        <tr r="AI45" s="1"/>
      </tp>
      <tp t="s">
        <v>#N/A Requesting Data...2288550516</v>
        <stp/>
        <stp>BDP|5289094940154690244</stp>
        <tr r="S14" s="338"/>
      </tp>
      <tp t="s">
        <v>#N/A Requesting Data...3283670357</v>
        <stp/>
        <stp>BDP|1707015801081904771</stp>
        <tr r="S11" s="338"/>
      </tp>
      <tp t="s">
        <v>#N/A Requesting Data...2581238549</v>
        <stp/>
        <stp>BDP|5947737455944304421</stp>
        <tr r="AB45" s="1"/>
      </tp>
      <tp t="s">
        <v>#N/A Requesting Data...2424225757</v>
        <stp/>
        <stp>BDP|1510584037002581204</stp>
        <tr r="T115" s="89"/>
      </tp>
      <tp t="s">
        <v>#N/A Requesting Data...2805212178</v>
        <stp/>
        <stp>BDP|2408684667504796131</stp>
        <tr r="Q8" s="338"/>
      </tp>
      <tp t="s">
        <v>#N/A Requesting Data...2706431585</v>
        <stp/>
        <stp>BDP|6917157052941035414</stp>
        <tr r="AK54" s="338"/>
      </tp>
      <tp t="s">
        <v>#N/A Requesting Data...3457552146</v>
        <stp/>
        <stp>BDP|7903719114714371204</stp>
        <tr r="T203" s="89"/>
      </tp>
      <tp t="s">
        <v>#N/A Requesting Data...3040015690</v>
        <stp/>
        <stp>BDP|1092378379464484650</stp>
        <tr r="G9" s="446"/>
      </tp>
      <tp t="s">
        <v>#N/A Requesting Data...3759533967</v>
        <stp/>
        <stp>BDP|5346594685016575959</stp>
        <tr r="AI18" s="338"/>
        <tr r="AK18" s="338"/>
      </tp>
      <tp t="s">
        <v>#N/A Requesting Data...3796585109</v>
        <stp/>
        <stp>BDP|3929121074074664665</stp>
        <tr r="Q13" s="338"/>
      </tp>
      <tp t="s">
        <v>#N/A Requesting Data...3058252386</v>
        <stp/>
        <stp>BDP|5675170649634239369</stp>
        <tr r="E109" s="89"/>
      </tp>
      <tp t="s">
        <v>#N/A Requesting Data...2920937349</v>
        <stp/>
        <stp>BDP|7675645627431897518</stp>
        <tr r="C25" s="2"/>
      </tp>
      <tp t="s">
        <v>#N/A Requesting Data...3194703702</v>
        <stp/>
        <stp>BDP|3706549500372914371</stp>
        <tr r="E136" s="89"/>
      </tp>
      <tp t="s">
        <v>#N/A Requesting Data...2230214794</v>
        <stp/>
        <stp>BDP|5312075309057886586</stp>
        <tr r="AI47" s="1"/>
      </tp>
      <tp t="s">
        <v>#N/A Requesting Data...2388983522</v>
        <stp/>
        <stp>BDP|7107626834487292286</stp>
        <tr r="L11" s="252"/>
        <tr r="L11" s="252"/>
      </tp>
      <tp t="s">
        <v>#N/A Requesting Data...2822980280</v>
        <stp/>
        <stp>BDP|8336092558638833275</stp>
        <tr r="M18" s="252"/>
      </tp>
      <tp t="s">
        <v>#N/A Requesting Data...3755563315</v>
        <stp/>
        <stp>BDP|1287193847504467758</stp>
        <tr r="D153" s="89"/>
        <tr r="D154" s="89"/>
      </tp>
      <tp t="s">
        <v>#N/A Requesting Data...4125495559</v>
        <stp/>
        <stp>BDP|2787535871500884705</stp>
        <tr r="S35" s="338"/>
      </tp>
      <tp t="s">
        <v>#N/A N/A</v>
        <stp/>
        <stp>BDP|7341491708322758684</stp>
        <tr r="AB144" s="89"/>
        <tr r="AB145" s="89"/>
      </tp>
      <tp t="s">
        <v>#N/A Requesting Data...3377299451</v>
        <stp/>
        <stp>BDP|1288906989993060491</stp>
        <tr r="X49" s="338"/>
      </tp>
      <tp t="s">
        <v>#N/A Requesting Data...4112206354</v>
        <stp/>
        <stp>BDP|5938177747656903132</stp>
        <tr r="S55" s="338"/>
      </tp>
      <tp t="s">
        <v>#N/A Requesting Data...3644598586</v>
        <stp/>
        <stp>BDP|1855721819082945297</stp>
        <tr r="P52" s="338"/>
      </tp>
      <tp t="s">
        <v>#N/A Requesting Data...2777410034</v>
        <stp/>
        <stp>BDP|8707770111811439854</stp>
        <tr r="Q32" s="338"/>
      </tp>
      <tp t="s">
        <v>#N/A Requesting Data...3769809204</v>
        <stp/>
        <stp>BDP|7226011316269547804</stp>
        <tr r="AA101" s="89"/>
        <tr r="Z101" s="89"/>
      </tp>
      <tp t="s">
        <v>#N/A Requesting Data...3603377668</v>
        <stp/>
        <stp>BDP|3900760639080469025</stp>
        <tr r="AA8" s="2"/>
      </tp>
      <tp t="s">
        <v>#N/A Requesting Data...2599363366</v>
        <stp/>
        <stp>BDP|6670767722864327018</stp>
        <tr r="AH15" s="338"/>
        <tr r="AH39" s="338"/>
        <tr r="AI40" s="338"/>
        <tr r="AJ15" s="338"/>
        <tr r="AJ39" s="338"/>
        <tr r="AK40" s="338"/>
      </tp>
      <tp t="s">
        <v>#N/A Requesting Data...2520066373</v>
        <stp/>
        <stp>BDP|6362624963838148922</stp>
        <tr r="AF27" s="1"/>
        <tr r="AF29" s="1"/>
        <tr r="AF8" s="338"/>
        <tr r="AF9" s="338"/>
      </tp>
      <tp t="s">
        <v>#N/A Requesting Data...2836355991</v>
        <stp/>
        <stp>BDP|2907663611126652497</stp>
        <tr r="D136" s="89"/>
      </tp>
      <tp t="s">
        <v>#N/A Requesting Data...3388411151</v>
        <stp/>
        <stp>BDP|7909641621027922343</stp>
        <tr r="O50" s="89"/>
      </tp>
      <tp t="s">
        <v>#N/A Requesting Data...2496827051</v>
        <stp/>
        <stp>BDP|5447413907492272417</stp>
        <tr r="AG48" s="338"/>
        <tr r="AG49" s="338"/>
      </tp>
      <tp t="s">
        <v>#N/A Requesting Data...3672942144</v>
        <stp/>
        <stp>BDP|2614909402095251903</stp>
        <tr r="L12" s="252"/>
        <tr r="L12" s="252"/>
      </tp>
      <tp t="s">
        <v>#N/A Requesting Data...2659465898</v>
        <stp/>
        <stp>BDP|1776687918603536244</stp>
        <tr r="AD22" s="2"/>
        <tr r="V196" s="89"/>
      </tp>
      <tp t="s">
        <v>#N/A Requesting Data...3657387201</v>
        <stp/>
        <stp>BDP|1763661788150711882</stp>
        <tr r="E233" s="89"/>
      </tp>
      <tp t="s">
        <v>#N/A Requesting Data...3431920155</v>
        <stp/>
        <stp>BDP|5476793879341768354</stp>
        <tr r="AK30" s="338"/>
      </tp>
      <tp t="s">
        <v>#N/A Requesting Data...3917693341</v>
        <stp/>
        <stp>BDP|5145531487678652752</stp>
        <tr r="AI15" s="338"/>
        <tr r="AI16" s="338"/>
        <tr r="AI17" s="338"/>
        <tr r="AI38" s="338"/>
        <tr r="AI39" s="338"/>
        <tr r="AI44" s="338"/>
        <tr r="AI52" s="338"/>
        <tr r="AK15" s="338"/>
        <tr r="AK16" s="338"/>
        <tr r="AK17" s="338"/>
        <tr r="AK38" s="338"/>
        <tr r="AK39" s="338"/>
        <tr r="AK44" s="338"/>
        <tr r="AK52" s="338"/>
      </tp>
      <tp t="e">
        <v>#N/A</v>
        <stp/>
        <stp>BDH|6673754051812277168</stp>
        <tr r="AR34" s="338"/>
        <tr r="AR35" s="338"/>
        <tr r="AR36" s="338"/>
        <tr r="AM50" s="338"/>
        <tr r="AR37" s="338"/>
        <tr r="AM51" s="338"/>
      </tp>
      <tp t="s">
        <v>#N/A Requesting Data...3620207595</v>
        <stp/>
        <stp>BDP|9356568301399407276</stp>
        <tr r="L29" s="338"/>
        <tr r="J29" s="338"/>
      </tp>
      <tp t="s">
        <v>#N/A Requesting Data...4170156685</v>
        <stp/>
        <stp>BDP|7057279456164256342</stp>
        <tr r="S32" s="338"/>
      </tp>
      <tp t="s">
        <v>#N/A Requesting Data...3844278346</v>
        <stp/>
        <stp>BDP|7250845338122873916</stp>
        <tr r="D14" s="2"/>
      </tp>
      <tp t="s">
        <v>#N/A Requesting Data...2577230962</v>
        <stp/>
        <stp>BDP|5679496740627876502</stp>
        <tr r="N20" s="252"/>
        <tr r="N20" s="252"/>
      </tp>
      <tp t="s">
        <v>#N/A Requesting Data...2612218044</v>
        <stp/>
        <stp>BDP|7775425857631476016</stp>
        <tr r="X53" s="338"/>
      </tp>
      <tp t="s">
        <v>#N/A Requesting Data...3066610313</v>
        <stp/>
        <stp>BDP|6730519311327945299</stp>
        <tr r="AK11" s="338"/>
      </tp>
      <tp t="s">
        <v>#N/A Requesting Data...2290245903</v>
        <stp/>
        <stp>BDP|7034052966182144450</stp>
        <tr r="G7" s="446"/>
      </tp>
      <tp t="s">
        <v>#N/A Requesting Data...3984992456</v>
        <stp/>
        <stp>BDP|1643511825883151271</stp>
        <tr r="T212" s="89"/>
      </tp>
      <tp t="s">
        <v>#N/A Requesting Data...3335112753</v>
        <stp/>
        <stp>BDP|5264049846531072744</stp>
        <tr r="AA95" s="89"/>
        <tr r="Z95" s="89"/>
      </tp>
      <tp t="s">
        <v>#N/A Requesting Data...2600959979</v>
        <stp/>
        <stp>BDP|8124857061855823491</stp>
        <tr r="Q44" s="338"/>
      </tp>
      <tp t="s">
        <v>#N/A Requesting Data...3465614013</v>
        <stp/>
        <stp>BDP|4375402103807111045</stp>
        <tr r="AR21" s="2"/>
      </tp>
      <tp t="s">
        <v>#N/A Requesting Data...3173273147</v>
        <stp/>
        <stp>BDP|7817792651205133748</stp>
        <tr r="U30" s="338"/>
      </tp>
      <tp t="s">
        <v>#N/A Requesting Data...2857709047</v>
        <stp/>
        <stp>BDP|1636158366620394139</stp>
        <tr r="V160" s="89"/>
      </tp>
      <tp t="s">
        <v>#N/A Requesting Data...3577024924</v>
        <stp/>
        <stp>BDP|7130911573469165773</stp>
        <tr r="AD7" s="2"/>
        <tr r="V223" s="89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>
        <v>4.7</v>
        <stp/>
        <stp>BDP|10577144230339463938|22</stp>
        <stp>AKAM US 08/21/26 C130 Equity</stp>
        <stp>bid</stp>
        <tr r="K34" s="89"/>
      </tp>
      <tp>
        <v>244.68</v>
        <stp/>
        <stp>BDP|4344863504285541564|22</stp>
        <stp>AMZN Equity</stp>
        <stp>LAST_PRICE</stp>
        <tr r="I23" s="1"/>
        <tr r="I24" s="1"/>
      </tp>
      <tp t="s">
        <v>USD</v>
        <stp/>
        <stp>BDP|14759626085233375357|22</stp>
        <stp>META US 07/17/26 C680 Equity</stp>
        <stp>QUOTED_CURRENCY_REALTIME</stp>
        <tr r="F233" s="89"/>
      </tp>
      <tp t="s">
        <v>#N/A Requesting Data...2954672179</v>
        <stp/>
        <stp>BDP|5392093770183418143</stp>
        <tr r="AR12" s="2"/>
      </tp>
      <tp t="s">
        <v>#N/A Requesting Data...3355725730</v>
        <stp/>
        <stp>BDP|9478381283761550308</stp>
        <tr r="AD25" s="2"/>
        <tr r="V13" s="89"/>
      </tp>
      <tp t="s">
        <v>#N/A Requesting Data...4095054357</v>
        <stp/>
        <stp>BDP|3454753217493992655</stp>
        <tr r="AB44" s="1"/>
        <tr r="F36" s="446"/>
      </tp>
      <tp t="s">
        <v>#N/A Requesting Data...2766111174</v>
        <stp/>
        <stp>BDP|8148908707662517398</stp>
        <tr r="AG25" s="1"/>
        <tr r="AG28" s="1"/>
      </tp>
      <tp t="s">
        <v>#N/A Requesting Data...3455222701</v>
        <stp/>
        <stp>BDP|1189172247476298290</stp>
        <tr r="O7" s="252"/>
      </tp>
      <tp t="s">
        <v>#N/A Requesting Data...2811250576</v>
        <stp/>
        <stp>BDP|6955622269271151797</stp>
        <tr r="T5" s="2"/>
        <tr r="T6" s="2"/>
      </tp>
      <tp t="e">
        <v>#N/A</v>
        <stp/>
        <stp>BDH|6300508665442857747</stp>
        <tr r="J20" s="252"/>
      </tp>
      <tp t="s">
        <v>#N/A N/A</v>
        <stp/>
        <stp>BDP|9320852679964664222</stp>
        <tr r="F24" s="2"/>
      </tp>
      <tp t="s">
        <v>#N/A N/A</v>
        <stp/>
        <stp>BDP|3685516077896874709</stp>
        <tr r="AC4" s="2"/>
      </tp>
      <tp t="s">
        <v>#N/A Requesting Data...2709878604</v>
        <stp/>
        <stp>BDP|2073373381748750195</stp>
        <tr r="F25" s="446"/>
      </tp>
      <tp t="s">
        <v>#N/A N/A</v>
        <stp/>
        <stp>BDP|4464504539911184345</stp>
        <tr r="E24" s="2"/>
      </tp>
      <tp t="s">
        <v>#N/A Requesting Data...3294507164</v>
        <stp/>
        <stp>BDP|5508729427063936303</stp>
        <tr r="AB42" s="1"/>
      </tp>
      <tp t="s">
        <v>#N/A Requesting Data...3644004254</v>
        <stp/>
        <stp>BDP|1626262929107928698</stp>
        <tr r="O224" s="89"/>
      </tp>
      <tp t="s">
        <v>#N/A Requesting Data...3533518360</v>
        <stp/>
        <stp>BDP|7426051978057192711</stp>
        <tr r="K12" s="1"/>
      </tp>
      <tp t="s">
        <v>#N/A Requesting Data...4222399573</v>
        <stp/>
        <stp>BDP|7599719818160108144</stp>
        <tr r="T26" s="89"/>
      </tp>
      <tp t="s">
        <v>#N/A Requesting Data...4037651323</v>
        <stp/>
        <stp>BDP|5045073666933003089</stp>
        <tr r="V9" s="338"/>
      </tp>
      <tp t="s">
        <v>#N/A Requesting Data...2988660168</v>
        <stp/>
        <stp>BDP|7131418634293998332</stp>
        <tr r="T14" s="2"/>
      </tp>
      <tp t="s">
        <v>#N/A Requesting Data...2789408591</v>
        <stp/>
        <stp>BDP|4874875695403262667</stp>
        <tr r="O169" s="89"/>
      </tp>
      <tp t="s">
        <v>#N/A Requesting Data...2725628969</v>
        <stp/>
        <stp>BDP|5247577618786009732</stp>
        <tr r="D197" s="89"/>
      </tp>
      <tp t="s">
        <v>#N/A N/A</v>
        <stp/>
        <stp>BDP|3833608477975887782</stp>
        <tr r="AC10" s="2"/>
      </tp>
      <tp t="s">
        <v>#N/A Requesting Data...4138572861</v>
        <stp/>
        <stp>BDP|3872713712930116557</stp>
        <tr r="V186" s="89"/>
      </tp>
      <tp t="s">
        <v>#N/A Requesting Data...3661931954</v>
        <stp/>
        <stp>BDP|5526635939431875188</stp>
        <tr r="AI29" s="338"/>
      </tp>
      <tp t="s">
        <v>#N/A Requesting Data...2903951631</v>
        <stp/>
        <stp>BDP|5959149956824211564</stp>
        <tr r="G38" s="446"/>
      </tp>
      <tp t="s">
        <v>#N/A Requesting Data...3346627327</v>
        <stp/>
        <stp>BDP|7838078402807242000</stp>
        <tr r="AC43" s="1"/>
      </tp>
      <tp t="s">
        <v>#N/A Requesting Data...3079319588</v>
        <stp/>
        <stp>BDP|5227150449344083429</stp>
        <tr r="D8" s="89"/>
      </tp>
      <tp t="s">
        <v>#N/A Requesting Data...2273554413</v>
        <stp/>
        <stp>BDP|5381969730908949709</stp>
        <tr r="AD5" s="2"/>
        <tr r="AD6" s="2"/>
      </tp>
      <tp t="s">
        <v>#N/A N/A</v>
        <stp/>
        <stp>BDP|6497794236170667202</stp>
        <tr r="O82" s="89"/>
      </tp>
      <tp t="s">
        <v>#N/A Requesting Data...2812627383</v>
        <stp/>
        <stp>BDP|8739029094357904654</stp>
        <tr r="O20" s="89"/>
      </tp>
      <tp t="s">
        <v>#N/A Requesting Data...2730714172</v>
        <stp/>
        <stp>BDP|3572723856414756549</stp>
        <tr r="C222" s="89"/>
      </tp>
      <tp t="s">
        <v>#N/A Requesting Data...3151143055</v>
        <stp/>
        <stp>BDP|1905590006853613726</stp>
        <tr r="E169" s="89"/>
      </tp>
      <tp t="s">
        <v>#N/A Requesting Data...3723389914</v>
        <stp/>
        <stp>BDP|8781859390611325836</stp>
        <tr r="X12" s="338"/>
      </tp>
      <tp t="s">
        <v>#N/A Requesting Data...4201701708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Q7" s="2"/>
        <tr r="AB222" s="89"/>
        <tr r="AB223" s="89"/>
        <tr r="AB224" s="89"/>
        <tr r="AB225" s="89"/>
      </tp>
      <tp t="s">
        <v>#N/A Requesting Data...3079792861</v>
        <stp/>
        <stp>BDP|2925650370332906175</stp>
        <tr r="AI33" s="1"/>
        <tr r="AI34" s="1"/>
      </tp>
      <tp t="s">
        <v>#N/A Requesting Data...3546259832</v>
        <stp/>
        <stp>BDP|3960122539301296028</stp>
        <tr r="T12" s="2"/>
      </tp>
      <tp t="s">
        <v>#N/A Requesting Data...3516910918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Data...3744826034</v>
        <stp/>
        <stp>BDP|2469275853951470473</stp>
        <tr r="F22" s="2"/>
      </tp>
      <tp t="s">
        <v>#N/A Requesting Data...2922753865</v>
        <stp/>
        <stp>BDP|4552037620785435316</stp>
        <tr r="P33" s="338"/>
      </tp>
      <tp t="s">
        <v>#N/A Requesting Data...2933207781</v>
        <stp/>
        <stp>BDP|1912350260220949454</stp>
        <tr r="AJ29" s="338"/>
        <tr r="AJ30" s="338"/>
      </tp>
      <tp t="s">
        <v>#N/A Requesting Data...2936067093</v>
        <stp/>
        <stp>BDP|5137251643354744701</stp>
        <tr r="L36" s="338"/>
        <tr r="H36" s="338"/>
      </tp>
      <tp t="s">
        <v>#N/A Requesting Data...3769985835</v>
        <stp/>
        <stp>BDP|3000653106090722547</stp>
        <tr r="Q31" s="338"/>
      </tp>
      <tp t="s">
        <v>#N/A Requesting Data...2970886465</v>
        <stp/>
        <stp>BDP|6283111272633911397</stp>
        <tr r="AJ14" s="338"/>
        <tr r="AJ35" s="338"/>
      </tp>
      <tp t="e">
        <v>#N/A</v>
        <stp/>
        <stp>BDH|7538483941446897153</stp>
        <tr r="AS33" s="338"/>
        <tr r="AN46" s="338"/>
        <tr r="AN45" s="338"/>
        <tr r="AS41" s="338"/>
        <tr r="AS31" s="338"/>
        <tr r="AS47" s="338"/>
        <tr r="AN49" s="338"/>
        <tr r="AS51" s="338"/>
      </tp>
      <tp t="s">
        <v>#N/A Requesting Data...3028313628</v>
        <stp/>
        <stp>BDP|7112967104169217777</stp>
        <tr r="P30" s="338"/>
      </tp>
      <tp t="s">
        <v>#N/A Requesting Data...3750354747</v>
        <stp/>
        <stp>BDP|7207851431765010907</stp>
        <tr r="C235" s="89"/>
      </tp>
      <tp t="s">
        <v>#N/A Requesting Data...2788992703</v>
        <stp/>
        <stp>BDP|5682063267492381124</stp>
        <tr r="S12" s="338"/>
      </tp>
      <tp t="s">
        <v>#N/A Requesting Data...3171804059</v>
        <stp/>
        <stp>BDP|1018734111515407205</stp>
        <tr r="F18" s="252"/>
      </tp>
      <tp t="s">
        <v>#N/A Requesting Data...3586240462</v>
        <stp/>
        <stp>BDP|4028930726656593970</stp>
        <tr r="AJ16" s="338"/>
        <tr r="AJ38" s="338"/>
        <tr r="AJ40" s="338"/>
      </tp>
      <tp t="s">
        <v>#N/A Requesting Data...3731934922</v>
        <stp/>
        <stp>BDP|9163195119900175972</stp>
        <tr r="C188" s="89"/>
      </tp>
      <tp t="s">
        <v>#N/A Requesting Data...3822135561</v>
        <stp/>
        <stp>BDP|1494500509740882420</stp>
        <tr r="D96" s="89"/>
      </tp>
      <tp t="e">
        <v>#N/A</v>
        <stp/>
        <stp>BDH|4470104117872437603</stp>
        <tr r="AN12" s="338"/>
      </tp>
      <tp>
        <v>0.54489040374755859</v>
        <stp/>
        <stp>BDP|15412285494780661870|22</stp>
        <stp>1OG6C 26000 Index</stp>
        <stp>DELTA_MID_RT</stp>
        <tr r="W153" s="89"/>
        <tr r="W154" s="89"/>
      </tp>
      <tp t="s">
        <v>#N/A Requesting Data...3453241576</v>
        <stp/>
        <stp>BDP|8313925844516597346</stp>
        <tr r="AA40" s="89"/>
        <tr r="Z40" s="89"/>
      </tp>
      <tp t="s">
        <v>#N/A Requesting Data...3890250651</v>
        <stp/>
        <stp>BDP|3485044105441809296</stp>
        <tr r="L12" s="338"/>
        <tr r="J12" s="338"/>
      </tp>
      <tp t="s">
        <v>#N/A Requesting Data...3078839997</v>
        <stp/>
        <stp>BDP|7774064174301905182</stp>
        <tr r="T49" s="89"/>
      </tp>
      <tp t="s">
        <v>#N/A Requesting Data...3680963657</v>
        <stp/>
        <stp>BDP|6637641837380428351</stp>
        <tr r="D89" s="89"/>
      </tp>
      <tp t="s">
        <v>#N/A Requesting Data...3792410386</v>
        <stp/>
        <stp>BDP|2723076874625349028</stp>
        <tr r="M7" s="252"/>
      </tp>
      <tp t="s">
        <v>#N/A Requesting Data...2605448435</v>
        <stp/>
        <stp>BDP|4386065153847319607</stp>
        <tr r="C10" s="2"/>
      </tp>
      <tp t="s">
        <v>#N/A Requesting Data...2400559816</v>
        <stp/>
        <stp>BDP|1377734860226121644</stp>
        <tr r="C234" s="89"/>
      </tp>
      <tp>
        <v>22.9</v>
        <stp/>
        <stp>BDP|18330625039410541292|22</stp>
        <stp>AMZN US 07/17/26 C250 Equity</stp>
        <stp>ask</stp>
        <tr r="L234" s="89"/>
      </tp>
      <tp>
        <v>37.700000000000003</v>
        <stp/>
        <stp>BDP|14709653448625040347|22</stp>
        <stp>TSM US 07/17/26 C340 Equity</stp>
        <stp>ask</stp>
        <tr r="L19" s="89"/>
      </tp>
      <tp>
        <v>18.88</v>
        <stp/>
        <stp>BDP|13708122924811862625|22</stp>
        <stp>TSM US 06/18/26 C380 Equity</stp>
        <stp>mid</stp>
        <tr r="L26" s="2"/>
      </tp>
      <tp>
        <v>3.9809998124837875E-3</v>
        <stp/>
        <stp>BDP|8036523313045880996|22</stp>
        <stp>INTC US 01/23/26 C60 Equity</stp>
        <stp>DELTA_MID_RT</stp>
        <tr r="W39" s="89"/>
      </tp>
      <tp>
        <v>198.93</v>
        <stp/>
        <stp>BDP|17027429052585223577|22</stp>
        <stp>RSP EQUITY</stp>
        <stp>LAST_PRICE</stp>
        <tr r="I5" s="1"/>
      </tp>
      <tp t="s">
        <v>USD</v>
        <stp/>
        <stp>BDP|18426495895033002022|22</stp>
        <stp>NFLX US 03/20/26 P80 Equity</stp>
        <stp>QUOTED_CURRENCY_REALTIME</stp>
        <tr r="F188" s="89"/>
      </tp>
      <tp t="s">
        <v>#N/A Requesting Data...3305481560</v>
        <stp/>
        <stp>BDP|5033376349836196559</stp>
        <tr r="X29" s="338"/>
      </tp>
      <tp t="s">
        <v>#N/A Requesting Data...3647541332</v>
        <stp/>
        <stp>BDP|5906347697766862884</stp>
        <tr r="C20" s="2"/>
      </tp>
      <tp t="s">
        <v>#N/A Requesting Data...2883024399</v>
        <stp/>
        <stp>BDP|3552512649496298558</stp>
        <tr r="M14" s="252"/>
      </tp>
      <tp t="s">
        <v>#N/A Requesting Data...2614575278</v>
        <stp/>
        <stp>BDP|6512582705651116331</stp>
        <tr r="D15" s="2"/>
        <tr r="C62" s="89"/>
      </tp>
      <tp t="s">
        <v>#N/A Requesting Data...4120400353</v>
        <stp/>
        <stp>BDP|9441671451828916306</stp>
        <tr r="AF43" s="1"/>
      </tp>
      <tp t="s">
        <v>#N/A Requesting Data...4131587630</v>
        <stp/>
        <stp>BDP|8548403483194970146</stp>
        <tr r="V55" s="89"/>
      </tp>
      <tp t="s">
        <v>#N/A Requesting Data...3771476826</v>
        <stp/>
        <stp>BDP|3243861311373893853</stp>
        <tr r="E9" s="2"/>
      </tp>
      <tp t="s">
        <v>#N/A Requesting Data...2908715046</v>
        <stp/>
        <stp>BDP|9570666606426496899</stp>
        <tr r="T8" s="2"/>
      </tp>
      <tp t="s">
        <v>#N/A Requesting Data...2776026739</v>
        <stp/>
        <stp>BDP|5889104764011396273</stp>
        <tr r="AI40" s="1"/>
        <tr r="AI41" s="1"/>
      </tp>
      <tp t="s">
        <v>#N/A Requesting Data...3690214851</v>
        <stp/>
        <stp>BDP|5256432133392845134</stp>
        <tr r="C101" s="89"/>
      </tp>
      <tp t="e">
        <v>#N/A</v>
        <stp/>
        <stp>BDH|5138295748592067099</stp>
        <tr r="AR54" s="338"/>
      </tp>
      <tp t="s">
        <v>#N/A Requesting Data...4256281255</v>
        <stp/>
        <stp>BDP|7551465529835272566</stp>
        <tr r="N9" s="252"/>
        <tr r="N9" s="252"/>
      </tp>
      <tp t="s">
        <v>#N/A Requesting Data...3089723907</v>
        <stp/>
        <stp>BDP|1897815793981176051</stp>
        <tr r="AR14" s="2"/>
      </tp>
      <tp t="s">
        <v>#N/A Requesting Data...2941240409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Data...2809348883</v>
        <stp/>
        <stp>BDP|7601159166158268985</stp>
        <tr r="S16" s="252"/>
      </tp>
      <tp t="s">
        <v>#N/A Requesting Data...3452220567</v>
        <stp/>
        <stp>BDP|3235511292777879969</stp>
        <tr r="X11" s="338"/>
      </tp>
      <tp t="s">
        <v>#N/A Requesting Data...2880043972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Data...4001805459</v>
        <stp/>
        <stp>BDP|1748256233439783899</stp>
        <tr r="T15" s="338"/>
        <tr r="T39" s="338"/>
      </tp>
      <tp t="e">
        <v>#N/A</v>
        <stp/>
        <stp>BDH|9509705658318760257</stp>
        <tr r="AM12" s="338"/>
      </tp>
      <tp t="s">
        <v>#N/A Requesting Data...4171311257</v>
        <stp/>
        <stp>BDP|7660636101386198693</stp>
        <tr r="P15" s="338"/>
        <tr r="P39" s="338"/>
      </tp>
      <tp t="s">
        <v>#N/A Requesting Data...2951899865</v>
        <stp/>
        <stp>BDP|8463094131499939398</stp>
        <tr r="X18" s="338"/>
      </tp>
      <tp t="s">
        <v>#N/A Requesting Data...2598778775</v>
        <stp/>
        <stp>BDP|7404929821424807933</stp>
        <tr r="L16" s="338"/>
        <tr r="H16" s="338"/>
        <tr r="L38" s="338"/>
        <tr r="H38" s="338"/>
        <tr r="L40" s="338"/>
        <tr r="H40" s="338"/>
      </tp>
      <tp t="s">
        <v>#N/A Requesting Data...3153724379</v>
        <stp/>
        <stp>BDP|4539099601905635071</stp>
        <tr r="O20" s="252"/>
      </tp>
      <tp t="s">
        <v>#N/A N/A</v>
        <stp/>
        <stp>BDP|7860267098129973432</stp>
        <tr r="R109" s="89"/>
      </tp>
      <tp t="s">
        <v>#N/A Requesting Data...3586104197</v>
        <stp/>
        <stp>BDP|6241899226908646569</stp>
        <tr r="D42" s="446"/>
      </tp>
      <tp t="s">
        <v>#N/A Requesting Data...4131505787</v>
        <stp/>
        <stp>BDP|4860578020495354717</stp>
        <tr r="V34" s="89"/>
      </tp>
      <tp t="s">
        <v>#N/A Requesting Data...4209738165</v>
        <stp/>
        <stp>BDP|2974198673022627786</stp>
        <tr r="AK48" s="338"/>
        <tr r="AK49" s="338"/>
      </tp>
      <tp t="s">
        <v>#N/A Requesting Data...2466103720</v>
        <stp/>
        <stp>BDP|5183368778820171035</stp>
        <tr r="F45" s="446"/>
      </tp>
      <tp t="s">
        <v>#N/A Requesting Data...3245593400</v>
        <stp/>
        <stp>BDP|5678783394829319341</stp>
        <tr r="F26" s="2"/>
      </tp>
      <tp t="s">
        <v>#N/A Requesting Data...2596753288</v>
        <stp/>
        <stp>BDP|5223714776062803600</stp>
        <tr r="AC13" s="1"/>
      </tp>
      <tp t="s">
        <v>#N/A Requesting Data...3581459257</v>
        <stp/>
        <stp>BDP|3883643900057626383</stp>
        <tr r="D27" s="89"/>
      </tp>
      <tp t="s">
        <v>#N/A Requesting Data...2707114693</v>
        <stp/>
        <stp>BDP|3451935198061445399</stp>
        <tr r="E20" s="2"/>
      </tp>
      <tp t="s">
        <v>#N/A Requesting Data...4271494839</v>
        <stp/>
        <stp>BDP|3944260510565890457</stp>
        <tr r="O34" s="89"/>
      </tp>
      <tp t="s">
        <v>#N/A Requesting Data...4006149575</v>
        <stp/>
        <stp>BDP|7603021556517835487</stp>
        <tr r="AH52" s="338"/>
        <tr r="AH53" s="338"/>
        <tr r="AH54" s="338"/>
      </tp>
      <tp t="s">
        <v>#N/A Requesting Data...3464816913</v>
        <stp/>
        <stp>BDP|4388333855843269056</stp>
        <tr r="P10" s="252"/>
      </tp>
      <tp t="s">
        <v>#N/A Requesting Data...3970324772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Data...3318252276</v>
        <stp/>
        <stp>BDP|2790133807587110508</stp>
        <tr r="O10" s="252"/>
      </tp>
      <tp t="s">
        <v>#N/A Requesting Data...2939995114</v>
        <stp/>
        <stp>BDP|7513670475916134150</stp>
        <tr r="AG18" s="338"/>
      </tp>
      <tp t="s">
        <v>#N/A Requesting Data...3151050205</v>
        <stp/>
        <stp>BDP|2596537674745718469</stp>
        <tr r="C27" s="89"/>
      </tp>
      <tp t="s">
        <v>#N/A N/A</v>
        <stp/>
        <stp>BDP|9633924773914414208</stp>
        <tr r="AC5" s="2"/>
        <tr r="AC6" s="2"/>
      </tp>
      <tp t="s">
        <v>#N/A Requesting Data...3891960574</v>
        <stp/>
        <stp>BDP|6571135877398464961</stp>
        <tr r="E8" s="89"/>
      </tp>
      <tp t="s">
        <v>#N/A Requesting Data...3753954426</v>
        <stp/>
        <stp>BDP|9843491038236897916</stp>
        <tr r="C20" s="89"/>
      </tp>
      <tp t="s">
        <v>#N/A Requesting Data...3071374474</v>
        <stp/>
        <stp>BDP|9739406253298596110</stp>
        <tr r="AI20" s="1"/>
        <tr r="AI26" s="1"/>
      </tp>
      <tp t="s">
        <v>#N/A N/A</v>
        <stp/>
        <stp>BDP|1821230040030393694</stp>
        <tr r="AQ15" s="2"/>
        <tr r="AQ16" s="2"/>
        <tr r="AQ14" s="2"/>
        <tr r="AQ13" s="2"/>
        <tr r="AB62" s="89"/>
        <tr r="AB63" s="89"/>
      </tp>
      <tp t="s">
        <v>#N/A Requesting Data...3579930105</v>
        <stp/>
        <stp>BDP|6324014549174281781</stp>
        <tr r="L31" s="338"/>
        <tr r="L32" s="338"/>
        <tr r="H31" s="338"/>
        <tr r="H32" s="338"/>
      </tp>
      <tp t="s">
        <v>#N/A N/A</v>
        <stp/>
        <stp>BDP|8968284987484412739</stp>
        <tr r="AQ25" s="2"/>
        <tr r="AQ26" s="2"/>
        <tr r="AB13" s="89"/>
        <tr r="AB14" s="89"/>
        <tr r="AB19" s="89"/>
        <tr r="AB20" s="89"/>
      </tp>
      <tp t="s">
        <v>#N/A Requesting Data...3935208690</v>
        <stp/>
        <stp>BDP|8707806237397902583</stp>
        <tr r="S11" s="252"/>
      </tp>
      <tp t="s">
        <v>#N/A Requesting Data...2371905283</v>
        <stp/>
        <stp>BDP|9939228331380883944</stp>
        <tr r="G11" s="446"/>
      </tp>
      <tp t="s">
        <v>#N/A Requesting Data...3816269246</v>
        <stp/>
        <stp>BDP|7072033161838356860</stp>
        <tr r="O75" s="89"/>
      </tp>
      <tp t="s">
        <v>#N/A Requesting Data...3323360866</v>
        <stp/>
        <stp>BDP|2267087599569280367</stp>
        <tr r="P34" s="338"/>
      </tp>
      <tp t="s">
        <v>#N/A Requesting Data...4129004586</v>
        <stp/>
        <stp>BDP|2620429521461757456</stp>
        <tr r="AK42" s="338"/>
      </tp>
      <tp t="s">
        <v>#N/A Requesting Data...3427310093</v>
        <stp/>
        <stp>BDP|1853592559625966565</stp>
        <tr r="Q34" s="338"/>
      </tp>
      <tp t="s">
        <v>#N/A Requesting Data...4048008801</v>
        <stp/>
        <stp>BDP|7066346967523510010</stp>
        <tr r="U9" s="338"/>
      </tp>
      <tp t="s">
        <v>#N/A Requesting Data...2396631823</v>
        <stp/>
        <stp>BDP|6497440232258298876</stp>
        <tr r="AF13" s="1"/>
      </tp>
      <tp t="s">
        <v>#N/A Requesting Data...4115401548</v>
        <stp/>
        <stp>BDP|4309165367065469727</stp>
        <tr r="E23" s="2"/>
      </tp>
      <tp>
        <v>40.799999999999997</v>
        <stp/>
        <stp>BDP|11372581848729563069|22</stp>
        <stp>META US 04/17/26 C690 Equity</stp>
        <stp>mid</stp>
        <tr r="L11" s="2"/>
      </tp>
      <tp t="s">
        <v>#N/A N/A</v>
        <stp/>
        <stp>BDP|10072792451967782103|22</stp>
        <stp>ASML US 01/23/26 P1200 Equity</stp>
        <stp>bid</stp>
        <tr r="K49" s="89"/>
      </tp>
      <tp>
        <v>0.01</v>
        <stp/>
        <stp>BDP|11369737407115501686|22</stp>
        <stp>QQQ US 01/26/26 C630 Equity</stp>
        <stp>ask</stp>
        <tr r="L211" s="89"/>
      </tp>
      <tp>
        <v>2.75</v>
        <stp/>
        <stp>BDP|118569511771704697|22</stp>
        <stp>INTC US 07/17/26 C60 Equity</stp>
        <stp>ask</stp>
        <tr r="Q21" s="2"/>
        <tr r="L195" s="89"/>
      </tp>
      <tp t="s">
        <v>#N/A Requesting Data...3704406460</v>
        <stp/>
        <stp>BDP|3688604139137001352</stp>
        <tr r="O204" s="89"/>
      </tp>
      <tp t="s">
        <v>#N/A Requesting Data...3731538572</v>
        <stp/>
        <stp>BDP|6219652639352291374</stp>
        <tr r="D55" s="89"/>
      </tp>
      <tp t="s">
        <v>#N/A Requesting Data...3815985510</v>
        <stp/>
        <stp>BDP|7964758820092579227</stp>
        <tr r="AJ52" s="338"/>
        <tr r="AJ53" s="338"/>
        <tr r="AJ54" s="338"/>
      </tp>
      <tp t="s">
        <v>#N/A Requesting Data...4050950165</v>
        <stp/>
        <stp>BDP|7860310106547363177</stp>
        <tr r="AA180" s="89"/>
        <tr r="Z180" s="89"/>
      </tp>
      <tp t="s">
        <v>#N/A Requesting Data...2499480535</v>
        <stp/>
        <stp>BDP|5825526611073956096</stp>
        <tr r="AA33" s="89"/>
        <tr r="Z33" s="89"/>
      </tp>
      <tp t="s">
        <v>#N/A Requesting Data...3901430586</v>
        <stp/>
        <stp>BDP|6976223375119574839</stp>
        <tr r="K46" s="1"/>
      </tp>
      <tp t="s">
        <v>#N/A Requesting Data...2424709235</v>
        <stp/>
        <stp>BDP|9060205111721083990</stp>
        <tr r="AI48" s="338"/>
        <tr r="AI49" s="338"/>
        <tr r="AK48" s="338"/>
        <tr r="AK49" s="338"/>
      </tp>
      <tp t="s">
        <v>#N/A Requesting Data...3224831913</v>
        <stp/>
        <stp>BDP|8644058243408809607</stp>
        <tr r="V49" s="338"/>
      </tp>
      <tp t="s">
        <v>#N/A Requesting Data...3067888197</v>
        <stp/>
        <stp>BDP|2721287269476965276</stp>
        <tr r="V35" s="338"/>
      </tp>
      <tp t="s">
        <v>#N/A Requesting Data...2701703358</v>
        <stp/>
        <stp>BDP|1927755561564288678</stp>
        <tr r="G45" s="446"/>
      </tp>
      <tp t="s">
        <v>#N/A Requesting Data...2585389407</v>
        <stp/>
        <stp>BDP|3284843281913962260</stp>
        <tr r="C7" s="2"/>
      </tp>
      <tp t="s">
        <v>#N/A Requesting Data...3050429269</v>
        <stp/>
        <stp>BDP|5871188314703840456</stp>
        <tr r="L11" s="338"/>
        <tr r="J11" s="338"/>
      </tp>
      <tp t="s">
        <v>#N/A Requesting Data...3977266558</v>
        <stp/>
        <stp>BDP|5728718823292467081</stp>
        <tr r="S24" s="2"/>
        <tr r="N81" s="89"/>
        <tr r="S4" s="2"/>
        <tr r="S5" s="2"/>
        <tr r="S7" s="2"/>
        <tr r="S8" s="2"/>
        <tr r="S9" s="2"/>
        <tr r="S10" s="2"/>
        <tr r="S11" s="2"/>
        <tr r="S12" s="2"/>
        <tr r="S13" s="2"/>
        <tr r="S14" s="2"/>
        <tr r="S15" s="2"/>
        <tr r="S16" s="2"/>
        <tr r="S17" s="2"/>
        <tr r="S18" s="2"/>
        <tr r="S19" s="2"/>
        <tr r="S20" s="2"/>
        <tr r="S21" s="2"/>
        <tr r="S22" s="2"/>
        <tr r="S23" s="2"/>
        <tr r="S25" s="2"/>
        <tr r="S26" s="2"/>
        <tr r="S6" s="2"/>
        <tr r="L17" s="1"/>
        <tr r="L12" s="1"/>
        <tr r="L13" s="1"/>
        <tr r="L14" s="1"/>
        <tr r="L16" s="1"/>
        <tr r="L18" s="1"/>
        <tr r="L19" s="1"/>
        <tr r="L20" s="1"/>
        <tr r="L21" s="1"/>
        <tr r="L22" s="1"/>
        <tr r="L23" s="1"/>
        <tr r="L24" s="1"/>
        <tr r="L25" s="1"/>
        <tr r="L26" s="1"/>
        <tr r="L27" s="1"/>
        <tr r="L28" s="1"/>
        <tr r="L29" s="1"/>
        <tr r="L31" s="1"/>
        <tr r="L32" s="1"/>
        <tr r="L33" s="1"/>
        <tr r="L34" s="1"/>
        <tr r="L35" s="1"/>
        <tr r="L36" s="1"/>
        <tr r="L37" s="1"/>
        <tr r="L38" s="1"/>
        <tr r="L39" s="1"/>
        <tr r="L40" s="1"/>
        <tr r="L41" s="1"/>
        <tr r="L42" s="1"/>
        <tr r="L43" s="1"/>
        <tr r="L44" s="1"/>
        <tr r="L45" s="1"/>
        <tr r="L46" s="1"/>
        <tr r="L47" s="1"/>
        <tr r="L48" s="1"/>
        <tr r="L49" s="1"/>
        <tr r="L15" s="1"/>
        <tr r="N101" s="89"/>
        <tr r="N102" s="89"/>
        <tr r="N160" s="89"/>
        <tr r="N76" s="89"/>
        <tr r="N82" s="89"/>
        <tr r="N95" s="89"/>
        <tr r="N50" s="89"/>
        <tr r="N55" s="89"/>
        <tr r="N56" s="89"/>
        <tr r="N7" s="89"/>
        <tr r="N8" s="89"/>
        <tr r="N13" s="89"/>
        <tr r="N14" s="89"/>
        <tr r="N19" s="89"/>
        <tr r="N20" s="89"/>
        <tr r="N26" s="89"/>
        <tr r="N27" s="89"/>
        <tr r="N33" s="89"/>
        <tr r="N34" s="89"/>
        <tr r="N39" s="89"/>
        <tr r="N40" s="89"/>
        <tr r="N49" s="89"/>
        <tr r="N62" s="89"/>
        <tr r="N63" s="89"/>
        <tr r="N75" s="89"/>
        <tr r="N153" s="89"/>
        <tr r="N154" s="89"/>
        <tr r="N169" s="89"/>
        <tr r="N170" s="89"/>
        <tr r="N171" s="89"/>
        <tr r="N180" s="89"/>
        <tr r="N186" s="89"/>
        <tr r="N187" s="89"/>
        <tr r="N188" s="89"/>
        <tr r="N195" s="89"/>
        <tr r="N196" s="89"/>
        <tr r="N197" s="89"/>
        <tr r="N211" s="89"/>
        <tr r="N212" s="89"/>
        <tr r="N213" s="89"/>
        <tr r="N222" s="89"/>
        <tr r="N223" s="89"/>
        <tr r="N224" s="89"/>
        <tr r="N225" s="89"/>
        <tr r="N233" s="89"/>
        <tr r="N234" s="89"/>
        <tr r="N235" s="89"/>
        <tr r="N236" s="89"/>
        <tr r="N237" s="89"/>
      </tp>
      <tp t="s">
        <v>#N/A Requesting Data...3455451039</v>
        <stp/>
        <stp>BDP|5145625159843494775</stp>
        <tr r="P10" s="338"/>
      </tp>
      <tp t="s">
        <v>#N/A Requesting Data...3886770209</v>
        <stp/>
        <stp>BDP|3245769390257865821</stp>
        <tr r="Q52" s="338"/>
      </tp>
      <tp t="s">
        <v>#N/A Requesting Data...2957385622</v>
        <stp/>
        <stp>BDP|5676239072204174683</stp>
        <tr r="AA233" s="89"/>
        <tr r="Z233" s="89"/>
      </tp>
      <tp t="s">
        <v>#N/A Requesting Data...2979890844</v>
        <stp/>
        <stp>BDP|9919677548080032985</stp>
        <tr r="G44" s="446"/>
      </tp>
      <tp t="s">
        <v>#N/A Requesting Data...3799710109</v>
        <stp/>
        <stp>BDP|3371693940045698635</stp>
        <tr r="V123" s="89"/>
      </tp>
      <tp t="s">
        <v>#N/A Requesting Data...3518475323</v>
        <stp/>
        <stp>BDP|8428913731466273690</stp>
        <tr r="L8" s="252"/>
        <tr r="L8" s="252"/>
      </tp>
      <tp t="s">
        <v>#N/A Requesting Data...3449233507</v>
        <stp/>
        <stp>BDP|6223131064210098392</stp>
        <tr r="V14" s="338"/>
      </tp>
      <tp t="s">
        <v>#N/A Requesting Data...3696569357</v>
        <stp/>
        <stp>BDP|3289149679383755445</stp>
        <tr r="AC35" s="1"/>
        <tr r="AC36" s="1"/>
      </tp>
      <tp t="s">
        <v>#N/A Requesting Data...3574311332</v>
        <stp/>
        <stp>BDP|1858131163537242367</stp>
        <tr r="E7" s="89"/>
      </tp>
      <tp t="s">
        <v>#N/A Requesting Data...4130783038</v>
        <stp/>
        <stp>BDP|3910223521378009966</stp>
        <tr r="N11" s="252"/>
        <tr r="N11" s="252"/>
      </tp>
      <tp t="s">
        <v>#N/A Requesting Data...3930905502</v>
        <stp/>
        <stp>BDP|5024341343609931931</stp>
        <tr r="AJ41" s="338"/>
        <tr r="AJ42" s="338"/>
      </tp>
      <tp t="s">
        <v>#N/A Requesting Data...2561917195</v>
        <stp/>
        <stp>BDP|2109542547769740886</stp>
        <tr r="AI29" s="338"/>
        <tr r="AK29" s="338"/>
      </tp>
      <tp t="s">
        <v>#N/A Requesting Data...4179586066</v>
        <stp/>
        <stp>BDP|3213171497998766175</stp>
        <tr r="E69" s="89"/>
      </tp>
      <tp t="s">
        <v>#N/A Requesting Data...2594340504</v>
        <stp/>
        <stp>BDP|6172070853435387447</stp>
        <tr r="AB39" s="1"/>
      </tp>
      <tp t="s">
        <v>#N/A Requesting Data...3720748495</v>
        <stp/>
        <stp>BDP|4570633414290062103</stp>
        <tr r="E8" s="2"/>
      </tp>
      <tp t="s">
        <v>#N/A Requesting Data...2655042319</v>
        <stp/>
        <stp>BDP|1804270548235247073</stp>
        <tr r="AD4" s="2"/>
      </tp>
      <tp t="s">
        <v>#N/A Requesting Data...3302648807</v>
        <stp/>
        <stp>BDP|4636653477250550732</stp>
        <tr r="G31" s="446"/>
      </tp>
      <tp t="s">
        <v>#N/A Requesting Data...3001096180</v>
        <stp/>
        <stp>BDP|5714451203842663158</stp>
        <tr r="K8" s="1"/>
      </tp>
      <tp t="s">
        <v>#N/A Requesting Data...3215269472</v>
        <stp/>
        <stp>BDP|9027822556714688216</stp>
        <tr r="AA26" s="89"/>
        <tr r="Z26" s="89"/>
      </tp>
      <tp t="s">
        <v>#N/A Requesting Data...4270029850</v>
        <stp/>
        <stp>BDP|2544399571017687385</stp>
        <tr r="Q16" s="338"/>
        <tr r="Q38" s="338"/>
      </tp>
      <tp t="e">
        <v>#N/A</v>
        <stp/>
        <stp>BDH|1091775640210141059</stp>
        <tr r="AM40" s="338"/>
        <tr r="AM16" s="338"/>
        <tr r="AM38" s="338"/>
      </tp>
      <tp t="s">
        <v>#N/A Requesting Data...3045340619</v>
        <stp/>
        <stp>BDP|4880433377190901556</stp>
        <tr r="E115" s="89"/>
      </tp>
      <tp t="s">
        <v>#N/A Requesting Data...2761420100</v>
        <stp/>
        <stp>BDP|3519061147724655148</stp>
        <tr r="AJ31" s="338"/>
        <tr r="AJ32" s="338"/>
      </tp>
      <tp t="s">
        <v>#N/A Requesting Data...3077312909</v>
        <stp/>
        <stp>BDP|9125333988758543887</stp>
        <tr r="AJ17" s="338"/>
        <tr r="AJ18" s="338"/>
      </tp>
      <tp t="s">
        <v>#N/A Requesting Data...3521525580</v>
        <stp/>
        <stp>BDP|6725335069146326790</stp>
        <tr r="AR20" s="2"/>
      </tp>
      <tp t="s">
        <v>#N/A Requesting Data...2486694580</v>
        <stp/>
        <stp>BDP|6074165141125478443</stp>
        <tr r="Q51" s="338"/>
      </tp>
      <tp t="s">
        <v>#N/A Requesting Data...2921886259</v>
        <stp/>
        <stp>BDP|7134890756011396990</stp>
        <tr r="L45" s="338"/>
        <tr r="J45" s="338"/>
      </tp>
      <tp t="s">
        <v>#N/A Requesting Data...2803732577</v>
        <stp/>
        <stp>BDP|2307633905712170406</stp>
        <tr r="P46" s="338"/>
      </tp>
      <tp>
        <v>10.9</v>
        <stp/>
        <stp>BDP|10112733517336567434|22</stp>
        <stp>AKAM US 08/21/26 C115 Equity</stp>
        <stp>ask</stp>
        <tr r="L33" s="89"/>
      </tp>
      <tp t="s">
        <v>#N/A Real Time</v>
        <stp/>
        <stp>BDP|7002617886444187304|22</stp>
        <stp>RUWZ5 Index</stp>
        <stp>LAST_PRICE</stp>
        <tr r="S144" s="89"/>
        <tr r="S145" s="89"/>
      </tp>
      <tp t="s">
        <v>#N/A Requesting Data...3461824483</v>
        <stp/>
        <stp>BDP|2288489672854050620</stp>
        <tr r="E11" s="2"/>
      </tp>
      <tp t="s">
        <v>#N/A Requesting Data...4206744841</v>
        <stp/>
        <stp>BDP|4669365388388290407</stp>
        <tr r="K16" s="1"/>
        <tr r="K5" s="1"/>
      </tp>
      <tp t="s">
        <v>#N/A Requesting Data...2923308724</v>
        <stp/>
        <stp>BDP|1294995983457020437</stp>
        <tr r="E222" s="89"/>
      </tp>
      <tp t="s">
        <v>#N/A Requesting Data...3092000761</v>
        <stp/>
        <stp>BDP|2591422732557732191</stp>
        <tr r="L13" s="338"/>
        <tr r="H13" s="338"/>
        <tr r="L34" s="338"/>
        <tr r="H34" s="338"/>
      </tp>
      <tp t="s">
        <v>#N/A Requesting Data...2739763782</v>
        <stp/>
        <stp>BDP|3208325823773954213</stp>
        <tr r="K13" s="1"/>
      </tp>
      <tp t="s">
        <v>#N/A Requesting Data...2503736910</v>
        <stp/>
        <stp>BDP|7919916036548158668</stp>
        <tr r="AI9" s="338"/>
        <tr r="AK9" s="338"/>
      </tp>
      <tp t="s">
        <v>#N/A Requesting Data...3687979546</v>
        <stp/>
        <stp>BDP|5970596063913968630</stp>
        <tr r="AG30" s="338"/>
      </tp>
      <tp t="s">
        <v>#N/A Requesting Data...2883787012</v>
        <stp/>
        <stp>BDP|7170630364126625297</stp>
        <tr r="S52" s="338"/>
      </tp>
      <tp t="s">
        <v>#N/A Requesting Data...4224105150</v>
        <stp/>
        <stp>BDP|7115677759757668004</stp>
        <tr r="AC45" s="1"/>
      </tp>
      <tp t="s">
        <v>#N/A Requesting Data...2932713002</v>
        <stp/>
        <stp>BDP|3754293213215371607</stp>
        <tr r="AB18" s="1"/>
        <tr r="AB19" s="1"/>
        <tr r="F5" s="446"/>
        <tr r="F6" s="446"/>
      </tp>
      <tp t="s">
        <v>#N/A Requesting Data...3024999768</v>
        <stp/>
        <stp>BDP|2213180314153111209</stp>
        <tr r="AF16" s="1"/>
        <tr r="AG15" s="338"/>
        <tr r="AG16" s="338"/>
        <tr r="AG17" s="338"/>
        <tr r="AG38" s="338"/>
        <tr r="AG39" s="338"/>
        <tr r="AG44" s="338"/>
        <tr r="AG52" s="338"/>
      </tp>
      <tp t="s">
        <v>#N/A Requesting Data...3226807223</v>
        <stp/>
        <stp>BDP|6716369783157547983</stp>
        <tr r="V234" s="89"/>
      </tp>
      <tp t="s">
        <v>#N/A Requesting Data...3648749231</v>
        <stp/>
        <stp>BDP|9588206623063881918</stp>
        <tr r="AF42" s="1"/>
      </tp>
      <tp t="s">
        <v>#N/A Requesting Data...3105522315</v>
        <stp/>
        <stp>BDP|9390709548618762108</stp>
        <tr r="N6" s="252"/>
        <tr r="N6" s="252"/>
      </tp>
      <tp t="s">
        <v>#N/A Requesting Data...2919395344</v>
        <stp/>
        <stp>BDP|7796453577674837314</stp>
        <tr r="U44" s="338"/>
      </tp>
      <tp t="s">
        <v>#N/A Requesting Data...2903429512</v>
        <stp/>
        <stp>BDP|7961266924697349349</stp>
        <tr r="X36" s="338"/>
      </tp>
      <tp t="s">
        <v>#N/A Requesting Data...4254425026</v>
        <stp/>
        <stp>BDP|7659781264157478228</stp>
        <tr r="D95" s="89"/>
      </tp>
      <tp t="s">
        <v>#N/A Requesting Data...3761584731</v>
        <stp/>
        <stp>BDP|7777047645317887721</stp>
        <tr r="V145" s="89"/>
      </tp>
      <tp t="s">
        <v>#N/A Requesting Data...2902782028</v>
        <stp/>
        <stp>BDP|2793585885519216544</stp>
        <tr r="L19" s="252"/>
        <tr r="L19" s="252"/>
      </tp>
      <tp t="s">
        <v>#N/A Requesting Data...2669437031</v>
        <stp/>
        <stp>BDP|8230930209200509213</stp>
        <tr r="X30" s="338"/>
      </tp>
      <tp t="s">
        <v>#N/A Requesting Data...3902904917</v>
        <stp/>
        <stp>BDP|2987243114927275566</stp>
        <tr r="E63" s="89"/>
      </tp>
      <tp t="s">
        <v>#N/A Requesting Data...3815993465</v>
        <stp/>
        <stp>BDP|9739316558495716945</stp>
        <tr r="T10" s="2"/>
        <tr r="O8" s="89"/>
      </tp>
      <tp t="e">
        <v>#N/A</v>
        <stp/>
        <stp>BDH|9039199458056939854</stp>
        <tr r="AM18" s="338"/>
        <tr r="AM17" s="338"/>
      </tp>
      <tp t="s">
        <v>#N/A Requesting Data...3073672577</v>
        <stp/>
        <stp>BDP|6169555274102368514</stp>
        <tr r="S10" s="338"/>
      </tp>
      <tp t="s">
        <v>#N/A Requesting Data...3112039878</v>
        <stp/>
        <stp>BDP|2465258476870377467</stp>
        <tr r="AA122" s="89"/>
        <tr r="Z122" s="89"/>
      </tp>
      <tp t="s">
        <v>#N/A Requesting Data...4098642420</v>
        <stp/>
        <stp>BDP|5883809549779294303</stp>
        <tr r="Q50" s="338"/>
      </tp>
      <tp t="s">
        <v>#N/A Requesting Data...3702055344</v>
        <stp/>
        <stp>BDP|6388474636212327020</stp>
        <tr r="Q29" s="338"/>
      </tp>
      <tp t="s">
        <v>#N/A Requesting Data...2849162476</v>
        <stp/>
        <stp>BDP|8020332285295353568</stp>
        <tr r="P32" s="338"/>
      </tp>
      <tp t="s">
        <v>#N/A Requesting Data...3677405437</v>
        <stp/>
        <stp>BDP|3712593953265415595</stp>
        <tr r="K20" s="1"/>
      </tp>
      <tp t="s">
        <v>#N/A Requesting Data...3583638540</v>
        <stp/>
        <stp>BDP|1486674387064710827</stp>
        <tr r="AH55" s="338"/>
        <tr r="AI14" s="338"/>
        <tr r="AI55" s="338"/>
        <tr r="AJ55" s="338"/>
        <tr r="AK14" s="338"/>
        <tr r="AK55" s="338"/>
      </tp>
      <tp t="s">
        <v>#N/A Requesting Data...4245577592</v>
        <stp/>
        <stp>BDP|5888175656914033689</stp>
        <tr r="AA25" s="2"/>
        <tr r="T13" s="89"/>
      </tp>
      <tp t="s">
        <v>#N/A Requesting Data...3388637329</v>
        <stp/>
        <stp>BDP|1111234221652305017</stp>
        <tr r="AD10" s="2"/>
        <tr r="V8" s="89"/>
      </tp>
      <tp t="s">
        <v>#N/A Requesting Data...3033837928</v>
        <stp/>
        <stp>BDP|6109913190467097261</stp>
        <tr r="AG32" s="338"/>
        <tr r="AG46" s="338"/>
        <tr r="AG50" s="338"/>
        <tr r="AG8" s="338"/>
      </tp>
      <tp t="s">
        <v>#N/A Requesting Data...2826455446</v>
        <stp/>
        <stp>BDP|5764387578793708167</stp>
        <tr r="M20" s="252"/>
      </tp>
      <tp t="s">
        <v>#N/A Requesting Data...3277824475</v>
        <stp/>
        <stp>BDP|6515604110606525460</stp>
        <tr r="AC48" s="1"/>
      </tp>
      <tp t="s">
        <v>#N/A Requesting Data...3558522742</v>
        <stp/>
        <stp>BDP|2834421045940985100</stp>
        <tr r="E186" s="89"/>
      </tp>
      <tp t="s">
        <v>#N/A Requesting Data...2877248392</v>
        <stp/>
        <stp>BDP|6555173421444373279</stp>
        <tr r="AI13" s="338"/>
      </tp>
      <tp t="s">
        <v>#N/A Requesting Data...2856881329</v>
        <stp/>
        <stp>BDP|9226344490726854691</stp>
        <tr r="E101" s="89"/>
      </tp>
      <tp t="s">
        <v>#N/A Requesting Data...3530710725</v>
        <stp/>
        <stp>BDP|6281575064076017068</stp>
        <tr r="AC14" s="1"/>
        <tr r="AC15" s="1"/>
      </tp>
      <tp t="s">
        <v>#N/A Requesting Data...3817612807</v>
        <stp/>
        <stp>BDP|6247087616267870331</stp>
        <tr r="AH29" s="338"/>
        <tr r="AH30" s="338"/>
      </tp>
      <tp t="s">
        <v>#N/A Requesting Data...3822884396</v>
        <stp/>
        <stp>BDP|4307029492407618910</stp>
        <tr r="AK45" s="338"/>
      </tp>
      <tp t="s">
        <v>#N/A Requesting Data...3258429245</v>
        <stp/>
        <stp>BDP|5625712468837321088</stp>
        <tr r="F17" s="2"/>
        <tr r="F18" s="2"/>
      </tp>
      <tp t="s">
        <v>#N/A Requesting Data...4233234401</v>
        <stp/>
        <stp>BDP|8245865345547421013</stp>
        <tr r="AC27" s="1"/>
        <tr r="AC29" s="1"/>
        <tr r="D30" s="446"/>
      </tp>
      <tp>
        <v>25.23</v>
        <stp/>
        <stp>BDP|15445659143445538222|22</stp>
        <stp>AMZN US 07/17/26 C245 Equity</stp>
        <stp>mid</stp>
        <tr r="L4" s="2"/>
      </tp>
      <tp>
        <v>75.45</v>
        <stp/>
        <stp>BDP|8491242153513196784|22</stp>
        <stp>SHEL Equity</stp>
        <stp>LAST PRICE</stp>
        <tr r="I30" s="338"/>
      </tp>
      <tp>
        <v>74.849999999999994</v>
        <stp/>
        <stp>BDP|18176311034118889492|22</stp>
        <stp>META US 07/17/26 C670 Equity</stp>
        <stp>ask</stp>
        <tr r="Q12" s="2"/>
      </tp>
      <tp t="s">
        <v>#N/A Real Time</v>
        <stp/>
        <stp>BDP|176778424576207183|22</stp>
        <stp>4OK5C 21650 Index</stp>
        <stp>QUOTED_CURRENCY_REALTIME</stp>
        <tr r="F116" s="89"/>
      </tp>
      <tp>
        <v>480.58</v>
        <stp/>
        <stp>BDP|9988051122657863096|22</stp>
        <stp>MSFT US Equity</stp>
        <stp>LAST_PRICE</stp>
        <tr r="Z17" s="2"/>
        <tr r="Z18" s="2"/>
        <tr r="Z19" s="2"/>
        <tr r="Z20" s="2"/>
        <tr r="S26" s="89"/>
        <tr r="S27" s="89"/>
        <tr r="S235" s="89"/>
      </tp>
      <tp>
        <v>21.1</v>
        <stp/>
        <stp>BDP|13077608409888620624|22</stp>
        <stp>NVDA US 07/17/26 C195 Equity</stp>
        <stp>bid</stp>
        <tr r="K237" s="89"/>
      </tp>
      <tp>
        <v>-0.10912351310253143</v>
        <stp/>
        <stp>BDP|12098786877158670568|22</stp>
        <stp>TSM US 06/18/26 C340 Equity</stp>
        <stp>theta_mid_rt</stp>
        <tr r="AN25" s="2"/>
      </tp>
      <tp>
        <v>4.9000000000000004</v>
        <stp/>
        <stp>BDP|15563065055018194263|22</stp>
        <stp>INTC US 07/17/26 C50 Equity</stp>
        <stp>ask</stp>
        <tr r="Q22" s="2"/>
        <tr r="L196" s="89"/>
      </tp>
      <tp>
        <v>480.58</v>
        <stp/>
        <stp>BDP|1720488993946020104|22</stp>
        <stp>MSFT Equity</stp>
        <stp>LAST PRICE</stp>
        <tr r="G8" s="338"/>
        <tr r="G9" s="338"/>
      </tp>
      <tp t="s">
        <v>#N/A N/A</v>
        <stp/>
        <stp>BDP|12642213475526475226|22</stp>
        <stp>QQQ US 01/21/26 P616 Equity</stp>
        <stp>bid</stp>
        <tr r="K76" s="89"/>
      </tp>
      <tp t="s">
        <v>#N/A Real Time</v>
        <stp/>
        <stp>BDP|11962745817142531480|22</stp>
        <stp>SCH5C   6250 Index</stp>
        <stp>QUOTED_CURRENCY_REALTIME</stp>
        <tr r="F96" s="89"/>
      </tp>
      <tp t="s">
        <v>USD</v>
        <stp/>
        <stp>BDP|15807974610555755775|22</stp>
        <stp>MRVL US 03/20/26 P85 Equity</stp>
        <stp>QUOTED_CURRENCY_REALTIME</stp>
        <tr r="G13" s="2"/>
      </tp>
      <tp>
        <v>9244.8799999999992</v>
        <stp/>
        <stp>BDP|8345363860153837789|22</stp>
        <stp>HSCEI Index</stp>
        <stp>LAST_PRICE</stp>
        <tr r="H19" s="252"/>
        <tr r="H19" s="252"/>
      </tp>
      <tp>
        <v>31</v>
        <stp/>
        <stp>BDP|10753709129461662775|22</stp>
        <stp>MSFT US 07/17/26 C500 Equity</stp>
        <stp>mid</stp>
        <tr r="L19" s="2"/>
      </tp>
      <tp>
        <v>2.44</v>
        <stp/>
        <stp>BDP|16635244585526588457|22</stp>
        <stp>MRVL US 03/20/26 P70 Equity</stp>
        <stp>mid</stp>
        <tr r="L16" s="2"/>
      </tp>
      <tp>
        <v>17.55</v>
        <stp/>
        <stp>BDP|11549499930516457816|22</stp>
        <stp>AVGO US 06/18/26 C410 Equity</stp>
        <stp>bid</stp>
        <tr r="K222" s="89"/>
      </tp>
      <tp>
        <v>8.6300000000000008</v>
        <stp/>
        <stp>BDP|16199323523634865039|22</stp>
        <stp>MRVL US 03/20/26 P85 Equity</stp>
        <stp>mid</stp>
        <tr r="L13" s="2"/>
      </tp>
      <tp>
        <v>35.65</v>
        <stp/>
        <stp>BDP|17652529992752880187|22</stp>
        <stp>AVGO US 06/18/26 C350 Equity</stp>
        <stp>bid</stp>
        <tr r="P7" s="2"/>
        <tr r="K223" s="89"/>
      </tp>
      <tp t="s">
        <v>USD</v>
        <stp/>
        <stp>BDP|15044284398524356946|22</stp>
        <stp>GOOG US 07/17/26 C350 Equity</stp>
        <stp>QUOTED_CURRENCY_REALTIME</stp>
        <tr r="F236" s="89"/>
      </tp>
      <tp>
        <v>0.25</v>
        <stp/>
        <stp>BDP|15901604230708554053|22</stp>
        <stp>ASHR US 02/20/26 C35 Equity</stp>
        <stp>mid</stp>
        <tr r="L5" s="2"/>
        <tr r="L6" s="2"/>
      </tp>
      <tp t="s">
        <v>USD</v>
        <stp/>
        <stp>BDP|14649358559893085324|22</stp>
        <stp>AVGO US 06/18/26 C350 Equity</stp>
        <stp>QUOTED_CURRENCY_REALTIME</stp>
        <tr r="G7" s="2"/>
        <tr r="F223" s="89"/>
      </tp>
      <tp>
        <v>2.5</v>
        <stp/>
        <stp>BDP|15925931344332195569|22</stp>
        <stp>MRVL US 03/20/26 P70 Equity</stp>
        <stp>ask</stp>
        <tr r="Q16" s="2"/>
        <tr r="L63" s="89"/>
      </tp>
      <tp t="s">
        <v>#N/A N/A</v>
        <stp/>
        <stp>BDP|12264126630304816436|22</stp>
        <stp>INTC US 01/23/26 C60 Equity</stp>
        <stp>bid</stp>
        <tr r="K39" s="89"/>
      </tp>
      <tp>
        <v>8.5</v>
        <stp/>
        <stp>BDP|10246542437065037496|22</stp>
        <stp>MRVL US 03/20/26 P85 Equity</stp>
        <stp>bid</stp>
        <tr r="P13" s="2"/>
      </tp>
      <tp t="s">
        <v>#N/A Real Time</v>
        <stp/>
        <stp>BDP|10445519633806217931|22</stp>
        <stp>QQQ US 01/15/26 P623 Equity</stp>
        <stp>bid</stp>
        <tr r="K68" s="89"/>
      </tp>
      <tp t="s">
        <v>USD</v>
        <stp/>
        <stp>BDP|15517053885309908143|22</stp>
        <stp>NVDA US 07/17/26 C195 Equity</stp>
        <stp>QUOTED_CURRENCY_REALTIME</stp>
        <tr r="F237" s="89"/>
      </tp>
      <tp>
        <v>18.399999999999999</v>
        <stp/>
        <stp>BDP|982929759879592273|22</stp>
        <stp>TSM US 06/18/26 C380 Equity</stp>
        <stp>bid</stp>
        <tr r="P26" s="2"/>
        <tr r="K14" s="89"/>
      </tp>
      <tp>
        <v>5.9</v>
        <stp/>
        <stp>BDP|12289700020985263311|22</stp>
        <stp>MRVL US 03/20/26 P80 Equity</stp>
        <stp>bid</stp>
        <tr r="P15" s="2"/>
        <tr r="K62" s="89"/>
      </tp>
      <tp>
        <v>691.26869999999997</v>
        <stp/>
        <stp>BDP|12318182968788510555|22</stp>
        <stp>NDEUCHF Index</stp>
        <stp>LAST_PRICE</stp>
        <tr r="H16" s="252"/>
        <tr r="H16" s="252"/>
      </tp>
      <tp>
        <v>335</v>
        <stp/>
        <stp>BDP|2010687940946133293|22</stp>
        <stp>GOOG US Equity</stp>
        <stp>LAST_PRICE</stp>
        <tr r="S236" s="89"/>
      </tp>
      <tp>
        <v>480.58</v>
        <stp/>
        <stp>BDP|1912830234697829517|22</stp>
        <stp>MSFT Equity</stp>
        <stp>LAST_PRICE</stp>
        <tr r="I27" s="1"/>
        <tr r="I29" s="1"/>
      </tp>
      <tp>
        <v>0.01</v>
        <stp/>
        <stp>BDP|13025211079997579337|22</stp>
        <stp>QQQ US 01/23/26 P615 Equity</stp>
        <stp>ask</stp>
        <tr r="L75" s="89"/>
      </tp>
      <tp>
        <v>18.8</v>
        <stp/>
        <stp>BDP|10919516749140731717|22</stp>
        <stp>GDX US 09/18/26 C105 Equity</stp>
        <stp>bid</stp>
        <tr r="P8" s="2"/>
      </tp>
      <tp>
        <v>-0.18766228854656219</v>
        <stp/>
        <stp>BDP|9297989812730662657|22</stp>
        <stp>META US 07/17/26 C670 Equity</stp>
        <stp>theta_mid_rt</stp>
        <tr r="AN12" s="2"/>
      </tp>
      <tp>
        <v>2.92</v>
        <stp/>
        <stp>BDP|14325170417620805040|22</stp>
        <stp>QQQ US 01/29/26 P628 Equity</stp>
        <stp>bid</stp>
        <tr r="K81" s="89"/>
        <tr r="P24" s="2"/>
      </tp>
      <tp>
        <v>105.94</v>
        <stp/>
        <stp>BDP|11511261369815685982|22</stp>
        <stp>QQQE EQUITY</stp>
        <stp>LAST_PRICE</stp>
        <tr r="I7" s="1"/>
      </tp>
      <tp>
        <v>0.01</v>
        <stp/>
        <stp>BDP|11359973885359690374|22</stp>
        <stp>INTC US 01/23/26 C60 Equity</stp>
        <stp>ask</stp>
        <tr r="L39" s="89"/>
      </tp>
      <tp>
        <v>85.58</v>
        <stp/>
        <stp>BDP|8263106965958046051|22</stp>
        <stp>NFLX US Equity</stp>
        <stp>LAST_PRICE</stp>
        <tr r="S186" s="89"/>
        <tr r="S187" s="89"/>
        <tr r="S188" s="89"/>
      </tp>
      <tp>
        <v>6.55</v>
        <stp/>
        <stp>BDP|12374218908081165086|22</stp>
        <stp>NFLX US 03/20/26 P90 Equity</stp>
        <stp>ask</stp>
        <tr r="L187" s="89"/>
      </tp>
      <tp>
        <v>-0.25411871075630188</v>
        <stp/>
        <stp>BDP|6852050318923921669|22</stp>
        <stp>NFLX US 03/20/26 P80 Equity</stp>
        <stp>DELTA_MID_RT</stp>
        <tr r="W188" s="89"/>
      </tp>
      <tp>
        <v>0.01</v>
        <stp/>
        <stp>BDP|12587604460477320021|22</stp>
        <stp>QQQ US 01/26/26 P615 Equity</stp>
        <stp>ask</stp>
        <tr r="L213" s="89"/>
      </tp>
      <tp>
        <v>-6.5127946436405182E-2</v>
        <stp/>
        <stp>BDP|7470906167311467275|22</stp>
        <stp>AMZN US 07/17/26 C245 Equity</stp>
        <stp>theta_mid_rt</stp>
        <tr r="AN4" s="2"/>
      </tp>
      <tp t="s">
        <v>#N/A N/A</v>
        <stp/>
        <stp>BDP|47883857911709246</stp>
        <tr r="AV8" s="2"/>
        <tr r="AV9" s="2"/>
      </tp>
      <tp t="s">
        <v>#N/A Requesting Data...4091802886</v>
        <stp/>
        <stp>BDP|93312841741891818</stp>
        <tr r="V10" s="338"/>
      </tp>
      <tp t="s">
        <v>#N/A Real Time</v>
        <stp/>
        <stp>BDP|1757561132066500947|22</stp>
        <stp>SCH5C   6200 Index</stp>
        <stp>ask</stp>
        <tr r="L101" s="89"/>
      </tp>
      <tp t="s">
        <v>USD</v>
        <stp/>
        <stp>BDP|13376978630974659010|22</stp>
        <stp>MSFT US 01/30/26 C505 Equity</stp>
        <stp>QUOTED_CURRENCY_REALTIME</stp>
        <tr r="F27" s="89"/>
      </tp>
      <tp>
        <v>-9.2299998505041003E-4</v>
        <stp/>
        <stp>BDP|7284956293389292495|22</stp>
        <stp>ASML US 01/23/26 P1100 Equity</stp>
        <stp>DELTA_MID_RT</stp>
        <tr r="W50" s="89"/>
      </tp>
      <tp>
        <v>3.95</v>
        <stp/>
        <stp>BDP|14841963169371507253|22</stp>
        <stp>MRVL US 03/20/26 P75 Equity</stp>
        <stp>mid</stp>
        <tr r="L14" s="2"/>
      </tp>
      <tp>
        <v>258.27</v>
        <stp/>
        <stp>BDP|13852632459561529635|22</stp>
        <stp>AAPL EQUITY</stp>
        <stp>LAST_PRICE</stp>
        <tr r="C6" s="1"/>
      </tp>
      <tp>
        <v>37367.760000000002</v>
        <stp/>
        <stp>BDP|4029547894834693880|22</stp>
        <stp>TXIN0UNU Index</stp>
        <stp>LAST_PRICE</stp>
        <tr r="H10" s="252"/>
        <tr r="H10" s="252"/>
      </tp>
      <tp t="s">
        <v>USD</v>
        <stp/>
        <stp>BDP|16781416104780293116|22</stp>
        <stp>AKAM US 08/21/26 C130 Equity</stp>
        <stp>QUOTED_CURRENCY_REALTIME</stp>
        <tr r="F34" s="89"/>
      </tp>
      <tp>
        <v>520.41</v>
        <stp/>
        <stp>BDP|9828940858298145952|22</stp>
        <stp>MA Equity</stp>
        <stp>LAST PRICE</stp>
        <tr r="G16" s="338"/>
        <tr r="G38" s="338"/>
        <tr r="G40" s="338"/>
      </tp>
      <tp>
        <v>157.63999999999999</v>
        <stp/>
        <stp>BDP|7581686725725045071|22</stp>
        <stp>BIDU Equity</stp>
        <stp>LAST_PRICE</stp>
        <tr r="I13" s="1"/>
      </tp>
      <tp t="s">
        <v>#N/A Real Time</v>
        <stp/>
        <stp>BDP|790178945972254236|22</stp>
        <stp>IMBWK5C4 5840 Index</stp>
        <stp>QUOTED_CURRENCY_REALTIME</stp>
        <tr r="F89" s="89"/>
      </tp>
      <tp t="s">
        <v>USD</v>
        <stp/>
        <stp>BDP|13270901624241508025|22</stp>
        <stp>AMAT US 01/23/26 P280 Equity</stp>
        <stp>QUOTED_CURRENCY_REALTIME</stp>
        <tr r="F56" s="89"/>
      </tp>
      <tp>
        <v>4.05</v>
        <stp/>
        <stp>BDP|17311283871303777118|22</stp>
        <stp>MRVL US 03/20/26 P75 Equity</stp>
        <stp>ask</stp>
        <tr r="Q14" s="2"/>
      </tp>
      <tp>
        <v>0.03</v>
        <stp/>
        <stp>BDP|11546932509834899026|22</stp>
        <stp>AMAT US 01/23/26 P290 Equity</stp>
        <stp>ask</stp>
        <tr r="L55" s="89"/>
      </tp>
      <tp>
        <v>17.850000000000001</v>
        <stp/>
        <stp>BDP|13407383351402000483|22</stp>
        <stp>AVGO US 06/18/26 C410 Equity</stp>
        <stp>ask</stp>
        <tr r="L222" s="89"/>
      </tp>
      <tp>
        <v>3.7</v>
        <stp/>
        <stp>BDP|10401397329078283808|22</stp>
        <stp>MSFT US 01/30/26 C505 Equity</stp>
        <stp>ask</stp>
        <tr r="L27" s="89"/>
      </tp>
      <tp>
        <v>188.52</v>
        <stp/>
        <stp>BDP|2630581548609766860|22</stp>
        <stp>NVDA US Equity</stp>
        <stp>LAST_PRICE</stp>
        <tr r="S237" s="89"/>
      </tp>
      <tp t="s">
        <v>USD</v>
        <stp/>
        <stp>BDP|16004856901519448852|22</stp>
        <stp>INTC US 07/17/26 C60 Equity</stp>
        <stp>QUOTED_CURRENCY_REALTIME</stp>
        <tr r="G21" s="2"/>
        <tr r="F195" s="89"/>
      </tp>
      <tp>
        <v>334.55</v>
        <stp/>
        <stp>BDP|7379094059985716684|22</stp>
        <stp>GOOGL EQUITY</stp>
        <stp>LAST_PRICE</stp>
        <tr r="C8" s="1"/>
      </tp>
      <tp t="s">
        <v>USD</v>
        <stp/>
        <stp>BDP|14469217934206275638|22</stp>
        <stp>AVGO US 06/18/26 C410 Equity</stp>
        <stp>QUOTED_CURRENCY_REALTIME</stp>
        <tr r="F222" s="89"/>
      </tp>
      <tp>
        <v>474.67</v>
        <stp/>
        <stp>BDP|16804995271076659285|22</stp>
        <stp>BRK/B Equity</stp>
        <stp>LAST PRICE</stp>
        <tr r="I18" s="338"/>
      </tp>
      <tp>
        <v>8.75</v>
        <stp/>
        <stp>BDP|13966874951199659074|22</stp>
        <stp>MRVL US 03/20/26 P85 Equity</stp>
        <stp>ask</stp>
        <tr r="Q13" s="2"/>
      </tp>
      <tp>
        <v>35.950000000000003</v>
        <stp/>
        <stp>BDP|16021407028720881249|22</stp>
        <stp>AVGO US 06/18/26 C350 Equity</stp>
        <stp>ask</stp>
        <tr r="Q7" s="2"/>
        <tr r="L223" s="89"/>
      </tp>
      <tp>
        <v>188.58</v>
        <stp/>
        <stp>BDP|6290765801174780597|22</stp>
        <stp>WDAY Equity</stp>
        <stp>LAST PRICE</stp>
        <tr r="L10" s="446"/>
      </tp>
      <tp>
        <v>43.4</v>
        <stp/>
        <stp>BDP|17317623436430978477|22</stp>
        <stp>MSFT US 07/17/26 C475 Equity</stp>
        <stp>ask</stp>
        <tr r="Q17" s="2"/>
        <tr r="Q18" s="2"/>
      </tp>
      <tp>
        <v>13.6</v>
        <stp/>
        <stp>BDP|13310992897897785440|22</stp>
        <stp>META US 04/17/26 P590 Equity</stp>
        <stp>ask</stp>
        <tr r="L171" s="89"/>
      </tp>
      <tp>
        <v>6978.56</v>
        <stp/>
        <stp>BDP|2596990609892593565|22</stp>
        <stp>SPX Index</stp>
        <stp>LAST_PRICE</stp>
        <tr r="S160" s="89"/>
      </tp>
      <tp t="s">
        <v>#N/A Real Time</v>
        <stp/>
        <stp>BDP|17731858862065377261|22</stp>
        <stp>QQQ US 01/15/26 P623 Equity</stp>
        <stp>ask</stp>
        <tr r="L68" s="89"/>
      </tp>
      <tp>
        <v>7962.55</v>
        <stp/>
        <stp>BDP|17372378885504057467|22</stp>
        <stp>CSIN0301 Index</stp>
        <stp>LAST_PRICE</stp>
        <tr r="H7" s="252"/>
        <tr r="H7" s="252"/>
      </tp>
      <tp>
        <v>4.8</v>
        <stp/>
        <stp>BDP|13492411471909401383|22</stp>
        <stp>INTC US 07/17/26 C50 Equity</stp>
        <stp>mid</stp>
        <tr r="L22" s="2"/>
      </tp>
      <tp t="s">
        <v>USD</v>
        <stp/>
        <stp>BDP|15446977126727169536|22</stp>
        <stp>MSFT US 01/30/26 C490 Equity</stp>
        <stp>QUOTED_CURRENCY_REALTIME</stp>
        <tr r="F26" s="89"/>
      </tp>
      <tp>
        <v>21.25</v>
        <stp/>
        <stp>BDP|11464015968203804117|22</stp>
        <stp>NVDA US 07/17/26 C195 Equity</stp>
        <stp>ask</stp>
        <tr r="L237" s="89"/>
      </tp>
      <tp>
        <v>31.15</v>
        <stp/>
        <stp>BDP|15214879456180859876|22</stp>
        <stp>MSFT US 07/17/26 C500 Equity</stp>
        <stp>ask</stp>
        <tr r="Q19" s="2"/>
      </tp>
      <tp>
        <v>244.68</v>
        <stp/>
        <stp>BDP|12911088506019095722|22</stp>
        <stp>AMZN EQUITY</stp>
        <stp>LAST_PRICE</stp>
        <tr r="C5" s="1"/>
      </tp>
      <tp>
        <v>5.1852</v>
        <stp/>
        <stp>BDP|10515480241315630363|22</stp>
        <stp>brl Curncy</stp>
        <stp>LAST_PRICE</stp>
        <tr r="AC3" s="1"/>
      </tp>
      <tp>
        <v>2.1</v>
        <stp/>
        <stp>BDP|17449657277951760835|22</stp>
        <stp>QQQ US 01/29/26 P625 Equity</stp>
        <stp>bid</stp>
        <tr r="K82" s="89"/>
      </tp>
      <tp t="s">
        <v>#N/A Requesting Data...3877721458</v>
        <stp/>
        <stp>BDP|15288692024809877</stp>
        <tr r="AI38" s="1"/>
      </tp>
      <tp t="s">
        <v>USD</v>
        <stp/>
        <stp>BDP|13998573931045965631|22</stp>
        <stp>MSFT US 03/20/26 P465 Equity</stp>
        <stp>QUOTED_CURRENCY_REALTIME</stp>
        <tr r="G20" s="2"/>
      </tp>
      <tp>
        <v>1.7</v>
        <stp/>
        <stp>BDP|11810525163719928784|22</stp>
        <stp>NFLX US 03/20/26 P80 Equity</stp>
        <stp>ask</stp>
        <tr r="L188" s="89"/>
      </tp>
      <tp>
        <v>188.52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 t="s">
        <v>#N/A Real Time</v>
        <stp/>
        <stp>BDP|17873404787619933773|22</stp>
        <stp>IMBWK5C4 5840 Index</stp>
        <stp>DELTA_MID_RT</stp>
        <tr r="W89" s="89"/>
      </tp>
      <tp>
        <v>37.15</v>
        <stp/>
        <stp>BDP|9580638355348883370|22</stp>
        <stp>TSM US 07/17/26 C340 Equity</stp>
        <stp>bid</stp>
        <tr r="K1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Data...3279141436</v>
        <stp/>
        <stp>BDP|751520279507684047</stp>
        <tr r="X40" s="338"/>
      </tp>
      <tp t="s">
        <v>#N/A Requesting Data...3006227038</v>
        <stp/>
        <stp>BDP|196285167087372652</stp>
        <tr r="O19" s="89"/>
      </tp>
      <tp t="s">
        <v>#N/A Requesting Data...3941076242</v>
        <stp/>
        <stp>BDP|711948671629350257</stp>
        <tr r="E19" s="89"/>
      </tp>
      <tp t="e">
        <v>#N/A</v>
        <stp/>
        <stp>BDH|158295539794708033</stp>
        <tr r="AU45" s="338"/>
      </tp>
      <tp t="s">
        <v>#N/A Requesting Data...3012507772</v>
        <stp/>
        <stp>BDP|388535741046312222</stp>
        <tr r="O213" s="89"/>
      </tp>
      <tp t="s">
        <v>#N/A Requesting Data...3310316639</v>
        <stp/>
        <stp>BDP|520527012585306457</stp>
        <tr r="G18" s="446"/>
      </tp>
      <tp t="s">
        <v>#N/A Real Time</v>
        <stp/>
        <stp>BDP|5677808555437609123|22</stp>
        <stp>4OK5C 21650 Index</stp>
        <stp>bid</stp>
        <tr r="K116" s="89"/>
      </tp>
      <tp>
        <v>0.53760939836502075</v>
        <stp/>
        <stp>BDP|1582912119927825825|22</stp>
        <stp>NVDA US 07/17/26 C195 Equity</stp>
        <stp>DELTA_MID_RT</stp>
        <tr r="W237" s="89"/>
      </tp>
      <tp>
        <v>196.3</v>
        <stp/>
        <stp>BDP|15031025441735979532|22</stp>
        <stp>RDDT Equity</stp>
        <stp>LAST PRICE</stp>
        <tr r="L11" s="446"/>
      </tp>
      <tp>
        <v>21.85</v>
        <stp/>
        <stp>BDP|2492093532570295717|22</stp>
        <stp>TSM US 07/17/26 C380 Equity</stp>
        <stp>bid</stp>
        <tr r="K20" s="89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Data...3718107164</v>
        <stp/>
        <stp>BDP|608595985359488024</stp>
        <tr r="AH13" s="338"/>
        <tr r="AH34" s="338"/>
        <tr r="AJ13" s="338"/>
        <tr r="AJ34" s="338"/>
      </tp>
      <tp t="s">
        <v>#N/A Requesting Data...3991846051</v>
        <stp/>
        <stp>BDP|957842153989368032</stp>
        <tr r="Q15" s="338"/>
        <tr r="Q39" s="338"/>
      </tp>
      <tp t="s">
        <v>#N/A Requesting Data...3364587401</v>
        <stp/>
        <stp>BDP|654074041248648893</stp>
        <tr r="D13" s="89"/>
      </tp>
      <tp t="s">
        <v>#N/A Requesting Data...3212506858</v>
        <stp/>
        <stp>BDP|707708639631714132</stp>
        <tr r="E234" s="89"/>
      </tp>
      <tp t="s">
        <v>#N/A Requesting Data...3076065707</v>
        <stp/>
        <stp>BDP|179535275676098042</stp>
        <tr r="C75" s="89"/>
      </tp>
      <tp t="s">
        <v>#N/A Real Time</v>
        <stp/>
        <stp>BDP|6895042931085999518|22</stp>
        <stp>4EM5C    6300 Index</stp>
        <stp>QUOTED_CURRENCY_REALTIME</stp>
        <tr r="F136" s="89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 t="e">
        <v>#N/A</v>
        <stp/>
        <stp>BDH|120303344958900837</stp>
        <tr r="AU49" s="338"/>
        <tr r="AU48" s="338"/>
      </tp>
      <tp t="s">
        <v>#N/A Requesting Data...2747942159</v>
        <stp/>
        <stp>BDP|686234847331911027</stp>
        <tr r="G17" s="446"/>
      </tp>
      <tp t="s">
        <v>#N/A Requesting Data...4167266774</v>
        <stp/>
        <stp>BDP|845945561529258153</stp>
        <tr r="X37" s="338"/>
      </tp>
      <tp t="s">
        <v>#N/A Requesting Data...3085921394</v>
        <stp/>
        <stp>BDP|719080694298469649</stp>
        <tr r="F11" s="2"/>
      </tp>
      <tp t="s">
        <v>#N/A Requesting Data...3392025153</v>
        <stp/>
        <stp>BDP|408762416568436914</stp>
        <tr r="T116" s="89"/>
      </tp>
      <tp t="s">
        <v>#N/A Requesting Data...3531654200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>
        <v>5754.72</v>
        <stp/>
        <stp>BDP|7715274099356745424|22</stp>
        <stp>HSTECH Index</stp>
        <stp>LAST_PRICE</stp>
        <tr r="H14" s="252"/>
        <tr r="H14" s="252"/>
      </tp>
      <tp t="s">
        <v>#N/A Real Time</v>
        <stp/>
        <stp>BDP|4840786825641566887|22</stp>
        <stp>QQQ US 01/16/26 P622 Equity</stp>
        <stp>QUOTED_CURRENCY_REALTIME</stp>
        <tr r="F205" s="89"/>
      </tp>
      <tp>
        <v>695.49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Data...3065666892</v>
        <stp/>
        <stp>BDP|780556548910196765</stp>
        <tr r="L54" s="338"/>
        <tr r="L52" s="338"/>
        <tr r="H52" s="338"/>
        <tr r="L53" s="338"/>
        <tr r="H53" s="338"/>
        <tr r="H54" s="338"/>
      </tp>
      <tp t="s">
        <v>#N/A Requesting Data...3769056411</v>
        <stp/>
        <stp>BDP|729521579226123201</stp>
        <tr r="C236" s="89"/>
      </tp>
      <tp t="s">
        <v>#N/A Requesting Data...3649535097</v>
        <stp/>
        <stp>BDP|619052234926942338</stp>
        <tr r="O49" s="89"/>
      </tp>
      <tp t="s">
        <v>#N/A Requesting Data...4270519351</v>
        <stp/>
        <stp>BDP|703780504329627859</stp>
        <tr r="AI25" s="1"/>
        <tr r="AI28" s="1"/>
      </tp>
      <tp t="s">
        <v>#N/A Requesting Data...3353106095</v>
        <stp/>
        <stp>BDP|107389883329186412</stp>
        <tr r="L15" s="338"/>
        <tr r="H15" s="338"/>
        <tr r="L39" s="338"/>
        <tr r="H39" s="338"/>
        <tr r="L40" s="338"/>
        <tr r="J40" s="338"/>
      </tp>
      <tp t="e">
        <v>#N/A</v>
        <stp/>
        <stp>BDH|171720383388932133</stp>
        <tr r="AS13" s="338"/>
      </tp>
      <tp t="s">
        <v>#N/A Requesting Data...3371193774</v>
        <stp/>
        <stp>BDP|294565388632351941</stp>
        <tr r="V75" s="89"/>
      </tp>
      <tp t="s">
        <v>#N/A Requesting Data...4139111137</v>
        <stp/>
        <stp>BDP|401793265137407081</stp>
        <tr r="T186" s="89"/>
      </tp>
      <tp t="s">
        <v>#N/A Real Time</v>
        <stp/>
        <stp>BDP|7287440995933707632|22</stp>
        <stp>4OK5C 21650 Index</stp>
        <stp>ask</stp>
        <tr r="L116" s="89"/>
      </tp>
      <tp>
        <v>174.9</v>
        <stp/>
        <stp>BDP|7132801475716187902|22</stp>
        <stp>ORCL EQUITY</stp>
        <stp>LAST_PRICE</stp>
        <tr r="C10" s="1"/>
      </tp>
      <tp t="s">
        <v>#N/A Requesting Data...3749050682</v>
        <stp/>
        <stp>BDP|930699410161740793</stp>
        <tr r="D25" s="2"/>
        <tr r="C13" s="89"/>
      </tp>
      <tp t="s">
        <v>#N/A Requesting Data...3661868328</v>
        <stp/>
        <stp>BDP|517543108217561323</stp>
        <tr r="P53" s="338"/>
      </tp>
      <tp t="s">
        <v>#N/A Requesting Data...3102954992</v>
        <stp/>
        <stp>BDP|244764414260319781</stp>
        <tr r="O18" s="252"/>
      </tp>
      <tp t="s">
        <v>#N/A Requesting Data...3439145295</v>
        <stp/>
        <stp>BDP|896518566545118787</stp>
        <tr r="Z102" s="89"/>
        <tr r="AA102" s="89"/>
      </tp>
      <tp t="s">
        <v>USD</v>
        <stp/>
        <stp>BDP|2761866802597687479|22</stp>
        <stp>TSM US 07/17/26 C340 Equity</stp>
        <stp>QUOTED_CURRENCY_REALTIME</stp>
        <tr r="F19" s="89"/>
      </tp>
      <tp t="s">
        <v>#N/A Real Time</v>
        <stp/>
        <stp>BDP|8637154452701464385|22</stp>
        <stp>QQQ US 01/16/26 C635 Equity</stp>
        <stp>QUOTED_CURRENCY_REALTIME</stp>
        <tr r="F203" s="89"/>
      </tp>
      <tp t="s">
        <v>#N/A Real Time</v>
        <stp/>
        <stp>BDP|7187799250672940682|22</stp>
        <stp>QQQ US 01/16/26 C633 Equity</stp>
        <stp>bid</stp>
        <tr r="K204" s="89"/>
      </tp>
      <tp t="s">
        <v>#N/A Real Time</v>
        <stp/>
        <stp>BDP|17952725581329286127|22</stp>
        <stp>SCH5C   6150 Index</stp>
        <stp>bid</stp>
        <tr r="K95" s="89"/>
      </tp>
      <tp t="s">
        <v>#N/A N/A</v>
        <stp/>
        <stp>BDP|739245098392147969</stp>
        <tr r="AG17" s="1"/>
      </tp>
      <tp t="s">
        <v>#N/A Requesting Data...4209645653</v>
        <stp/>
        <stp>BDP|226464119563262625</stp>
        <tr r="AR17" s="2"/>
        <tr r="AR18" s="2"/>
      </tp>
      <tp t="e">
        <v>#N/A</v>
        <stp/>
        <stp>BDH|728697581249653713</stp>
        <tr r="AU11" s="338"/>
      </tp>
      <tp t="s">
        <v>#N/A Requesting Data...3918684300</v>
        <stp/>
        <stp>BDP|999131207671054040</stp>
        <tr r="P55" s="338"/>
      </tp>
      <tp t="s">
        <v>#N/A Requesting Data...3557116945</v>
        <stp/>
        <stp>BDP|798980087638306908</stp>
        <tr r="K4" s="1"/>
      </tp>
      <tp t="s">
        <v>#N/A Requesting Data...3935584276</v>
        <stp/>
        <stp>BDP|454052187798556035</stp>
        <tr r="D122" s="89"/>
      </tp>
      <tp t="s">
        <v>#N/A Real Time</v>
        <stp/>
        <stp>BDP|16251896897947351251|22</stp>
        <stp>SCM5 Index</stp>
        <stp>LAST_PRICE</stp>
        <tr r="S95" s="89"/>
        <tr r="S96" s="89"/>
        <tr r="S101" s="89"/>
        <tr r="S102" s="89"/>
      </tp>
      <tp>
        <v>198.93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Requesting Data...4221775151</v>
        <stp/>
        <stp>BDP|400489739133855744</stp>
        <tr r="AF30" s="1"/>
      </tp>
      <tp t="s">
        <v>#N/A Requesting Data...4106014475</v>
        <stp/>
        <stp>BDP|857779505405969197</stp>
        <tr r="Q11" s="338"/>
      </tp>
      <tp t="s">
        <v>#N/A Requesting Data...4073488707</v>
        <stp/>
        <stp>BDP|103387833183780070</stp>
        <tr r="AA108" s="89"/>
        <tr r="Z108" s="89"/>
      </tp>
      <tp>
        <v>85.49</v>
        <stp/>
        <stp>BDP|6244681688337820540|22</stp>
        <stp>KBWB EQUITY</stp>
        <stp>LAST_PRICE</stp>
        <tr r="I1" s="1"/>
      </tp>
      <tp>
        <v>17.55</v>
        <stp/>
        <stp>BDP|11593899381746563402|22</stp>
        <stp>RIOT Equity</stp>
        <stp>LAST_PRICE</stp>
        <tr r="I46" s="1"/>
      </tp>
      <tp t="s">
        <v>#N/A N/A</v>
        <stp/>
        <stp>BDP|6830662576007075756|22</stp>
        <stp>QQQ US 01/26/26 C630 Equity</stp>
        <stp>bid</stp>
        <tr r="K211" s="89"/>
      </tp>
      <tp t="s">
        <v>#N/A Real Time</v>
        <stp/>
        <stp>BDP|5446023781941606213|22</stp>
        <stp>QQQ US 01/16/26 C635 Equity</stp>
        <stp>ask</stp>
        <tr r="L203" s="89"/>
      </tp>
      <tp>
        <v>19.350000000000001</v>
        <stp/>
        <stp>BDP|7303697284640564666|22</stp>
        <stp>TSM US 06/18/26 C380 Equity</stp>
        <stp>ask</stp>
        <tr r="Q26" s="2"/>
        <tr r="L14" s="89"/>
      </tp>
      <tp>
        <v>23.2</v>
        <stp/>
        <stp>BDP|3151677417243031834|22</stp>
        <stp>TSM US 07/17/26 C380 Equity</stp>
        <stp>ask</stp>
        <tr r="L20" s="89"/>
      </tp>
      <tp t="s">
        <v>#N/A Requesting Data...3583486649</v>
        <stp/>
        <stp>BDP|450712038053400567</stp>
        <tr r="AG12" s="1"/>
      </tp>
      <tp t="e">
        <v>#N/A</v>
        <stp/>
        <stp>BDH|885354940510007551</stp>
        <tr r="AS30" s="338"/>
      </tp>
      <tp>
        <v>631.13</v>
        <stp/>
        <stp>BDP|13846945124532688911|22</stp>
        <stp>QQQ Equity</stp>
        <stp>LAST_PRICE</stp>
        <tr r="I17" s="1"/>
      </tp>
      <tp t="s">
        <v>#N/A Requesting Data...3633735922</v>
        <stp/>
        <stp>BDP|464774656925779579</stp>
        <tr r="T39" s="89"/>
      </tp>
      <tp t="s">
        <v>#N/A Requesting Data...2883179080</v>
        <stp/>
        <stp>BDP|908193390539320353</stp>
        <tr r="AA62" s="89"/>
        <tr r="Z62" s="89"/>
      </tp>
      <tp t="s">
        <v>#N/A Requesting Data...3727036050</v>
        <stp/>
        <stp>BDP|310378113498032857</stp>
        <tr r="F9" s="446"/>
      </tp>
      <tp>
        <v>-0.20001161098480225</v>
        <stp/>
        <stp>BDP|5551973401497312809|22</stp>
        <stp>AVGO US 06/18/26 P270 Equity</stp>
        <stp>DELTA_MID_RT</stp>
        <tr r="W225" s="89"/>
      </tp>
      <tp>
        <v>6.9546000000000001</v>
        <stp/>
        <stp>BDP|294453488151020053|22</stp>
        <stp>cny Curncy</stp>
        <stp>LAST_PRICE</stp>
        <tr r="I50" s="54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Data...3020582291</v>
        <stp/>
        <stp>BDP|630836919334916088</stp>
        <tr r="X10" s="338"/>
      </tp>
      <tp t="s">
        <v>#N/A N/A</v>
        <stp/>
        <stp>BDP|894652130481491978</stp>
        <tr r="AC11" s="2"/>
        <tr r="AC12" s="2"/>
      </tp>
      <tp t="s">
        <v>#N/A Requesting Data...4011914478</v>
        <stp/>
        <stp>BDP|270487313100359854</stp>
        <tr r="V17" s="338"/>
      </tp>
      <tp t="s">
        <v>#N/A Requesting Data...2999239954</v>
        <stp/>
        <stp>BDP|255515909950592887</stp>
        <tr r="AD19" s="2"/>
      </tp>
      <tp>
        <v>695.49</v>
        <stp/>
        <stp>BDP|13189918054944550299|22</stp>
        <stp>SPY Equity</stp>
        <stp>LAST_PRICE</stp>
        <tr r="X3" s="1"/>
      </tp>
      <tp>
        <v>-6.9232143461704254E-2</v>
        <stp/>
        <stp>BDP|3178362372691625299|22</stp>
        <stp>MRVL US 03/20/26 P80 Equity</stp>
        <stp>theta_mid_rt</stp>
        <tr r="AN15" s="2"/>
      </tp>
      <tp>
        <v>111.15</v>
        <stp/>
        <stp>BDP|11864909502198122066|22</stp>
        <stp>W US Equity</stp>
        <stp>LAST_PRICE</stp>
        <tr r="S40" s="89"/>
      </tp>
      <tp t="s">
        <v>#N/A Real Time</v>
        <stp/>
        <stp>BDP|5899528920965095514|22</stp>
        <stp>QQQ US 01/15/26 P622 Equity</stp>
        <stp>QUOTED_CURRENCY_REALTIME</stp>
        <tr r="F69" s="89"/>
      </tp>
      <tp>
        <v>351.08</v>
        <stp/>
        <stp>BDP|14332915070053504036|22</stp>
        <stp>SOXX Equity</stp>
        <stp>LAST PRICE</stp>
        <tr r="I13" s="338"/>
      </tp>
      <tp t="s">
        <v>#N/A Real Time</v>
        <stp/>
        <stp>BDP|3663508821472831217|22</stp>
        <stp>QQQ US 01/16/26 C633 Equity</stp>
        <stp>ask</stp>
        <tr r="L204" s="89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Requesting Data...4041967718</v>
        <stp/>
        <stp>BDP|127253274771311898</stp>
        <tr r="AF21" s="1"/>
        <tr r="AF22" s="1"/>
        <tr r="AG11" s="338"/>
      </tp>
      <tp t="s">
        <v>#N/A Requesting Data...4140750085</v>
        <stp/>
        <stp>BDP|827675090525898604</stp>
        <tr r="AF41" s="338"/>
        <tr r="AF42" s="338"/>
      </tp>
      <tp t="s">
        <v>#N/A Requesting Data...3851420742</v>
        <stp/>
        <stp>BDP|782705090920373269</stp>
        <tr r="D129" s="89"/>
      </tp>
      <tp t="s">
        <v>#N/A Requesting Data...3051237365</v>
        <stp/>
        <stp>BDP|404252579678701218</stp>
        <tr r="T13" s="2"/>
      </tp>
      <tp t="s">
        <v>#N/A Requesting Data...4222273811</v>
        <stp/>
        <stp>BDP|747191926384069867</stp>
        <tr r="L15" s="252"/>
        <tr r="L15" s="252"/>
      </tp>
      <tp t="s">
        <v>#N/A Requesting Data...3416490066</v>
        <stp/>
        <stp>BDP|250232642990829947</stp>
        <tr r="D9" s="2"/>
      </tp>
      <tp t="s">
        <v>#N/A Requesting Data...3504369540</v>
        <stp/>
        <stp>BDP|176347289857022339</stp>
        <tr r="S17" s="252"/>
      </tp>
      <tp t="s">
        <v>#N/A Requesting Data...3701291450</v>
        <stp/>
        <stp>BDP|278537766618564487</stp>
        <tr r="U17" s="338"/>
      </tp>
      <tp t="s">
        <v>#N/A Requesting Data...3848881217</v>
        <stp/>
        <stp>BDP|985943877960620174</stp>
        <tr r="V7" s="89"/>
      </tp>
      <tp t="s">
        <v>#N/A Requesting Data...3021546436</v>
        <stp/>
        <stp>BDP|987924063845804559</stp>
        <tr r="E4" s="1"/>
      </tp>
      <tp t="s">
        <v>#N/A Requesting Data...3196217291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 t="s">
        <v>USD</v>
        <stp/>
        <stp>BDP|9573894750857985492|22</stp>
        <stp>TSM US 07/17/26 C380 Equity</stp>
        <stp>QUOTED_CURRENCY_REALTIME</stp>
        <tr r="F20" s="89"/>
      </tp>
      <tp>
        <v>672.97</v>
        <stp/>
        <stp>BDP|3305523752982270676|22</stp>
        <stp>META EQUITY</stp>
        <stp>LAST_PRICE</stp>
        <tr r="C9" s="1"/>
      </tp>
      <tp>
        <v>-4.4060000218451023E-3</v>
        <stp/>
        <stp>BDP|4448489992068111945|22</stp>
        <stp>AMAT US 01/23/26 P290 Equity</stp>
        <stp>DELTA_MID_RT</stp>
        <tr r="W55" s="89"/>
      </tp>
      <tp t="s">
        <v>USD</v>
        <stp/>
        <stp>BDP|8829835796450133949|22</stp>
        <stp>QQQ US 01/26/26 C630 Equity</stp>
        <stp>QUOTED_CURRENCY_REALTIME</stp>
        <tr r="F211" s="89"/>
      </tp>
      <tp>
        <v>-1.4140000566840172E-3</v>
        <stp/>
        <stp>BDP|11616585170366627845|22</stp>
        <stp>ASML US 01/23/26 P1200 Equity</stp>
        <stp>DELTA_MID_RT</stp>
        <tr r="W49" s="89"/>
      </tp>
      <tp>
        <v>198.93</v>
        <stp/>
        <stp>BDP|10381440186149181728|22</stp>
        <stp>RSP Equity</stp>
        <stp>LAST_PRICE</stp>
        <tr r="I16" s="1"/>
      </tp>
      <tp t="s">
        <v>#N/A Requesting Data...3242826382</v>
        <stp/>
        <stp>BDP|887987616640012698</stp>
        <tr r="AB12" s="1"/>
      </tp>
      <tp t="s">
        <v>#N/A Requesting Data...3719624579</v>
        <stp/>
        <stp>BDP|364330932177526925</stp>
        <tr r="S37" s="338"/>
      </tp>
      <tp t="s">
        <v>#N/A Requesting Data...3857541967</v>
        <stp/>
        <stp>BDP|308105164449948089</stp>
        <tr r="K31" s="1"/>
      </tp>
      <tp t="e">
        <v>#N/A</v>
        <stp/>
        <stp>BDH|863211889367319323</stp>
        <tr r="AR45" s="338"/>
      </tp>
      <tp>
        <v>33.770000000000003</v>
        <stp/>
        <stp>BDP|18329643987132492211|22</stp>
        <stp>ASHR Equity</stp>
        <stp>LAST_PRICE</stp>
        <tr r="H6" s="252"/>
        <tr r="H6" s="252"/>
        <tr r="I14" s="1"/>
        <tr r="I15" s="1"/>
      </tp>
      <tp t="s">
        <v>USD</v>
        <stp/>
        <stp>BDP|6365657359185998135|22</stp>
        <stp>QQQ US 01/26/26 P615 Equity</stp>
        <stp>QUOTED_CURRENCY_REALTIME</stp>
        <tr r="F213" s="89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Requesting Data...3981525700</v>
        <stp/>
        <stp>BDP|865618064141370815</stp>
        <tr r="N12" s="252"/>
        <tr r="N12" s="252"/>
      </tp>
      <tp t="s">
        <v>#N/A Requesting Data...3262890367</v>
        <stp/>
        <stp>BDP|692490859580483882</stp>
        <tr r="AA211" s="89"/>
        <tr r="Z211" s="89"/>
      </tp>
      <tp t="s">
        <v>#N/A Requesting Data...3616997106</v>
        <stp/>
        <stp>BDP|757266498405781787</stp>
        <tr r="X3" s="1"/>
      </tp>
      <tp t="s">
        <v>#N/A Requesting Data...3468073820</v>
        <stp/>
        <stp>BDP|321567796020124549</stp>
        <tr r="F43" s="446"/>
      </tp>
      <tp t="s">
        <v>#N/A Requesting Data...3733112377</v>
        <stp/>
        <stp>BDP|748281786590893378</stp>
        <tr r="Z160" s="89"/>
        <tr r="AA160" s="89"/>
      </tp>
      <tp t="s">
        <v>#N/A Requesting Data...4077086573</v>
        <stp/>
        <stp>BDP|854587986095168176</stp>
        <tr r="T213" s="89"/>
      </tp>
      <tp t="s">
        <v>#N/A Real Time</v>
        <stp/>
        <stp>BDP|1731871426539960425|22</stp>
        <stp>QQQ US 01/15/26 P623 Equity</stp>
        <stp>QUOTED_CURRENCY_REALTIME</stp>
        <tr r="F68" s="89"/>
      </tp>
      <tp>
        <v>43.43</v>
        <stp/>
        <stp>BDP|16955313478604069014|22</stp>
        <stp>XLU Equity</stp>
        <stp>LAST PRICE</stp>
        <tr r="I42" s="338"/>
      </tp>
      <tp t="s">
        <v>#N/A Requesting Data...3738461868</v>
        <stp/>
        <stp>BDP|938081193165986446</stp>
        <tr r="U46" s="338"/>
      </tp>
      <tp>
        <v>109.29</v>
        <stp/>
        <stp>BDP|12455594618882884319|22</stp>
        <stp>GDX Equity</stp>
        <stp>LAST_PRICE</stp>
        <tr r="I18" s="1"/>
        <tr r="I19" s="1"/>
      </tp>
      <tp t="s">
        <v>#N/A Requesting Data...4006609208</v>
        <stp/>
        <stp>BDP|345620769730348823</stp>
        <tr r="G20" s="446"/>
      </tp>
      <tp t="s">
        <v>#N/A Requesting Data...3790013165</v>
        <stp/>
        <stp>BDP|493910466490440711</stp>
        <tr r="T16" s="2"/>
        <tr r="O63" s="89"/>
      </tp>
      <tp t="s">
        <v>#N/A Requesting Data...3991347124</v>
        <stp/>
        <stp>BDP|771655587750732627</stp>
        <tr r="AI23" s="1"/>
        <tr r="AI24" s="1"/>
      </tp>
      <tp t="s">
        <v>USD</v>
        <stp/>
        <stp>BDP|5876029209403858680|22</stp>
        <stp>TSM US 06/18/26 C340 Equity</stp>
        <stp>QUOTED_CURRENCY_REALTIME</stp>
        <tr r="G25" s="2"/>
        <tr r="F13" s="89"/>
      </tp>
      <tp>
        <v>0.59405422210693359</v>
        <stp/>
        <stp>BDP|7419791684701278760|22</stp>
        <stp>MSFT US 07/17/26 C475 Equity</stp>
        <stp>DELTA_MID_RT</stp>
        <tr r="AF17" s="2"/>
        <tr r="AF18" s="2"/>
      </tp>
      <tp>
        <v>-2.7517000213265419E-2</v>
        <stp/>
        <stp>BDP|1593024835823764098|22</stp>
        <stp>AMAT US 01/23/26 P280 Equity</stp>
        <stp>DELTA_MID_RT</stp>
        <tr r="W56" s="89"/>
      </tp>
      <tp>
        <v>97.76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Requesting Data...3091108051</v>
        <stp/>
        <stp>BDP|410104351027872819</stp>
        <tr r="AB30" s="1"/>
      </tp>
      <tp t="s">
        <v>#N/A Requesting Data...3929037797</v>
        <stp/>
        <stp>BDP|764078797243992127</stp>
        <tr r="D56" s="89"/>
      </tp>
      <tp t="s">
        <v>#N/A Requesting Data...4140610954</v>
        <stp/>
        <stp>BDP|237201852408926413</stp>
        <tr r="U35" s="338"/>
      </tp>
      <tp t="s">
        <v>#N/A Requesting Data...2823287503</v>
        <stp/>
        <stp>BDP|410647168382881996</stp>
        <tr r="V54" s="338"/>
      </tp>
      <tp t="s">
        <v>#N/A Requesting Data...2919571584</v>
        <stp/>
        <stp>BDP|981114986491900309</stp>
        <tr r="F8" s="252"/>
      </tp>
      <tp t="s">
        <v>#N/A Requesting Data...3666892512</v>
        <stp/>
        <stp>BDP|158907810677526447</stp>
        <tr r="D23" s="2"/>
        <tr r="C197" s="89"/>
      </tp>
      <tp t="s">
        <v>#N/A Requesting Data...3907403018</v>
        <stp/>
        <stp>BDP|612746655750406928</stp>
        <tr r="S16" s="338"/>
        <tr r="S38" s="338"/>
      </tp>
      <tp t="s">
        <v>#N/A Real Time</v>
        <stp/>
        <stp>BDP|9931751547643048436|22</stp>
        <stp>4OK5C 21300 Index</stp>
        <stp>bid</stp>
        <tr r="K115" s="89"/>
      </tp>
      <tp>
        <v>332.79</v>
        <stp/>
        <stp>BDP|1725093802414075352|22</stp>
        <stp>AVGO EQUITY</stp>
        <stp>LAST_PRICE</stp>
        <tr r="C1" s="1"/>
      </tp>
      <tp>
        <v>0.46409577131271362</v>
        <stp/>
        <stp>BDP|6653715387922453991|22</stp>
        <stp>AKAM US 08/21/26 C115 Equity</stp>
        <stp>DELTA_MID_RT</stp>
        <tr r="W33" s="89"/>
      </tp>
      <tp t="s">
        <v>#N/A Real Time</v>
        <stp/>
        <stp>BDP|4540119519947445118|22</stp>
        <stp>4EM5C    6300 Index</stp>
        <stp>bid</stp>
        <tr r="K136" s="89"/>
      </tp>
      <tp>
        <v>82.93</v>
        <stp/>
        <stp>BDP|15428137786848034213|22</stp>
        <stp>MRVL Equity</stp>
        <stp>LAST PRICE</stp>
        <tr r="G37" s="338"/>
      </tp>
      <tp>
        <v>2.13</v>
        <stp/>
        <stp>BDP|4453665174864423963|22</stp>
        <stp>QQQ US 01/29/26 P625 Equity</stp>
        <stp>ask</stp>
        <tr r="L82" s="89"/>
      </tp>
      <tp>
        <v>39.94</v>
        <stp/>
        <stp>BDP|15189910301226923788|22</stp>
        <stp>FXI Equity</stp>
        <stp>LAST_PRICE</stp>
        <tr r="H9" s="252"/>
        <tr r="H9" s="252"/>
      </tp>
      <tp>
        <v>9.2929163947701454E-3</v>
        <stp/>
        <stp>BDP|15371550534426313083|22</stp>
        <stp>QQQ US 01/26/26 C630 Equity</stp>
        <stp>DELTA_MID_RT</stp>
        <tr r="W211" s="89"/>
      </tp>
      <tp>
        <v>82.93</v>
        <stp/>
        <stp>BDP|14735743812855208855|22</stp>
        <stp>MRVL Equity</stp>
        <stp>LAST_PRICE</stp>
        <tr r="I45" s="1"/>
      </tp>
      <tp>
        <v>4.2</v>
        <stp/>
        <stp>BDP|2655392201055061554|22</stp>
        <stp>INTC US 07/17/26 P40 Equity</stp>
        <stp>ask</stp>
        <tr r="Q23" s="2"/>
        <tr r="L197" s="89"/>
      </tp>
      <tp>
        <v>19.95</v>
        <stp/>
        <stp>BDP|2947614605786602114|22</stp>
        <stp>GDX US 09/18/26 C105 Equity</stp>
        <stp>ask</stp>
        <tr r="Q8" s="2"/>
      </tp>
      <tp>
        <v>188.52</v>
        <stp/>
        <stp>BDP|18083567340910719726|22</stp>
        <stp>NVDA Equity</stp>
        <stp>LAST PRICE</stp>
        <tr r="G14" s="338"/>
        <tr r="G35" s="338"/>
      </tp>
      <tp>
        <v>6</v>
        <stp/>
        <stp>BDP|1603579272794795324|22</stp>
        <stp>MRVL US 03/20/26 P80 Equity</stp>
        <stp>mid</stp>
        <tr r="L15" s="2"/>
      </tp>
      <tp t="s">
        <v>#N/A N/A</v>
        <stp/>
        <stp>BDP|7310662461570855423|22</stp>
        <stp>QQQ US 01/26/26 P615 Equity</stp>
        <stp>bid</stp>
        <tr r="K213" s="89"/>
      </tp>
      <tp t="s">
        <v>#N/A Real Time</v>
        <stp/>
        <stp>BDP|7681200647090738046|22</stp>
        <stp>QQQ US 01/16/26 P622 Equity</stp>
        <stp>bid</stp>
        <tr r="K205" s="89"/>
      </tp>
      <tp t="s">
        <v>#N/A Real Time</v>
        <stp/>
        <stp>BDP|8340553546063687451|22</stp>
        <stp>4OK5C 21650 Index</stp>
        <stp>DELTA_MID_RT</stp>
        <tr r="W116" s="89"/>
      </tp>
      <tp>
        <v>2.65</v>
        <stp/>
        <stp>BDP|3366296364494691481|22</stp>
        <stp>INTC US 07/17/26 C60 Equity</stp>
        <stp>mid</stp>
        <tr r="L21" s="2"/>
      </tp>
      <tp>
        <v>188.52</v>
        <stp/>
        <stp>BDP|10556089213855348182|22</stp>
        <stp>NVDA Equity</stp>
        <stp>LAST_PRICE</stp>
        <tr r="I44" s="1"/>
      </tp>
      <tp t="s">
        <v>USD</v>
        <stp/>
        <stp>BDP|4232577079069091557|22</stp>
        <stp>GDX US 09/18/26 C105 Equity</stp>
        <stp>QUOTED_CURRENCY_REALTIME</stp>
        <tr r="G8" s="2"/>
      </tp>
      <tp>
        <v>0.45765203237533569</v>
        <stp/>
        <stp>BDP|3367401678798717289|22</stp>
        <stp>W US 05/15/26 C125 Equity</stp>
        <stp>DELTA_MID_RT</stp>
        <tr r="W40" s="89"/>
      </tp>
      <tp>
        <v>105.94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>
        <v>53</v>
        <stp/>
        <stp>BDP|11210988692762470107|22</stp>
        <stp>XLF Equity</stp>
        <stp>LAST_PRICE</stp>
        <tr r="I47" s="1"/>
      </tp>
      <tp t="s">
        <v>#N/A Real Time</v>
        <stp/>
        <stp>BDP|12492272964442043253|22</stp>
        <stp>QQQ US 01/16/26 C635 Equity</stp>
        <stp>DELTA_MID_RT</stp>
        <tr r="W203" s="89"/>
      </tp>
      <tp>
        <v>258.27</v>
        <stp/>
        <stp>BDP|17831911536214693857|22</stp>
        <stp>AAPL Equity</stp>
        <stp>LAST_PRICE</stp>
        <tr r="I21" s="1"/>
        <tr r="I22" s="1"/>
      </tp>
      <tp t="s">
        <v>#N/A Real Time</v>
        <stp/>
        <stp>BDP|7909497283026172618|22</stp>
        <stp>4OK5C 21300 Index</stp>
        <stp>DELTA_MID_RT</stp>
        <tr r="W115" s="89"/>
      </tp>
      <tp>
        <v>43.93</v>
        <stp/>
        <stp>BDP|10275830506276374754|22</stp>
        <stp>INTC Equity</stp>
        <stp>LAST_PRICE</stp>
        <tr r="I42" s="1"/>
      </tp>
      <tp>
        <v>-1.0779607109725475E-2</v>
        <stp/>
        <stp>BDP|5598166511208398697|22</stp>
        <stp>ASHR US 02/20/26 C35 Equity</stp>
        <stp>theta_mid_rt</stp>
        <tr r="AN5" s="2"/>
        <tr r="AN6" s="2"/>
      </tp>
      <tp>
        <v>172.72</v>
        <stp/>
        <stp>BDP|16076910053857732698|22</stp>
        <stp>BABA Equity</stp>
        <stp>LAST_PRICE</stp>
        <tr r="I12" s="1"/>
      </tp>
      <tp>
        <v>4.0999999999999996</v>
        <stp/>
        <stp>BDP|2917703585590040909|22</stp>
        <stp>INTC US 07/17/26 P40 Equity</stp>
        <stp>mid</stp>
        <tr r="L23" s="2"/>
      </tp>
      <tp>
        <v>4</v>
        <stp/>
        <stp>BDP|6431933654204043778|22</stp>
        <stp>INTC US 07/17/26 P40 Equity</stp>
        <stp>bid</stp>
        <tr r="P23" s="2"/>
        <tr r="K197" s="89"/>
      </tp>
      <tp t="s">
        <v>#N/A Real Time</v>
        <stp/>
        <stp>BDP|5132776150139742647|22</stp>
        <stp>QQQ US 01/15/26 P622 Equity</stp>
        <stp>ask</stp>
        <tr r="L69" s="89"/>
      </tp>
      <tp t="s">
        <v>#N/A Real Time</v>
        <stp/>
        <stp>BDP|16732714406053690944|22</stp>
        <stp>KMU5 Index</stp>
        <stp>LAST PRICE</stp>
        <tr r="L13" s="446"/>
      </tp>
      <tp>
        <v>71.790000000000006</v>
        <stp/>
        <stp>BDP|16675559367525942243|22</stp>
        <stp>TTE Equity</stp>
        <stp>LAST PRICE</stp>
        <tr r="I29" s="338"/>
      </tp>
      <tp>
        <v>0.56177294254302979</v>
        <stp/>
        <stp>BDP|16687792746206833445|22</stp>
        <stp>TSM US 06/18/26 C340 Equity</stp>
        <stp>DELTA_MID_RT</stp>
        <tr r="AF25" s="2"/>
        <tr r="W13" s="89"/>
      </tp>
      <tp>
        <v>4139.9059999999999</v>
        <stp/>
        <stp>BDP|8077747707676540560|22</stp>
        <stp>SHCOMP Index</stp>
        <stp>LAST_PRICE</stp>
        <tr r="H20" s="252"/>
        <tr r="H20" s="252"/>
      </tp>
      <tp t="s">
        <v>#N/A Real Time</v>
        <stp/>
        <stp>BDP|9553145545070053911|22</stp>
        <stp>QQQ US 01/15/26 P622 Equity</stp>
        <stp>bid</stp>
        <tr r="K69" s="89"/>
      </tp>
      <tp>
        <v>105.24</v>
        <stp/>
        <stp>BDP|11576966289528241643|22</stp>
        <stp>HOOD Equity</stp>
        <stp>LAST PRICE</stp>
        <tr r="L5" s="446"/>
        <tr r="L6" s="446"/>
      </tp>
      <tp>
        <v>0.56915706396102905</v>
        <stp/>
        <stp>BDP|15150595801257451367|22</stp>
        <stp>TSM US 07/17/26 C340 Equity</stp>
        <stp>DELTA_MID_RT</stp>
        <tr r="W19" s="89"/>
      </tp>
      <tp>
        <v>370.66</v>
        <stp/>
        <stp>BDP|13530810646219131800|22</stp>
        <stp>LITE Equity</stp>
        <stp>LAST_PRICE</stp>
        <tr r="I33" s="1"/>
        <tr r="I34" s="1"/>
      </tp>
      <tp t="s">
        <v>#N/A N/A</v>
        <stp/>
        <stp>BDP|4848892117196030665|22</stp>
        <stp>QQQ US 01/21/26 P616 Equity</stp>
        <stp>ask</stp>
        <tr r="L76" s="89"/>
      </tp>
      <tp t="s">
        <v>#N/A Real Time</v>
        <stp/>
        <stp>BDP|9694420881586169364|22</stp>
        <stp>RFSWZ4C3 2360 Index</stp>
        <stp>QUOTED_CURRENCY_REALTIME</stp>
        <tr r="F122" s="89"/>
      </tp>
      <tp>
        <v>275.8</v>
        <stp/>
        <stp>BDP|13659659385475398852|22</stp>
        <stp>ACN Equity</stp>
        <stp>LAST PRICE</stp>
        <tr r="L8" s="446"/>
      </tp>
      <tp>
        <v>6.1</v>
        <stp/>
        <stp>BDP|8734482328934403813|22</stp>
        <stp>MRVL US 03/20/26 P80 Equity</stp>
        <stp>ask</stp>
        <tr r="Q15" s="2"/>
        <tr r="L62" s="89"/>
      </tp>
      <tp>
        <v>1.64</v>
        <stp/>
        <stp>BDP|8993060904794494053|22</stp>
        <stp>NFLX US 03/20/26 P80 Equity</stp>
        <stp>bid</stp>
        <tr r="K188" s="89"/>
      </tp>
      <tp t="s">
        <v>#N/A Real Time</v>
        <stp/>
        <stp>BDP|7163798778722749172|22</stp>
        <stp>QQQ US 01/16/26 P622 Equity</stp>
        <stp>ask</stp>
        <tr r="L205" s="89"/>
      </tp>
      <tp>
        <v>15.38</v>
        <stp/>
        <stp>BDP|5153940913904664797|22</stp>
        <stp>GDX US 09/18/26 C115 Equity</stp>
        <stp>mid</stp>
        <tr r="L9" s="2"/>
      </tp>
      <tp>
        <v>332.79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>
        <v>-9.7929000854492188E-2</v>
        <stp/>
        <stp>BDP|13660853806395269308|22</stp>
        <stp>QQQ US 01/21/26 P616 Equity</stp>
        <stp>DELTA_MID_RT</stp>
        <tr r="W76" s="89"/>
      </tp>
      <tp>
        <v>4.7</v>
        <stp/>
        <stp>BDP|9317551536395983431|22</stp>
        <stp>INTC US 07/17/26 C50 Equity</stp>
        <stp>bid</stp>
        <tr r="P22" s="2"/>
        <tr r="K196" s="89"/>
      </tp>
      <tp>
        <v>2.95</v>
        <stp/>
        <stp>BDP|5895266963917453344|22</stp>
        <stp>QQQ US 01/29/26 P628 Equity</stp>
        <stp>ask</stp>
        <tr r="L81" s="89"/>
        <tr r="Q24" s="2"/>
      </tp>
      <tp>
        <v>90.42</v>
        <stp/>
        <stp>BDP|3517880411788471110|22</stp>
        <stp>COPX EQUITY</stp>
        <stp>LAST_PRICE</stp>
        <tr r="I9" s="1"/>
      </tp>
      <tp>
        <v>2.54</v>
        <stp/>
        <stp>BDP|8500678922565396001|22</stp>
        <stp>INTC US 07/17/26 C60 Equity</stp>
        <stp>bid</stp>
        <tr r="P21" s="2"/>
        <tr r="K195" s="89"/>
      </tp>
      <tp>
        <v>0.58359217643737793</v>
        <stp/>
        <stp>BDP|1115882164603689622|22</stp>
        <stp>META US 07/17/26 C670 Equity</stp>
        <stp>DELTA_MID_RT</stp>
        <tr r="AF12" s="2"/>
      </tp>
      <tp>
        <v>19.38</v>
        <stp/>
        <stp>BDP|9235179415749059917|22</stp>
        <stp>GDX US 09/18/26 C105 Equity</stp>
        <stp>mid</stp>
        <tr r="L8" s="2"/>
      </tp>
      <tp t="s">
        <v>#N/A Invalid Security</v>
        <stp/>
        <stp>BDP|2228083097151695363|22</stp>
        <stp>5,09230976224504 Index</stp>
        <stp>mid</stp>
        <tr r="L1" s="2"/>
      </tp>
      <tp>
        <v>0.30723142623901367</v>
        <stp/>
        <stp>BDP|9935221880457496648|22</stp>
        <stp>META US 04/17/26 C750 Equity</stp>
        <stp>DELTA_MID_RT</stp>
        <tr r="W169" s="89"/>
      </tp>
      <tp>
        <v>2.94</v>
        <stp/>
        <stp>BDP|9270732704576910193|22</stp>
        <stp>QQQ US 01/29/26 P628 Equity</stp>
        <stp>mid</stp>
        <tr r="L24" s="2"/>
      </tp>
      <tp>
        <v>5153.41</v>
        <stp/>
        <stp>BDP|13402169581729532440|22</stp>
        <stp>BKNG Equity</stp>
        <stp>LAST PRICE</stp>
        <tr r="G12" s="338"/>
      </tp>
      <tp t="s">
        <v>#N/A Real Time</v>
        <stp/>
        <stp>BDP|15758321286058819892|22</stp>
        <stp>QQQ US 01/16/26 P622 Equity</stp>
        <stp>DELTA_MID_RT</stp>
        <tr r="W205" s="89"/>
      </tp>
      <tp>
        <v>-0.28969821333885193</v>
        <stp/>
        <stp>BDP|15890717745630617830|22</stp>
        <stp>QQQ US 01/29/26 P625 Equity</stp>
        <stp>DELTA_MID_RT</stp>
        <tr r="W82" s="89"/>
      </tp>
      <tp>
        <v>0.37937188148498535</v>
        <stp/>
        <stp>BDP|17478839230977938286|22</stp>
        <stp>TSM US 06/18/26 C380 Equity</stp>
        <stp>DELTA_MID_RT</stp>
        <tr r="AF26" s="2"/>
        <tr r="W14" s="89"/>
      </tp>
      <tp>
        <v>0.4608648419380188</v>
        <stp/>
        <stp>BDP|4089992193290453877|22</stp>
        <stp>LITE US 03/20/26 C420 Equity</stp>
        <stp>DELTA_MID_RT</stp>
        <tr r="AF10" s="2"/>
        <tr r="W8" s="89"/>
      </tp>
      <tp>
        <v>6.35</v>
        <stp/>
        <stp>BDP|4874141046161399317|22</stp>
        <stp>NFLX US 03/20/26 P90 Equity</stp>
        <stp>bid</stp>
        <tr r="K187" s="89"/>
      </tp>
      <tp t="s">
        <v>USD</v>
        <stp/>
        <stp>BDP|6580497242376158383|22</stp>
        <stp>GDX US 09/18/26 C115 Equity</stp>
        <stp>QUOTED_CURRENCY_REALTIME</stp>
        <tr r="G9" s="2"/>
      </tp>
      <tp>
        <v>228.53</v>
        <stp/>
        <stp>BDP|18434337130911834676|22</stp>
        <stp>CRM Equity</stp>
        <stp>LAST PRICE</stp>
        <tr r="G31" s="338"/>
        <tr r="G32" s="338"/>
        <tr r="L9" s="446"/>
      </tp>
      <tp>
        <v>338.34</v>
        <stp/>
        <stp>BDP|13113113388917834281|22</stp>
        <stp>TSM Equity</stp>
        <stp>LAST_PRICE</stp>
        <tr r="I40" s="1"/>
        <tr r="I41" s="1"/>
      </tp>
      <tp>
        <v>-4.4539556838572025E-3</v>
        <stp/>
        <stp>BDP|14052482222999807241|22</stp>
        <stp>QQQ US 01/26/26 P615 Equity</stp>
        <stp>DELTA_MID_RT</stp>
        <tr r="W213" s="89"/>
      </tp>
      <tp t="s">
        <v>#N/A Real Time</v>
        <stp/>
        <stp>BDP|16744070427508501583|22</stp>
        <stp>QQQ US 01/15/26 P622 Equity</stp>
        <stp>DELTA_MID_RT</stp>
        <tr r="W69" s="89"/>
      </tp>
      <tp>
        <v>335</v>
        <stp/>
        <stp>BDP|16760158171648826820|22</stp>
        <stp>GOOG Equity</stp>
        <stp>LAST_PRICE</stp>
        <tr r="I20" s="1"/>
        <tr r="I26" s="1"/>
      </tp>
      <tp>
        <v>0.19</v>
        <stp/>
        <stp>BDP|9704315770915911503|22</stp>
        <stp>ASHR US 02/20/26 C35 Equity</stp>
        <stp>bid</stp>
        <tr r="P5" s="2"/>
        <tr r="P6" s="2"/>
      </tp>
      <tp>
        <v>-0.18977326154708862</v>
        <stp/>
        <stp>BDP|4306646786803793992|22</stp>
        <stp>META US 04/17/26 P590 Equity</stp>
        <stp>DELTA_MID_RT</stp>
        <tr r="W171" s="89"/>
      </tp>
      <tp>
        <v>15</v>
        <stp/>
        <stp>BDP|7029302373160148016|22</stp>
        <stp>GDX US 09/18/26 C115 Equity</stp>
        <stp>bid</stp>
        <tr r="P9" s="2"/>
      </tp>
      <tp t="s">
        <v>#N/A Real Time</v>
        <stp/>
        <stp>BDP|3703572431849033805|22</stp>
        <stp>3OF5C    22500 Index</stp>
        <stp>DELTA_MID_RT</stp>
        <tr r="W109" s="89"/>
      </tp>
      <tp>
        <v>23.7</v>
        <stp/>
        <stp>BDP|12167170999494993919|22</stp>
        <stp>KHC Equity</stp>
        <stp>LAST_PRICE</stp>
        <tr r="I48" s="1"/>
      </tp>
      <tp>
        <v>5748</v>
        <stp/>
        <stp>BDP|18259571086573127790|22</stp>
        <stp>HCTA Index</stp>
        <stp>LAST PRICE</stp>
        <tr r="L12" s="446"/>
      </tp>
      <tp>
        <v>2.38</v>
        <stp/>
        <stp>BDP|5295851568697877083|22</stp>
        <stp>MRVL US 03/20/26 P70 Equity</stp>
        <stp>bid</stp>
        <tr r="P16" s="2"/>
        <tr r="K63" s="89"/>
      </tp>
      <tp t="s">
        <v>#N/A N/A</v>
        <stp/>
        <stp>BDP|6711845542581076228|22</stp>
        <stp>QQQ US 01/23/26 P615 Equity</stp>
        <stp>bid</stp>
        <tr r="K75" s="89"/>
      </tp>
      <tp>
        <v>0.3</v>
        <stp/>
        <stp>BDP|8465872380432047250|22</stp>
        <stp>ASHR US 02/20/26 C35 Equity</stp>
        <stp>ask</stp>
        <tr r="Q5" s="2"/>
        <tr r="Q6" s="2"/>
      </tp>
      <tp>
        <v>338.34</v>
        <stp/>
        <stp>BDP|18226792745994375460|22</stp>
        <stp>TSM Equity</stp>
        <stp>LAST PRICE</stp>
        <tr r="G13" s="338"/>
        <tr r="G34" s="338"/>
      </tp>
      <tp t="s">
        <v>#N/A Real Time</v>
        <stp/>
        <stp>BDP|11292885437955738515|22</stp>
        <stp>QQQ US 01/16/26 C633 Equity</stp>
        <stp>DELTA_MID_RT</stp>
        <tr r="W204" s="89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>
        <v>0.4045461118221283</v>
        <stp/>
        <stp>BDP|18231477560940764707|22</stp>
        <stp>TSM US 07/17/26 C380 Equity</stp>
        <stp>DELTA_MID_RT</stp>
        <tr r="W20" s="89"/>
      </tp>
      <tp>
        <v>4705.6899999999996</v>
        <stp/>
        <stp>BDP|6933862981827794123|22</stp>
        <stp>SHSZ300 Index</stp>
        <stp>LAST_PRICE</stp>
        <tr r="H8" s="252"/>
        <tr r="H8" s="25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P&amp;L'!$B$12:$B$49</c:f>
              <c:strCache>
                <c:ptCount val="38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ASHR</c:v>
                </c:pt>
                <c:pt idx="4">
                  <c:v>RSP</c:v>
                </c:pt>
                <c:pt idx="5">
                  <c:v>QQQ</c:v>
                </c:pt>
                <c:pt idx="6">
                  <c:v>GDX</c:v>
                </c:pt>
                <c:pt idx="7">
                  <c:v>GDX</c:v>
                </c:pt>
                <c:pt idx="8">
                  <c:v>GOOG</c:v>
                </c:pt>
                <c:pt idx="9">
                  <c:v>AAPL</c:v>
                </c:pt>
                <c:pt idx="10">
                  <c:v>AAPL</c:v>
                </c:pt>
                <c:pt idx="11">
                  <c:v>AMZN</c:v>
                </c:pt>
                <c:pt idx="12">
                  <c:v>AMZN</c:v>
                </c:pt>
                <c:pt idx="13">
                  <c:v>META</c:v>
                </c:pt>
                <c:pt idx="14">
                  <c:v>GOOG</c:v>
                </c:pt>
                <c:pt idx="15">
                  <c:v>MSFT</c:v>
                </c:pt>
                <c:pt idx="16">
                  <c:v>META</c:v>
                </c:pt>
                <c:pt idx="17">
                  <c:v>MSFT</c:v>
                </c:pt>
                <c:pt idx="18">
                  <c:v>000660 KP</c:v>
                </c:pt>
                <c:pt idx="19">
                  <c:v>EWY</c:v>
                </c:pt>
                <c:pt idx="20">
                  <c:v>EWY</c:v>
                </c:pt>
                <c:pt idx="21">
                  <c:v>LITE</c:v>
                </c:pt>
                <c:pt idx="22">
                  <c:v>LITE</c:v>
                </c:pt>
                <c:pt idx="23">
                  <c:v>CSCO</c:v>
                </c:pt>
                <c:pt idx="24">
                  <c:v>CSCO</c:v>
                </c:pt>
                <c:pt idx="25">
                  <c:v>AKAM</c:v>
                </c:pt>
                <c:pt idx="26">
                  <c:v>NET</c:v>
                </c:pt>
                <c:pt idx="27">
                  <c:v>AVGO</c:v>
                </c:pt>
                <c:pt idx="28">
                  <c:v>TSM</c:v>
                </c:pt>
                <c:pt idx="29">
                  <c:v>TSM</c:v>
                </c:pt>
                <c:pt idx="30">
                  <c:v>INTC</c:v>
                </c:pt>
                <c:pt idx="31">
                  <c:v>AMD</c:v>
                </c:pt>
                <c:pt idx="32">
                  <c:v>NVDA</c:v>
                </c:pt>
                <c:pt idx="33">
                  <c:v>MRVL</c:v>
                </c:pt>
                <c:pt idx="34">
                  <c:v>RIOT</c:v>
                </c:pt>
                <c:pt idx="35">
                  <c:v>XLF</c:v>
                </c:pt>
                <c:pt idx="36">
                  <c:v>KHC</c:v>
                </c:pt>
                <c:pt idx="37">
                  <c:v>XLP</c:v>
                </c:pt>
              </c:strCache>
            </c:strRef>
          </c:cat>
          <c:val>
            <c:numRef>
              <c:f>'Master P&amp;L'!$J$12:$J$49</c:f>
              <c:numCache>
                <c:formatCode>0.00%</c:formatCode>
                <c:ptCount val="38"/>
                <c:pt idx="0">
                  <c:v>7.8776915446110429E-3</c:v>
                </c:pt>
                <c:pt idx="1">
                  <c:v>9.9948744233724351E-3</c:v>
                </c:pt>
                <c:pt idx="2">
                  <c:v>2.0771513353115001E-3</c:v>
                </c:pt>
                <c:pt idx="3">
                  <c:v>1.4827995255042303E-3</c:v>
                </c:pt>
                <c:pt idx="4">
                  <c:v>-1.5559124673760749E-3</c:v>
                </c:pt>
                <c:pt idx="5">
                  <c:v>9.0653279186518887E-3</c:v>
                </c:pt>
                <c:pt idx="6">
                  <c:v>1.6840342389281782E-2</c:v>
                </c:pt>
                <c:pt idx="7">
                  <c:v>3.9174669582580535E-2</c:v>
                </c:pt>
                <c:pt idx="8">
                  <c:v>4.2267454060374021E-3</c:v>
                </c:pt>
                <c:pt idx="9">
                  <c:v>1.1197682158098576E-2</c:v>
                </c:pt>
                <c:pt idx="10">
                  <c:v>5.9985198457521705E-3</c:v>
                </c:pt>
                <c:pt idx="11">
                  <c:v>2.6256186561530059E-2</c:v>
                </c:pt>
                <c:pt idx="12">
                  <c:v>7.0793546262759577E-3</c:v>
                </c:pt>
                <c:pt idx="13">
                  <c:v>9.828636595540452E-3</c:v>
                </c:pt>
                <c:pt idx="14">
                  <c:v>-2.085195114685745E-3</c:v>
                </c:pt>
                <c:pt idx="15">
                  <c:v>-3.7440718861803113E-4</c:v>
                </c:pt>
                <c:pt idx="16">
                  <c:v>9.0725206734498798E-4</c:v>
                </c:pt>
                <c:pt idx="17">
                  <c:v>2.1901845708939272E-2</c:v>
                </c:pt>
                <c:pt idx="18">
                  <c:v>8.6956521739130377E-2</c:v>
                </c:pt>
                <c:pt idx="19">
                  <c:v>4.5857483804977894E-2</c:v>
                </c:pt>
                <c:pt idx="20">
                  <c:v>6.1500615006149228E-3</c:v>
                </c:pt>
                <c:pt idx="21">
                  <c:v>0.1149345766280645</c:v>
                </c:pt>
                <c:pt idx="22">
                  <c:v>7.8307683941487571E-3</c:v>
                </c:pt>
                <c:pt idx="23">
                  <c:v>2.1685495390209031E-2</c:v>
                </c:pt>
                <c:pt idx="24">
                  <c:v>1.2873326467559121E-2</c:v>
                </c:pt>
                <c:pt idx="25">
                  <c:v>2.5242718446603085E-3</c:v>
                </c:pt>
                <c:pt idx="26">
                  <c:v>0.10661745594427408</c:v>
                </c:pt>
                <c:pt idx="27">
                  <c:v>2.4442050177004848E-2</c:v>
                </c:pt>
                <c:pt idx="28">
                  <c:v>1.6921643473295056E-2</c:v>
                </c:pt>
                <c:pt idx="29">
                  <c:v>-4.9116202464634107E-3</c:v>
                </c:pt>
                <c:pt idx="30">
                  <c:v>3.389032713579665E-2</c:v>
                </c:pt>
                <c:pt idx="31">
                  <c:v>8.7541283673542303E-4</c:v>
                </c:pt>
                <c:pt idx="32">
                  <c:v>1.0993725532257193E-2</c:v>
                </c:pt>
                <c:pt idx="33">
                  <c:v>1.418613183319084E-2</c:v>
                </c:pt>
                <c:pt idx="34">
                  <c:v>8.1330868761552599E-2</c:v>
                </c:pt>
                <c:pt idx="35">
                  <c:v>-7.6764650814453717E-3</c:v>
                </c:pt>
                <c:pt idx="36">
                  <c:v>5.0890585241729624E-3</c:v>
                </c:pt>
                <c:pt idx="37">
                  <c:v>4.5904807924619373E-3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36</xdr:col>
      <xdr:colOff>404810</xdr:colOff>
      <xdr:row>8</xdr:row>
      <xdr:rowOff>83345</xdr:rowOff>
    </xdr:from>
    <xdr:to>
      <xdr:col>42</xdr:col>
      <xdr:colOff>154778</xdr:colOff>
      <xdr:row>47</xdr:row>
      <xdr:rowOff>134394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AE75B8-1133-8DED-4B6D-C71738D65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62404" y="1714501"/>
          <a:ext cx="3405187" cy="8349706"/>
        </a:xfrm>
        <a:prstGeom prst="rect">
          <a:avLst/>
        </a:prstGeom>
      </xdr:spPr>
    </xdr:pic>
    <xdr:clientData/>
  </xdr:twoCellAnchor>
  <xdr:twoCellAnchor editAs="oneCell">
    <xdr:from>
      <xdr:col>29</xdr:col>
      <xdr:colOff>190500</xdr:colOff>
      <xdr:row>9</xdr:row>
      <xdr:rowOff>83344</xdr:rowOff>
    </xdr:from>
    <xdr:to>
      <xdr:col>37</xdr:col>
      <xdr:colOff>107156</xdr:colOff>
      <xdr:row>44</xdr:row>
      <xdr:rowOff>127567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E6EC34A-8E8D-61B2-8972-CD4F7002B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585656" y="1928813"/>
          <a:ext cx="4786313" cy="7521348"/>
        </a:xfrm>
        <a:prstGeom prst="rect">
          <a:avLst/>
        </a:prstGeom>
      </xdr:spPr>
    </xdr:pic>
    <xdr:clientData/>
  </xdr:twoCellAnchor>
  <xdr:twoCellAnchor editAs="oneCell">
    <xdr:from>
      <xdr:col>20</xdr:col>
      <xdr:colOff>726281</xdr:colOff>
      <xdr:row>11</xdr:row>
      <xdr:rowOff>23812</xdr:rowOff>
    </xdr:from>
    <xdr:to>
      <xdr:col>29</xdr:col>
      <xdr:colOff>149829</xdr:colOff>
      <xdr:row>42</xdr:row>
      <xdr:rowOff>130968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71DE855-7604-BC13-5D9B-39BB699E0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78000" y="2274093"/>
          <a:ext cx="4066985" cy="677465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11</xdr:row>
      <xdr:rowOff>0</xdr:rowOff>
    </xdr:from>
    <xdr:to>
      <xdr:col>20</xdr:col>
      <xdr:colOff>202406</xdr:colOff>
      <xdr:row>45</xdr:row>
      <xdr:rowOff>197113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D87D347-6160-290C-4293-D1AD178B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894094" y="2250281"/>
          <a:ext cx="4202906" cy="747183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581025</xdr:colOff>
          <xdr:row>3</xdr:row>
          <xdr:rowOff>9525</xdr:rowOff>
        </xdr:from>
        <xdr:to>
          <xdr:col>35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600075</xdr:colOff>
          <xdr:row>4</xdr:row>
          <xdr:rowOff>152400</xdr:rowOff>
        </xdr:from>
        <xdr:to>
          <xdr:col>35</xdr:col>
          <xdr:colOff>95250</xdr:colOff>
          <xdr:row>8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9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292137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D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E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1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49.748789699071" createdVersion="8" refreshedVersion="8" minRefreshableVersion="3" recordCount="36" xr:uid="{C35D4399-4CEF-409A-AF8E-A02DC4C552E4}">
  <cacheSource type="worksheet">
    <worksheetSource name="Tabelad"/>
  </cacheSource>
  <cacheFields count="34">
    <cacheField name="Ticker" numFmtId="172">
      <sharedItems containsBlank="1" count="186">
        <s v="BABA"/>
        <s v="BIDU"/>
        <s v="ASHR"/>
        <s v="RSP"/>
        <s v="GDX"/>
        <s v="GOOG"/>
        <s v="AAPL"/>
        <s v="AMZN"/>
        <s v="META"/>
        <s v="MSFT"/>
        <s v="000660 KP"/>
        <s v="EWY"/>
        <s v="LITE"/>
        <s v="CSCO"/>
        <s v="AKAM"/>
        <s v="NET"/>
        <s v="AVGO"/>
        <s v="TSM"/>
        <s v="INTC"/>
        <s v="AMD"/>
        <s v="NVDA"/>
        <s v="MRVL"/>
        <s v="RIOT"/>
        <s v="XLF"/>
        <s v="KHC"/>
        <s v="XLP"/>
        <s v="SNDK" u="1"/>
        <s v="QQQ" u="1"/>
        <s v="1OH6" u="1"/>
        <s v="COPX" u="1"/>
        <s v="000660 KS" u="1"/>
        <s v="KMH6" u="1"/>
        <s v="AMAT" u="1"/>
        <s v="GDX " u="1"/>
        <s v="QQQE" u="1"/>
        <s v="NFLX" u="1"/>
        <s v="COHR" u="1"/>
        <s v="ASML NA" u="1"/>
        <s v="CEG" u="1"/>
        <s v="V" u="1"/>
        <s v="MA" u="1"/>
        <s v="SOXX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NQA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BW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IGV" u="1"/>
        <s v="MSXXQE7 " u="1"/>
        <s v="CPNG" u="1"/>
        <s v="SCHW" u="1"/>
        <s v="XRT" u="1"/>
        <s v="EWT" u="1"/>
        <s v="402340 KS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Metals"/>
        <s v="Internet/SW"/>
        <s v="Memory"/>
        <s v="Networking"/>
        <s v="Semis"/>
        <s v="Power "/>
        <s v="Pairs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 containsBlank="1"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27500" maxValue="45750"/>
    </cacheField>
    <cacheField name="Price Today" numFmtId="43">
      <sharedItems containsSemiMixedTypes="0" containsString="0" containsNumber="1" minValue="17.475000000000001" maxValue="800000"/>
    </cacheField>
    <cacheField name="% Chg" numFmtId="10">
      <sharedItems containsSemiMixedTypes="0" containsString="0" containsNumber="1" minValue="-7.3956187979777877E-3" maxValue="0.11379154760114307"/>
    </cacheField>
    <cacheField name="Price Yest" numFmtId="43">
      <sharedItems containsSemiMixedTypes="0" containsString="0" containsNumber="1" minValue="16.23" maxValue="736000"/>
    </cacheField>
    <cacheField name="FX" numFmtId="168">
      <sharedItems containsSemiMixedTypes="0" containsString="0" containsNumber="1" minValue="1" maxValue="1438.15"/>
    </cacheField>
    <cacheField name="Mult" numFmtId="166">
      <sharedItems containsSemiMixedTypes="0" containsString="0" containsNumber="1" containsInteger="1" minValue="1" maxValue="1"/>
    </cacheField>
    <cacheField name="D1 Exp USD" numFmtId="166">
      <sharedItems containsSemiMixedTypes="0" containsString="0" containsNumber="1" minValue="-2586480" maxValue="5416545.1749999998"/>
    </cacheField>
    <cacheField name="D1 Exp %" numFmtId="198">
      <sharedItems containsString="0" containsBlank="1" containsNumber="1" minValue="-1.0794252336571808E-3" maxValue="2.2605067663925686E-3"/>
    </cacheField>
    <cacheField name="D1 P&amp;L bps" numFmtId="170">
      <sharedItems containsSemiMixedTypes="0" containsString="0" containsNumber="1" minValue="-7.5417413835510566E-2" maxValue="0.9412543967053324"/>
    </cacheField>
    <cacheField name="Options Exp USD (delta adj)" numFmtId="166">
      <sharedItems containsString="0" containsBlank="1" containsNumber="1" minValue="-573673.49083013833" maxValue="11485048.010551926"/>
    </cacheField>
    <cacheField name="Option Exp %" numFmtId="10">
      <sharedItems containsString="0" containsBlank="1" containsNumber="1" minValue="-2.3941327281952796E-4" maxValue="4.7930974267552636E-3"/>
    </cacheField>
    <cacheField name="Options P&amp;L bps" numFmtId="170">
      <sharedItems containsString="0" containsBlank="1" containsNumber="1" minValue="-0.39250233222548825" maxValue="1.2099546908078107"/>
    </cacheField>
    <cacheField name="Exp" numFmtId="166">
      <sharedItems containsSemiMixedTypes="0" containsString="0" containsNumber="1" minValue="-2586480" maxValue="12871996.010551926"/>
    </cacheField>
    <cacheField name="Exp %" numFmtId="173">
      <sharedItems containsString="0" containsBlank="1" containsNumber="1" minValue="-1.0794252336571808E-3" maxValue="5.371917548685593E-3"/>
    </cacheField>
    <cacheField name="P&amp;L bps" numFmtId="170">
      <sharedItems containsSemiMixedTypes="0" containsString="0" containsNumber="1" minValue="-0.31283333145797587" maxValue="1.305261184811356"/>
    </cacheField>
    <cacheField name="xx" numFmtId="166">
      <sharedItems containsSemiMixedTypes="0" containsString="0" containsNumber="1" minValue="178.03168880765571" maxValue="6855.9774134477821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9625" maxValue="17635.627686977386"/>
    </cacheField>
    <cacheField name="Beta Adj" numFmtId="170">
      <sharedItems containsSemiMixedTypes="0" containsString="0" containsNumber="1" minValue="-9.2552076071817785E-2" maxValue="1.3483132958494672"/>
    </cacheField>
    <cacheField name="Expo Beta Adj" numFmtId="10">
      <sharedItems containsSemiMixedTypes="0" containsString="0" containsNumber="1" minValue="-1.0755025639442293E-3" maxValue="7.9536764886894411E-3"/>
    </cacheField>
    <cacheField name="Vol 10d" numFmtId="43">
      <sharedItems containsSemiMixedTypes="0" containsString="0" containsNumber="1" minValue="8.6811836659377004" maxValue="132.26429159415798"/>
    </cacheField>
    <cacheField name="Beta Adj2" numFmtId="43">
      <sharedItems containsSemiMixedTypes="0" containsString="0" containsNumber="1" minValue="0.36503863334655762" maxValue="2.0717568397521973"/>
    </cacheField>
    <cacheField name="Daily P&amp;L" numFmtId="166">
      <sharedItems containsSemiMixedTypes="0" containsString="0" containsNumber="1" minValue="-16939.01562124251" maxValue="211409.03829093601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1.7804559999999999E-3" maxValue="3.3668570000000002E-2"/>
    </cacheField>
    <cacheField name="Column4" numFmtId="170">
      <sharedItems containsMixedTypes="1" containsNumber="1" minValue="-4.3098016982189111E-2" maxValue="0.7240466853007772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m/>
    <s v="USD"/>
    <s v="Long"/>
    <m/>
    <n v="3378"/>
    <n v="172.655"/>
    <n v="7.4983952850558033E-3"/>
    <n v="171.37"/>
    <n v="1"/>
    <n v="1"/>
    <n v="583228.59"/>
    <n v="2.4340093758169331E-4"/>
    <n v="1.8115328533345406E-2"/>
    <n v="0"/>
    <n v="0"/>
    <n v="0"/>
    <n v="583228.59"/>
    <n v="2.4340093758169331E-4"/>
    <n v="1.8115328533345406E-2"/>
    <n v="693.91680113521181"/>
    <m/>
    <n v="1182.2999999999997"/>
    <n v="6.8141681878011853E-2"/>
    <n v="2.0847975792867367E-4"/>
    <n v="44.793044795986475"/>
    <n v="0.85652816295623779"/>
    <n v="4068.7663154234788"/>
    <m/>
    <s v="20/02/2026"/>
    <e v="#VALUE!"/>
    <e v="#VALUE!"/>
    <s v="12/06/2025"/>
  </r>
  <r>
    <x v="1"/>
    <x v="0"/>
    <m/>
    <s v="USD"/>
    <s v="Long"/>
    <m/>
    <n v="3510"/>
    <n v="157.76499999999999"/>
    <n v="1.079574577139919E-2"/>
    <n v="156.08000000000001"/>
    <n v="1"/>
    <n v="1"/>
    <n v="553755.14999999991"/>
    <n v="2.3110067821039296E-4"/>
    <n v="2.4682574892055029E-2"/>
    <n v="0"/>
    <n v="0"/>
    <n v="0"/>
    <n v="553755.14999999991"/>
    <n v="2.3110067821039296E-4"/>
    <n v="2.4682574892055029E-2"/>
    <n v="759.40928152632091"/>
    <m/>
    <n v="1228.4999999999998"/>
    <n v="7.0322707338897422E-2"/>
    <n v="2.39479702105058E-4"/>
    <n v="48.687149087378074"/>
    <n v="1.0362570285797119"/>
    <n v="5543.7928776091912"/>
    <m/>
    <s v="26/02/2026"/>
    <e v="#VALUE!"/>
    <e v="#VALUE!"/>
    <s v="#N/A Field Not Applicable"/>
  </r>
  <r>
    <x v="2"/>
    <x v="0"/>
    <m/>
    <s v="USD"/>
    <s v="Long"/>
    <m/>
    <m/>
    <n v="33.765000000000001"/>
    <n v="1.9287833827892342E-3"/>
    <n v="33.700000000000003"/>
    <n v="1"/>
    <n v="1"/>
    <n v="0"/>
    <n v="0"/>
    <n v="0"/>
    <n v="1701334.196716547"/>
    <n v="7.1002407241490791E-4"/>
    <n v="-8.5732570948037542E-3"/>
    <n v="1701334.196716547"/>
    <n v="7.1002407241490791E-4"/>
    <n v="-8.5732570948037542E-3"/>
    <n v="3548.2957293054938"/>
    <m/>
    <n v="17635.627686977386"/>
    <n v="4.4986624989625468E-2"/>
    <n v="8.1013435791367472E-4"/>
    <n v="10.13748727400041"/>
    <n v="1.1409956216812134"/>
    <n v="0"/>
    <m/>
    <s v="#N/A N/A"/>
    <n v="-1.7804559999999999E-3"/>
    <n v="-1.2641666198755572E-2"/>
    <s v="19/12/2025"/>
  </r>
  <r>
    <x v="3"/>
    <x v="1"/>
    <m/>
    <s v="USD"/>
    <s v="Short"/>
    <m/>
    <n v="-13000"/>
    <n v="198.96"/>
    <n v="-1.4053402931137882E-3"/>
    <n v="199.24"/>
    <n v="1"/>
    <n v="1"/>
    <n v="-2586480"/>
    <n v="-1.0794252336571808E-3"/>
    <n v="1.5190946191395851E-2"/>
    <n v="0"/>
    <n v="0"/>
    <n v="0"/>
    <n v="-2586480"/>
    <n v="-1.0794252336571808E-3"/>
    <n v="1.5190946191395851E-2"/>
    <n v="602.1723225774025"/>
    <m/>
    <n v="-4549.9999999999991"/>
    <n v="-9.2552076071817785E-2"/>
    <n v="-1.0755025639442293E-3"/>
    <n v="13.718719657237404"/>
    <n v="0.99636596441268921"/>
    <n v="3411.9397861976126"/>
    <m/>
    <s v="#N/A N/A"/>
    <e v="#VALUE!"/>
    <e v="#VALUE!"/>
    <s v="22/12/2025"/>
  </r>
  <r>
    <x v="4"/>
    <x v="2"/>
    <m/>
    <s v="USD"/>
    <m/>
    <m/>
    <n v="11500"/>
    <n v="109.14"/>
    <n v="1.5444733903982044E-2"/>
    <n v="107.48"/>
    <n v="1"/>
    <n v="1"/>
    <n v="1255110"/>
    <n v="5.2379968335941683E-4"/>
    <n v="7.9669000767512377E-2"/>
    <n v="1143479.4126391411"/>
    <n v="4.7721247880137515E-4"/>
    <n v="-0.39250233222548825"/>
    <n v="2398589.4126391411"/>
    <n v="1.0010121621607919E-3"/>
    <n v="-0.31283333145797587"/>
    <n v="1097.7478953637531"/>
    <m/>
    <n v="7692.0129597187033"/>
    <n v="0.21356003720736264"/>
    <n v="9.9207697426331514E-4"/>
    <n v="34.135055741400052"/>
    <n v="0.9910738468170166"/>
    <n v="17893.936955635174"/>
    <m/>
    <s v="#N/A N/A"/>
    <n v="3.7215659999999999E-3"/>
    <n v="3.7253328282840899E-2"/>
    <s v="22/12/2025"/>
  </r>
  <r>
    <x v="4"/>
    <x v="2"/>
    <m/>
    <s v="USD"/>
    <m/>
    <m/>
    <n v="2010"/>
    <n v="109.14"/>
    <n v="3.7748407340496337E-2"/>
    <n v="105.17"/>
    <n v="1"/>
    <n v="1"/>
    <n v="219371.4"/>
    <n v="9.1551075091515449E-5"/>
    <n v="3.3301976187769491E-2"/>
    <m/>
    <m/>
    <m/>
    <n v="219371.4"/>
    <n v="9.1551075091515449E-5"/>
    <n v="3.3301976187769491E-2"/>
    <n v="1097.7478953637531"/>
    <m/>
    <n v="703.49999999999989"/>
    <n v="1.9531881571462385E-2"/>
    <n v="9.0733876171181764E-5"/>
    <n v="34.135055741400052"/>
    <n v="0.9910738468170166"/>
    <n v="7479.7406351431237"/>
    <m/>
    <s v="#N/A N/A"/>
    <n v="3.7215659999999999E-3"/>
    <n v="3.4071336832403078E-3"/>
    <s v="22/12/2025"/>
  </r>
  <r>
    <x v="5"/>
    <x v="3"/>
    <m/>
    <s v="USD"/>
    <s v="Long"/>
    <m/>
    <n v="10250"/>
    <n v="334.9"/>
    <n v="3.9269762283042908E-3"/>
    <n v="333.59"/>
    <n v="1"/>
    <n v="1"/>
    <n v="3432724.9999999995"/>
    <n v="1.4325917792543711E-3"/>
    <n v="5.6037480765100914E-2"/>
    <n v="0"/>
    <n v="0"/>
    <n v="0"/>
    <n v="3432724.9999999995"/>
    <n v="1.4325917792543711E-3"/>
    <n v="5.6037480765100914E-2"/>
    <n v="357.74322275306065"/>
    <m/>
    <n v="3587.4999999999986"/>
    <n v="0.19939030578757186"/>
    <n v="1.4799976008433502E-3"/>
    <n v="22.269043692695163"/>
    <n v="1.0330909490585327"/>
    <n v="12586.214692079211"/>
    <m/>
    <s v="04/02/2026"/>
    <n v="5.9354629999999993E-3"/>
    <n v="8.5030954998684877E-2"/>
    <s v="08/12/2025"/>
  </r>
  <r>
    <x v="6"/>
    <x v="3"/>
    <m/>
    <s v="USD"/>
    <s v="Long"/>
    <m/>
    <n v="10000"/>
    <n v="258.27"/>
    <n v="1.1197682158098576E-2"/>
    <n v="255.41"/>
    <n v="1"/>
    <n v="1"/>
    <n v="2582700"/>
    <n v="1.0778477123219207E-3"/>
    <n v="0.1193574343609663"/>
    <n v="0"/>
    <n v="0"/>
    <n v="0"/>
    <n v="2582700"/>
    <n v="1.0778477123219207E-3"/>
    <n v="0.1193574343609663"/>
    <n v="463.88742517520427"/>
    <m/>
    <n v="3500.0000000000005"/>
    <n v="0.19010713083255415"/>
    <n v="1.1543900400668313E-3"/>
    <n v="28.220258377394948"/>
    <n v="1.0710140466690063"/>
    <n v="26808.098320123849"/>
    <m/>
    <s v="29/01/2026"/>
    <n v="1.299874E-2"/>
    <n v="0.14010662172067442"/>
    <s v="10/11/2025"/>
  </r>
  <r>
    <x v="6"/>
    <x v="3"/>
    <m/>
    <s v="USD"/>
    <s v="Long"/>
    <m/>
    <n v="2700"/>
    <n v="258.27"/>
    <n v="5.9985198457521705E-3"/>
    <n v="256.73"/>
    <n v="1"/>
    <n v="1"/>
    <n v="697329"/>
    <n v="2.9101888232691854E-4"/>
    <n v="1.7352734687863244E-2"/>
    <n v="0"/>
    <n v="0"/>
    <n v="0"/>
    <n v="697329"/>
    <n v="2.9101888232691854E-4"/>
    <n v="1.7352734687863244E-2"/>
    <n v="463.88742517520427"/>
    <m/>
    <n v="944.99999999999989"/>
    <n v="5.1328925324789609E-2"/>
    <n v="3.1168531081804439E-4"/>
    <n v="28.220258377394948"/>
    <n v="1.0710140466690063"/>
    <n v="3897.4850634640879"/>
    <m/>
    <s v="29/01/2026"/>
    <n v="1.299874E-2"/>
    <n v="3.7828787864582089E-2"/>
    <s v="10/11/2025"/>
  </r>
  <r>
    <x v="7"/>
    <x v="3"/>
    <m/>
    <s v="USD"/>
    <s v="Long"/>
    <m/>
    <n v="22135"/>
    <n v="244.70500000000001"/>
    <n v="2.6361043536616169E-2"/>
    <n v="238.42"/>
    <n v="1"/>
    <n v="1"/>
    <n v="5416545.1749999998"/>
    <n v="2.2605067663925686E-3"/>
    <n v="0.58058826042693656"/>
    <n v="702242.45647639036"/>
    <n v="2.9306943323204526E-4"/>
    <n v="8.0336734666035386E-2"/>
    <n v="6118787.6314763902"/>
    <n v="2.5535761996246138E-3"/>
    <n v="0.66092499509297198"/>
    <n v="489.60260436035225"/>
    <m/>
    <n v="8751.6629043817502"/>
    <n v="0.50722605920247243"/>
    <n v="3.2407546924533167E-3"/>
    <n v="31.781377616350699"/>
    <n v="1.2691043615341187"/>
    <n v="130402.15929880162"/>
    <m/>
    <s v="05/02/2026"/>
    <n v="5.1589450000000007E-3"/>
    <n v="0.13173759167172405"/>
    <s v="#N/A Field Not Applicable"/>
  </r>
  <r>
    <x v="7"/>
    <x v="3"/>
    <m/>
    <s v="USD"/>
    <s v="Long"/>
    <m/>
    <n v="-4000"/>
    <n v="244.70500000000001"/>
    <n v="1.1094124452524667E-2"/>
    <n v="242.02"/>
    <n v="1"/>
    <n v="1"/>
    <n v="-978820"/>
    <n v="-4.0849455909511067E-4"/>
    <n v="-4.4821637938349153E-2"/>
    <m/>
    <m/>
    <m/>
    <n v="-978820"/>
    <n v="-4.0849455909511067E-4"/>
    <n v="-4.4821637938349153E-2"/>
    <n v="489.60260436035225"/>
    <m/>
    <n v="-1400"/>
    <n v="-8.1140748980164989E-2"/>
    <n v="-5.1842222661056174E-4"/>
    <n v="31.781377616350699"/>
    <n v="1.2691043615341187"/>
    <n v="-10067.097061473141"/>
    <m/>
    <s v="05/02/2026"/>
    <n v="5.1589450000000007E-3"/>
    <n v="-2.1074009631709259E-2"/>
    <s v="#N/A Field Not Applicable"/>
  </r>
  <r>
    <x v="8"/>
    <x v="3"/>
    <m/>
    <s v="USD"/>
    <s v="Long"/>
    <m/>
    <n v="-700"/>
    <n v="672.96"/>
    <n v="1.3616098325099468E-2"/>
    <n v="663.92"/>
    <n v="1"/>
    <n v="1"/>
    <n v="-471072"/>
    <n v="-1.9659421440310984E-4"/>
    <n v="-2.64088756865806E-2"/>
    <m/>
    <m/>
    <m/>
    <n v="-471072"/>
    <n v="-1.9659421440310984E-4"/>
    <n v="-2.64088756865806E-2"/>
    <n v="178.03168880765571"/>
    <m/>
    <n v="-245"/>
    <n v="-4.8847485333974316E-2"/>
    <n v="-2.3165624796759118E-4"/>
    <n v="39.754972836638366"/>
    <n v="1.1783472299575806"/>
    <n v="-5931.5260898512606"/>
    <m/>
    <s v="28/01/2026"/>
    <e v="#VALUE!"/>
    <e v="#VALUE!"/>
    <s v="15/12/2025"/>
  </r>
  <r>
    <x v="5"/>
    <x v="3"/>
    <m/>
    <s v="USD"/>
    <s v="Long"/>
    <m/>
    <n v="-1500"/>
    <n v="334.9"/>
    <n v="-2.3830801310694705E-3"/>
    <n v="335.7"/>
    <n v="1"/>
    <n v="1"/>
    <n v="-502349.99999999994"/>
    <n v="-2.096475774518592E-4"/>
    <n v="5.0080042389217608E-3"/>
    <m/>
    <m/>
    <m/>
    <n v="-502349.99999999994"/>
    <n v="-2.096475774518592E-4"/>
    <n v="5.0080042389217608E-3"/>
    <n v="357.74322275306065"/>
    <m/>
    <n v="-525"/>
    <n v="-2.9179069139644659E-2"/>
    <n v="-2.1658501475756346E-4"/>
    <n v="22.269043692695163"/>
    <n v="1.0330909490585327"/>
    <n v="1124.8153141310925"/>
    <m/>
    <s v="04/02/2026"/>
    <n v="5.9354629999999993E-3"/>
    <n v="-1.2443554390051443E-2"/>
    <s v="08/12/2025"/>
  </r>
  <r>
    <x v="9"/>
    <x v="3"/>
    <m/>
    <s v="USD"/>
    <s v="Long"/>
    <m/>
    <n v="-1250"/>
    <n v="480.84"/>
    <n v="1.664031949413225E-4"/>
    <n v="480.76"/>
    <n v="1"/>
    <n v="1"/>
    <n v="-601050"/>
    <n v="-2.5083841231699009E-4"/>
    <n v="-4.1733368657672444E-4"/>
    <m/>
    <m/>
    <m/>
    <n v="-601050"/>
    <n v="-2.5083841231699009E-4"/>
    <n v="-4.1733368657672444E-4"/>
    <n v="249.16439002578821"/>
    <m/>
    <n v="-437.49999999999994"/>
    <n v="-5.0148256787215344E-2"/>
    <n v="-2.5577734017295675E-4"/>
    <n v="31.987609121902345"/>
    <n v="1.019689679145813"/>
    <n v="-93.734609510904406"/>
    <m/>
    <s v="28/01/2026"/>
    <e v="#VALUE!"/>
    <e v="#VALUE!"/>
    <s v="19/02/2026"/>
  </r>
  <r>
    <x v="8"/>
    <x v="3"/>
    <m/>
    <s v="USD"/>
    <s v="Long"/>
    <m/>
    <m/>
    <n v="672.96"/>
    <n v="8.92379082634287E-4"/>
    <n v="672.36"/>
    <n v="1"/>
    <n v="1"/>
    <n v="0"/>
    <n v="0"/>
    <n v="0"/>
    <n v="4944416.9620227814"/>
    <n v="2.063471758733866E-3"/>
    <n v="-3.6308030732182403E-2"/>
    <n v="4944416.9620227814"/>
    <n v="2.063471758733866E-3"/>
    <n v="-3.6308030732182403E-2"/>
    <n v="178.03168880765571"/>
    <m/>
    <n v="2571.5435341000557"/>
    <n v="0.51270789823522023"/>
    <n v="2.431486230999748E-3"/>
    <n v="39.754972836638366"/>
    <n v="1.1783472299575806"/>
    <n v="0"/>
    <m/>
    <s v="28/01/2026"/>
    <e v="#VALUE!"/>
    <e v="#VALUE!"/>
    <s v="15/12/2025"/>
  </r>
  <r>
    <x v="9"/>
    <x v="3"/>
    <m/>
    <s v="USD"/>
    <s v="Long"/>
    <m/>
    <n v="2450"/>
    <n v="480.84"/>
    <n v="2.2454707833631016E-2"/>
    <n v="470.28"/>
    <n v="1"/>
    <n v="1"/>
    <n v="1178058"/>
    <n v="4.9164328814130058E-4"/>
    <n v="0.10797257139115164"/>
    <n v="3901880.2747160187"/>
    <n v="1.6283860796285623E-3"/>
    <n v="0.40011867200551426"/>
    <n v="5079938.2747160187"/>
    <n v="2.120029367769863E-3"/>
    <n v="0.50809124339666589"/>
    <n v="249.16439002578821"/>
    <m/>
    <n v="3697.6507697999473"/>
    <n v="0.42384169214485079"/>
    <n v="2.1617720658009525E-3"/>
    <n v="31.987609121902345"/>
    <n v="1.019689679145813"/>
    <n v="24251.018172666012"/>
    <m/>
    <s v="28/01/2026"/>
    <e v="#VALUE!"/>
    <e v="#VALUE!"/>
    <s v="19/02/2026"/>
  </r>
  <r>
    <x v="10"/>
    <x v="4"/>
    <m/>
    <s v="KRW"/>
    <s v="Long"/>
    <m/>
    <n v="2400"/>
    <n v="800000"/>
    <n v="8.6956521739130377E-2"/>
    <n v="736000"/>
    <n v="1438.15"/>
    <n v="1"/>
    <n v="1335048.4998087822"/>
    <n v="5.5716071218403528E-4"/>
    <n v="0.44572856974722819"/>
    <n v="0"/>
    <n v="0"/>
    <n v="0"/>
    <n v="1335048.4998087822"/>
    <n v="5.5716071218403528E-4"/>
    <n v="0.44572856974722819"/>
    <n v="215.37771306524374"/>
    <m/>
    <n v="0.58408371866634212"/>
    <n v="0.19607516209073744"/>
    <n v="8.7920796123709037E-4"/>
    <n v="56.306959999999997"/>
    <n v="1.5780149999999999"/>
    <n v="100112.19984617583"/>
    <m/>
    <s v="29/01/2026"/>
    <e v="#VALUE!"/>
    <e v="#VALUE!"/>
    <s v="27/11/2025"/>
  </r>
  <r>
    <x v="11"/>
    <x v="4"/>
    <m/>
    <s v="USD"/>
    <s v="Long"/>
    <m/>
    <n v="42000"/>
    <n v="122.69"/>
    <n v="4.5772246846232489E-2"/>
    <n v="117.32"/>
    <n v="1"/>
    <n v="1"/>
    <n v="5152980"/>
    <n v="2.1505121402565571E-3"/>
    <n v="0.9412543967053324"/>
    <n v="0"/>
    <n v="0"/>
    <n v="0"/>
    <n v="5152980"/>
    <n v="2.1505121402565571E-3"/>
    <n v="0.9412543967053324"/>
    <n v="976.51157633058926"/>
    <m/>
    <n v="14699.999999999998"/>
    <n v="0.40393637919028502"/>
    <n v="2.0194024469864878E-3"/>
    <n v="30.053222886123876"/>
    <n v="0.93903326988220215"/>
    <n v="211409.03829093601"/>
    <m/>
    <s v="#N/A N/A"/>
    <n v="3.3668570000000002E-2"/>
    <n v="0.7240466853007772"/>
    <s v="16/12/2025"/>
  </r>
  <r>
    <x v="11"/>
    <x v="4"/>
    <m/>
    <s v="USD"/>
    <s v="Long"/>
    <m/>
    <n v="-2500"/>
    <n v="122.69"/>
    <n v="6.0680606806067239E-3"/>
    <n v="121.95"/>
    <n v="1"/>
    <n v="1"/>
    <n v="-306725"/>
    <n v="-1.2800667501527125E-4"/>
    <n v="-7.7206732016708848E-3"/>
    <m/>
    <m/>
    <m/>
    <n v="-306725"/>
    <n v="-1.2800667501527125E-4"/>
    <n v="-7.7206732016708848E-3"/>
    <n v="976.51157633058926"/>
    <m/>
    <n v="-874.99999999999989"/>
    <n v="-2.4043832094659819E-2"/>
    <n v="-1.2020252660633856E-4"/>
    <n v="30.053222886123876"/>
    <n v="0.93903326988220215"/>
    <n v="-1734.0902759520643"/>
    <m/>
    <s v="#N/A N/A"/>
    <n v="3.3668570000000002E-2"/>
    <n v="-4.3098016982189111E-2"/>
    <s v="16/12/2025"/>
  </r>
  <r>
    <x v="12"/>
    <x v="5"/>
    <m/>
    <s v="USD"/>
    <s v="Long"/>
    <m/>
    <n v="1900"/>
    <n v="370.28"/>
    <n v="0.11379154760114307"/>
    <n v="332.45"/>
    <n v="1"/>
    <n v="1"/>
    <n v="703532"/>
    <n v="2.9360760318475451E-4"/>
    <n v="0.29996693390081175"/>
    <n v="1022309.9660897255"/>
    <n v="4.2664438697243614E-4"/>
    <n v="0.39312833275535269"/>
    <n v="1725841.9660897255"/>
    <n v="7.202519901571906E-4"/>
    <n v="0.6930952666561645"/>
    <n v="323.5611032191855"/>
    <m/>
    <n v="1631.3186997175217"/>
    <n v="0.47471339300398913"/>
    <n v="1.4547410627957541E-3"/>
    <n v="105.45495731856531"/>
    <n v="2.0197668075561523"/>
    <n v="67373.625278166131"/>
    <m/>
    <s v="03/02/2026"/>
    <e v="#VALUE!"/>
    <e v="#VALUE!"/>
    <s v="#N/A N/A"/>
  </r>
  <r>
    <x v="12"/>
    <x v="5"/>
    <m/>
    <s v="USD"/>
    <s v="Long"/>
    <m/>
    <n v="-720"/>
    <n v="370.28"/>
    <n v="7.5646258503401231E-3"/>
    <n v="367.5"/>
    <n v="1"/>
    <n v="1"/>
    <n v="-266601.59999999998"/>
    <n v="-1.1126182857527537E-4"/>
    <n v="-8.3533510705212956E-3"/>
    <m/>
    <m/>
    <m/>
    <n v="-266601.59999999998"/>
    <n v="-1.1126182857527537E-4"/>
    <n v="-8.3533510705212956E-3"/>
    <n v="323.5611032191855"/>
    <m/>
    <n v="-251.99999999999997"/>
    <n v="-7.3331946147444968E-2"/>
    <n v="-2.2472294830434383E-4"/>
    <n v="105.45495731856531"/>
    <n v="2.0197668075561523"/>
    <n v="-1876.1919439706169"/>
    <m/>
    <s v="03/02/2026"/>
    <e v="#VALUE!"/>
    <e v="#VALUE!"/>
    <s v="#N/A N/A"/>
  </r>
  <r>
    <x v="13"/>
    <x v="5"/>
    <m/>
    <s v="USD"/>
    <s v="Long"/>
    <m/>
    <n v="18073"/>
    <n v="78.704999999999998"/>
    <n v="2.2010128554733166E-2"/>
    <n v="77.010000000000005"/>
    <n v="1"/>
    <n v="1"/>
    <n v="1422435.4650000001"/>
    <n v="5.9363023652604543E-4"/>
    <n v="0.12784489561166926"/>
    <n v="0"/>
    <n v="0"/>
    <n v="0"/>
    <n v="1422435.4650000001"/>
    <n v="5.9363023652604543E-4"/>
    <n v="0.12784489561166926"/>
    <n v="1522.2438892065309"/>
    <m/>
    <n v="6325.55"/>
    <n v="0.10284529875612573"/>
    <n v="5.5310938206721649E-4"/>
    <n v="27.7196928129488"/>
    <n v="0.93174058198928833"/>
    <n v="28714.411880860847"/>
    <m/>
    <s v="12/02/2026"/>
    <n v="2.5970260000000001E-3"/>
    <n v="1.5416731586442895E-2"/>
    <s v="02/01/2026"/>
  </r>
  <r>
    <x v="13"/>
    <x v="5"/>
    <m/>
    <s v="USD"/>
    <s v="Long"/>
    <m/>
    <n v="12337"/>
    <n v="78.704999999999998"/>
    <n v="1.319515962924811E-2"/>
    <n v="77.680000000000007"/>
    <n v="1"/>
    <n v="1"/>
    <n v="970983.58499999996"/>
    <n v="4.0522415913361485E-4"/>
    <n v="5.2773618335804816E-2"/>
    <m/>
    <m/>
    <m/>
    <n v="970983.58499999996"/>
    <n v="4.0522415913361485E-4"/>
    <n v="5.2773618335804816E-2"/>
    <n v="1522.2438892065309"/>
    <m/>
    <n v="4317.95"/>
    <n v="7.0204307572308028E-2"/>
    <n v="3.775637938672743E-4"/>
    <n v="27.7196928129488"/>
    <n v="0.93174058198928833"/>
    <n v="11853.139744746542"/>
    <m/>
    <s v="12/02/2026"/>
    <n v="2.5970260000000001E-3"/>
    <n v="1.0523776770981352E-2"/>
    <s v="02/01/2026"/>
  </r>
  <r>
    <x v="14"/>
    <x v="5"/>
    <m/>
    <s v="USD"/>
    <s v="Long"/>
    <m/>
    <n v="11600"/>
    <n v="103.19499999999999"/>
    <n v="1.8932038834951204E-3"/>
    <n v="103"/>
    <n v="1"/>
    <n v="1"/>
    <n v="1197062"/>
    <n v="4.9957429752100623E-4"/>
    <n v="9.4400879903670538E-3"/>
    <n v="0"/>
    <n v="0"/>
    <n v="0"/>
    <n v="1197062"/>
    <n v="4.9957429752100623E-4"/>
    <n v="9.4400879903670538E-3"/>
    <n v="1160.9884713406659"/>
    <m/>
    <n v="4059.9999999999991"/>
    <n v="0.15212447861429299"/>
    <n v="3.7293877165100938E-4"/>
    <n v="48.721314725490707"/>
    <n v="0.74651312828063965"/>
    <n v="2120.276867137005"/>
    <m/>
    <s v="19/02/2026"/>
    <n v="3.2231830000000003E-2"/>
    <n v="0.16102193830066494"/>
    <s v="#N/A Field Not Applicable"/>
  </r>
  <r>
    <x v="15"/>
    <x v="5"/>
    <m/>
    <s v="USD"/>
    <s v="Long"/>
    <m/>
    <n v="238"/>
    <n v="212.88"/>
    <n v="0.10661745594427408"/>
    <n v="192.37"/>
    <n v="1"/>
    <n v="1"/>
    <n v="50665.440000000002"/>
    <m/>
    <n v="2.0371643109822955E-2"/>
    <n v="0"/>
    <m/>
    <n v="0"/>
    <n v="50665.440000000002"/>
    <m/>
    <n v="2.0371643109822955E-2"/>
    <n v="562.79690576850805"/>
    <m/>
    <n v="0"/>
    <n v="0"/>
    <n v="0"/>
    <n v="76.364059965220079"/>
    <n v="1.6181738376617432"/>
    <n v="4575.5424817442927"/>
    <m/>
    <s v="10/02/2026"/>
    <e v="#VALUE!"/>
    <e v="#VALUE!"/>
    <s v="#N/A N/A"/>
  </r>
  <r>
    <x v="16"/>
    <x v="6"/>
    <m/>
    <s v="USD"/>
    <s v="Long"/>
    <m/>
    <m/>
    <n v="332.73599999999999"/>
    <n v="2.4275819609050231E-2"/>
    <n v="324.85000000000002"/>
    <n v="1"/>
    <n v="1"/>
    <n v="0"/>
    <n v="0"/>
    <n v="0"/>
    <n v="2056396.24168396"/>
    <n v="8.5820342460465849E-4"/>
    <n v="0.19656416637767615"/>
    <n v="2056396.24168396"/>
    <n v="8.5820342460465849E-4"/>
    <n v="0.19656416637767615"/>
    <n v="360.06986109107521"/>
    <m/>
    <n v="2163.092315196991"/>
    <n v="0.2433637302695133"/>
    <n v="1.7433587037949108E-3"/>
    <n v="45.371756540192635"/>
    <n v="2.031404972076416"/>
    <n v="0"/>
    <m/>
    <s v="06/03/2026"/>
    <n v="1.57611E-2"/>
    <n v="0.13526229995536485"/>
    <s v="22/12/2025"/>
  </r>
  <r>
    <x v="17"/>
    <x v="6"/>
    <m/>
    <s v="USD"/>
    <s v="Long"/>
    <m/>
    <n v="4100"/>
    <n v="338.28"/>
    <n v="1.6741306242673781E-2"/>
    <n v="332.71"/>
    <n v="1"/>
    <n v="1"/>
    <n v="1386948"/>
    <n v="5.7882012193032995E-4"/>
    <n v="9.5306494003545392E-2"/>
    <n v="11485048.010551926"/>
    <n v="4.7930974267552636E-3"/>
    <n v="1.2099546908078107"/>
    <n v="12871996.010551926"/>
    <n v="5.371917548685593E-3"/>
    <n v="1.305261184811356"/>
    <n v="354.16875162587212"/>
    <m/>
    <n v="13317.957324385638"/>
    <n v="1.3483132958494672"/>
    <n v="7.9536764886894411E-3"/>
    <n v="40.158867923931531"/>
    <n v="1.4806028604507446"/>
    <n v="21406.172774009465"/>
    <m/>
    <s v="17/04/2026"/>
    <e v="#VALUE!"/>
    <e v="#VALUE!"/>
    <s v="17/03/2026"/>
  </r>
  <r>
    <x v="17"/>
    <x v="6"/>
    <m/>
    <s v="USD"/>
    <s v="Long"/>
    <m/>
    <n v="-1765"/>
    <n v="338.28"/>
    <n v="-4.2387848816674012E-3"/>
    <n v="339.72"/>
    <n v="1"/>
    <n v="1"/>
    <n v="-597064.19999999995"/>
    <n v="-2.4917500370903224E-4"/>
    <n v="1.0606952978036538E-2"/>
    <m/>
    <m/>
    <m/>
    <n v="-597064.19999999995"/>
    <n v="-2.4917500370903224E-4"/>
    <n v="1.0606952978036538E-2"/>
    <n v="354.16875162587212"/>
    <m/>
    <n v="-617.75"/>
    <n v="-6.2541162899351091E-2"/>
    <n v="-3.6892922324441806E-4"/>
    <n v="40.158867923931531"/>
    <n v="1.4806028604507446"/>
    <n v="2382.35883532971"/>
    <m/>
    <s v="17/04/2026"/>
    <e v="#VALUE!"/>
    <e v="#VALUE!"/>
    <s v="17/03/2026"/>
  </r>
  <r>
    <x v="18"/>
    <x v="6"/>
    <m/>
    <s v="USD"/>
    <s v="Long"/>
    <m/>
    <m/>
    <n v="43.914999999999999"/>
    <n v="3.3537302894798726E-2"/>
    <n v="42.49"/>
    <n v="1"/>
    <n v="1"/>
    <n v="0"/>
    <n v="0"/>
    <n v="0"/>
    <n v="320318.5071207583"/>
    <n v="1.336797034554854E-4"/>
    <n v="5.1645043713879873E-2"/>
    <n v="320318.5071207583"/>
    <n v="1.336797034554854E-4"/>
    <n v="5.1645043713879873E-2"/>
    <n v="2728.1841124900375"/>
    <m/>
    <n v="2552.9199019074435"/>
    <n v="0.11050657048785556"/>
    <n v="1.967641576396536E-4"/>
    <n v="132.26429159415798"/>
    <n v="1.4719074964523315"/>
    <n v="0"/>
    <m/>
    <s v="24/04/2026"/>
    <e v="#VALUE!"/>
    <e v="#VALUE!"/>
    <s v="03/09/2024"/>
  </r>
  <r>
    <x v="19"/>
    <x v="6"/>
    <m/>
    <s v="USD"/>
    <s v="Long"/>
    <m/>
    <n v="4500"/>
    <n v="251.53"/>
    <n v="8.7541283673542303E-4"/>
    <n v="251.31"/>
    <n v="1"/>
    <n v="1"/>
    <n v="1131885"/>
    <m/>
    <n v="4.1316034971103721E-3"/>
    <n v="0"/>
    <m/>
    <n v="0"/>
    <n v="1131885"/>
    <m/>
    <n v="4.1316034971103721E-3"/>
    <n v="476.31775653003621"/>
    <m/>
    <n v="0"/>
    <n v="0"/>
    <n v="0"/>
    <n v="45.373150502934877"/>
    <n v="1.5579228401184082"/>
    <n v="927.97263415813336"/>
    <m/>
    <s v="03/02/2026"/>
    <e v="#VALUE!"/>
    <e v="#VALUE!"/>
    <s v="27/04/1995"/>
  </r>
  <r>
    <x v="20"/>
    <x v="6"/>
    <m/>
    <s v="USD"/>
    <s v="Long"/>
    <m/>
    <n v="23008"/>
    <n v="188.55500000000001"/>
    <n v="1.1181423285246961E-2"/>
    <n v="186.47"/>
    <n v="1"/>
    <n v="1"/>
    <n v="4338273.4400000004"/>
    <n v="1.8105076480934483E-3"/>
    <n v="0.20020198065682976"/>
    <n v="0"/>
    <n v="0"/>
    <n v="0"/>
    <n v="4338273.4400000004"/>
    <n v="1.8105076480934483E-3"/>
    <n v="0.20020198065682976"/>
    <n v="635.40190024130891"/>
    <m/>
    <n v="8052.7999999999993"/>
    <n v="0.40852539854326519"/>
    <n v="3.3492829317034959E-3"/>
    <n v="36.102616763731397"/>
    <n v="1.8499137163162231"/>
    <n v="44966.066923829727"/>
    <m/>
    <s v="25/02/2026"/>
    <n v="4.4511279999999995E-3"/>
    <n v="8.0588012866428943E-2"/>
    <s v="04/12/2025"/>
  </r>
  <r>
    <x v="21"/>
    <x v="6"/>
    <m/>
    <s v="USD"/>
    <s v="Short"/>
    <m/>
    <n v="-49"/>
    <n v="82.894999999999996"/>
    <n v="1.375810199339611E-2"/>
    <n v="81.77"/>
    <n v="1"/>
    <n v="1"/>
    <n v="-4061.855"/>
    <n v="-1.6951489214904382E-6"/>
    <n v="-2.3005519472546509E-4"/>
    <n v="-573673.49083013833"/>
    <n v="-2.3941327281952796E-4"/>
    <n v="-2.7544023314069147E-2"/>
    <n v="-577735.34583013831"/>
    <n v="-2.4110842174101841E-4"/>
    <n v="-2.7774078508794611E-2"/>
    <n v="1445.3007455214429"/>
    <m/>
    <n v="-2439.3192718565465"/>
    <n v="-5.1738354891545935E-2"/>
    <n v="-4.7816692947282377E-4"/>
    <n v="34.333669155443843"/>
    <n v="1.9832029342651367"/>
    <n v="-51.671203492896325"/>
    <m/>
    <s v="05/03/2026"/>
    <n v="1.2963249999999999E-2"/>
    <n v="-3.1255487481342568E-2"/>
    <s v="09/01/2026"/>
  </r>
  <r>
    <x v="22"/>
    <x v="7"/>
    <m/>
    <s v="USD"/>
    <s v="Long"/>
    <m/>
    <n v="31600"/>
    <n v="17.475000000000001"/>
    <n v="7.6709796672828068E-2"/>
    <n v="16.23"/>
    <n v="1"/>
    <n v="1"/>
    <n v="552210"/>
    <n v="2.3045583506457883E-4"/>
    <n v="0.1641874189730477"/>
    <n v="0"/>
    <n v="0"/>
    <n v="0"/>
    <n v="552210"/>
    <n v="2.3045583506457883E-4"/>
    <n v="0.1641874189730477"/>
    <n v="6855.9774134477821"/>
    <m/>
    <n v="11059.999999999998"/>
    <n v="0.16440965620791048"/>
    <n v="4.7744845255584545E-4"/>
    <n v="114.14571033054676"/>
    <n v="2.0717568397521973"/>
    <n v="36877.07007378737"/>
    <m/>
    <s v="24/02/2026"/>
    <n v="4.3129819999999999E-3"/>
    <n v="9.9395186842849721E-3"/>
    <s v="12/10/2017"/>
  </r>
  <r>
    <x v="23"/>
    <x v="8"/>
    <m/>
    <s v="USD"/>
    <s v="Long"/>
    <m/>
    <n v="45750"/>
    <n v="53.015000000000001"/>
    <n v="-7.3956187979777877E-3"/>
    <n v="53.41"/>
    <n v="1"/>
    <n v="1"/>
    <n v="2425436.25"/>
    <n v="1.0122162517695271E-3"/>
    <n v="-7.5417413835510566E-2"/>
    <n v="0"/>
    <n v="0"/>
    <n v="0"/>
    <n v="2425436.25"/>
    <n v="1.0122162517695271E-3"/>
    <n v="-7.5417413835510566E-2"/>
    <n v="2259.8925832311611"/>
    <m/>
    <n v="16012.5"/>
    <n v="0.10514739456238072"/>
    <n v="1.0120557062150109E-3"/>
    <n v="16.620542399482733"/>
    <n v="0.99984139204025269"/>
    <n v="-16939.01562124251"/>
    <m/>
    <s v="#N/A N/A"/>
    <n v="-1.31061E-3"/>
    <n v="-1.3266207417316602E-2"/>
    <s v="22/12/2025"/>
  </r>
  <r>
    <x v="24"/>
    <x v="8"/>
    <m/>
    <s v="USD"/>
    <s v="Short"/>
    <m/>
    <n v="-11500"/>
    <n v="23.715"/>
    <n v="5.7251908396946938E-3"/>
    <n v="23.58"/>
    <n v="1"/>
    <n v="1"/>
    <n v="-272722.5"/>
    <n v="-1.1381628633744336E-4"/>
    <n v="-6.479105484105011E-3"/>
    <n v="0"/>
    <n v="0"/>
    <n v="0"/>
    <n v="-272722.5"/>
    <n v="-1.1381628633744336E-4"/>
    <n v="-6.479105484105011E-3"/>
    <n v="5052.0010668353361"/>
    <m/>
    <n v="-4024.9999999999995"/>
    <n v="-3.2799225806287073E-2"/>
    <n v="-4.1547341617200803E-5"/>
    <n v="46.108305743230723"/>
    <n v="0.36503863334655762"/>
    <n v="-1455.2298126570972"/>
    <m/>
    <s v="11/02/2026"/>
    <e v="#VALUE!"/>
    <e v="#VALUE!"/>
    <s v="28/11/2025"/>
  </r>
  <r>
    <x v="25"/>
    <x v="8"/>
    <m/>
    <s v="USD"/>
    <s v="Short"/>
    <m/>
    <n v="-27500"/>
    <n v="83.185000000000002"/>
    <n v="4.8924861077555004E-3"/>
    <n v="82.78"/>
    <n v="1"/>
    <n v="1"/>
    <n v="-2287587.5"/>
    <n v="-9.5468732474202251E-4"/>
    <n v="-4.6480539342492057E-2"/>
    <n v="0"/>
    <n v="0"/>
    <n v="0"/>
    <n v="-2287587.5"/>
    <n v="-9.5468732474202251E-4"/>
    <n v="-4.6480539342492057E-2"/>
    <n v="1440.2621301917413"/>
    <m/>
    <n v="-9625"/>
    <n v="-5.1798850060176288E-2"/>
    <n v="-9.5723149358917898E-4"/>
    <n v="8.6811836659377004"/>
    <n v="1.0026649236679077"/>
    <n v="-10439.692134279083"/>
    <m/>
    <s v="#N/A N/A"/>
    <n v="-7.2478329999999989E-4"/>
    <n v="6.9194142969469449E-3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48" firstHeaderRow="0" firstDataRow="1" firstDataCol="1"/>
  <pivotFields count="34">
    <pivotField axis="axisRow" showAll="0">
      <items count="187">
        <item m="1" x="183"/>
        <item m="1" x="179"/>
        <item m="1" x="159"/>
        <item x="6"/>
        <item m="1" x="140"/>
        <item x="2"/>
        <item m="1" x="103"/>
        <item m="1" x="66"/>
        <item m="1" x="105"/>
        <item m="1" x="85"/>
        <item m="1" x="116"/>
        <item x="4"/>
        <item m="1" x="184"/>
        <item m="1" x="177"/>
        <item m="1" x="182"/>
        <item m="1" x="89"/>
        <item m="1" x="155"/>
        <item m="1" x="53"/>
        <item m="1" x="40"/>
        <item x="8"/>
        <item m="1" x="54"/>
        <item x="9"/>
        <item m="1" x="97"/>
        <item m="1" x="124"/>
        <item x="20"/>
        <item m="1" x="185"/>
        <item x="3"/>
        <item m="1" x="41"/>
        <item m="1" x="78"/>
        <item x="17"/>
        <item m="1" x="51"/>
        <item m="1" x="50"/>
        <item m="1" x="39"/>
        <item x="23"/>
        <item x="25"/>
        <item m="1" x="181"/>
        <item m="1" x="180"/>
        <item m="1" x="49"/>
        <item m="1" x="67"/>
        <item m="1" x="171"/>
        <item m="1" x="43"/>
        <item m="1" x="27"/>
        <item m="1" x="59"/>
        <item m="1" x="60"/>
        <item m="1" x="61"/>
        <item m="1" x="70"/>
        <item m="1" x="65"/>
        <item m="1" x="79"/>
        <item m="1" x="178"/>
        <item m="1" x="93"/>
        <item m="1" x="137"/>
        <item m="1" x="121"/>
        <item m="1" x="62"/>
        <item m="1" x="169"/>
        <item m="1" x="119"/>
        <item m="1" x="175"/>
        <item m="1" x="114"/>
        <item m="1" x="176"/>
        <item m="1" x="165"/>
        <item m="1" x="174"/>
        <item m="1" x="170"/>
        <item x="7"/>
        <item m="1" x="172"/>
        <item m="1" x="173"/>
        <item m="1" x="157"/>
        <item m="1" x="168"/>
        <item m="1" x="100"/>
        <item m="1" x="145"/>
        <item x="16"/>
        <item m="1" x="143"/>
        <item m="1" x="152"/>
        <item m="1" x="75"/>
        <item m="1" x="91"/>
        <item m="1" x="158"/>
        <item m="1" x="57"/>
        <item m="1" x="151"/>
        <item m="1" x="167"/>
        <item m="1" x="166"/>
        <item m="1" x="111"/>
        <item m="1" x="112"/>
        <item x="11"/>
        <item x="19"/>
        <item m="1" x="164"/>
        <item m="1" x="30"/>
        <item m="1" x="162"/>
        <item m="1" x="161"/>
        <item m="1" x="127"/>
        <item m="1" x="99"/>
        <item m="1" x="160"/>
        <item m="1" x="163"/>
        <item x="21"/>
        <item m="1" x="153"/>
        <item m="1" x="110"/>
        <item m="1" x="55"/>
        <item m="1" x="94"/>
        <item m="1" x="156"/>
        <item m="1" x="68"/>
        <item m="1" x="120"/>
        <item m="1" x="154"/>
        <item m="1" x="63"/>
        <item m="1" x="138"/>
        <item m="1" x="139"/>
        <item m="1" x="125"/>
        <item m="1" x="69"/>
        <item m="1" x="150"/>
        <item m="1" x="106"/>
        <item m="1" x="149"/>
        <item m="1" x="147"/>
        <item m="1" x="148"/>
        <item m="1" x="146"/>
        <item m="1" x="142"/>
        <item m="1" x="82"/>
        <item m="1" x="32"/>
        <item m="1" x="144"/>
        <item m="1" x="141"/>
        <item m="1" x="123"/>
        <item m="1" x="35"/>
        <item m="1" x="130"/>
        <item m="1" x="131"/>
        <item m="1" x="72"/>
        <item m="1" x="134"/>
        <item m="1" x="126"/>
        <item m="1" x="115"/>
        <item m="1" x="128"/>
        <item m="1" x="136"/>
        <item m="1" x="133"/>
        <item m="1" x="135"/>
        <item m="1" x="101"/>
        <item m="1" x="77"/>
        <item m="1" x="132"/>
        <item m="1" x="90"/>
        <item m="1" x="129"/>
        <item m="1" x="107"/>
        <item m="1" x="108"/>
        <item m="1" x="95"/>
        <item m="1" x="73"/>
        <item m="1" x="117"/>
        <item m="1" x="58"/>
        <item m="1" x="102"/>
        <item m="1" x="92"/>
        <item m="1" x="96"/>
        <item m="1" x="98"/>
        <item m="1" x="74"/>
        <item m="1" x="118"/>
        <item m="1" x="122"/>
        <item m="1" x="113"/>
        <item m="1" x="104"/>
        <item m="1" x="34"/>
        <item m="1" x="109"/>
        <item m="1" x="83"/>
        <item m="1" x="88"/>
        <item m="1" x="71"/>
        <item m="1" x="29"/>
        <item m="1" x="81"/>
        <item m="1" x="87"/>
        <item m="1" x="86"/>
        <item m="1" x="84"/>
        <item m="1" x="80"/>
        <item m="1" x="76"/>
        <item m="1" x="64"/>
        <item m="1" x="56"/>
        <item m="1" x="52"/>
        <item m="1" x="44"/>
        <item x="12"/>
        <item m="1" x="42"/>
        <item m="1" x="45"/>
        <item m="1" x="36"/>
        <item m="1" x="48"/>
        <item m="1" x="46"/>
        <item x="22"/>
        <item m="1" x="47"/>
        <item m="1" x="33"/>
        <item x="1"/>
        <item x="0"/>
        <item x="5"/>
        <item m="1" x="38"/>
        <item m="1" x="28"/>
        <item m="1" x="31"/>
        <item m="1" x="37"/>
        <item x="10"/>
        <item x="24"/>
        <item m="1" x="26"/>
        <item x="18"/>
        <item x="13"/>
        <item x="14"/>
        <item x="15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x="2"/>
        <item m="1" x="13"/>
        <item m="1" x="22"/>
        <item m="1" x="26"/>
        <item m="1" x="11"/>
        <item m="1" x="12"/>
        <item m="1" x="25"/>
        <item m="1" x="23"/>
        <item x="6"/>
        <item x="4"/>
        <item m="1" x="17"/>
        <item m="1" x="20"/>
        <item m="1" x="21"/>
        <item m="1" x="16"/>
        <item m="1" x="15"/>
        <item m="1" x="19"/>
        <item x="5"/>
        <item m="1" x="14"/>
        <item x="7"/>
        <item m="1" x="9"/>
        <item x="3"/>
        <item x="8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36">
    <i>
      <x/>
    </i>
    <i r="1">
      <x v="5"/>
    </i>
    <i r="1">
      <x v="172"/>
    </i>
    <i r="1">
      <x v="173"/>
    </i>
    <i>
      <x v="2"/>
    </i>
    <i r="1">
      <x v="26"/>
    </i>
    <i>
      <x v="5"/>
    </i>
    <i r="1">
      <x v="11"/>
    </i>
    <i>
      <x v="13"/>
    </i>
    <i r="1">
      <x v="24"/>
    </i>
    <i r="1">
      <x v="29"/>
    </i>
    <i r="1">
      <x v="68"/>
    </i>
    <i r="1">
      <x v="81"/>
    </i>
    <i r="1">
      <x v="90"/>
    </i>
    <i r="1">
      <x v="182"/>
    </i>
    <i>
      <x v="14"/>
    </i>
    <i r="1">
      <x v="80"/>
    </i>
    <i r="1">
      <x v="179"/>
    </i>
    <i>
      <x v="21"/>
    </i>
    <i r="1">
      <x v="163"/>
    </i>
    <i r="1">
      <x v="183"/>
    </i>
    <i r="1">
      <x v="184"/>
    </i>
    <i r="1">
      <x v="185"/>
    </i>
    <i>
      <x v="23"/>
    </i>
    <i r="1">
      <x v="169"/>
    </i>
    <i>
      <x v="25"/>
    </i>
    <i r="1">
      <x v="3"/>
    </i>
    <i r="1">
      <x v="19"/>
    </i>
    <i r="1">
      <x v="21"/>
    </i>
    <i r="1">
      <x v="61"/>
    </i>
    <i r="1">
      <x v="174"/>
    </i>
    <i>
      <x v="26"/>
    </i>
    <i r="1">
      <x v="33"/>
    </i>
    <i r="1">
      <x v="34"/>
    </i>
    <i r="1">
      <x v="18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768">
      <pivotArea outline="0" collapsedLevelsAreSubtotals="1" fieldPosition="0"/>
    </format>
    <format dxfId="176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5">
      <pivotArea outline="0" collapsedLevelsAreSubtotals="1" fieldPosition="0"/>
    </format>
    <format dxfId="1764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3">
      <pivotArea outline="0" collapsedLevelsAreSubtotals="1" fieldPosition="0"/>
    </format>
    <format dxfId="176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1">
      <pivotArea outline="0" collapsedLevelsAreSubtotals="1" fieldPosition="0"/>
    </format>
    <format dxfId="1760">
      <pivotArea type="all" dataOnly="0" outline="0" fieldPosition="0"/>
    </format>
    <format dxfId="1759">
      <pivotArea dataOnly="0" labelOnly="1" grandRow="1" outline="0" fieldPosition="0"/>
    </format>
    <format dxfId="175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7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75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3">
      <pivotArea dataOnly="0" labelOnly="1" grandRow="1" outline="0" fieldPosition="0"/>
    </format>
    <format dxfId="1752">
      <pivotArea type="all" dataOnly="0" outline="0" fieldPosition="0"/>
    </format>
    <format dxfId="175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0">
      <pivotArea type="all" dataOnly="0" outline="0" fieldPosition="0"/>
    </format>
    <format dxfId="1749">
      <pivotArea outline="0" collapsedLevelsAreSubtotals="1" fieldPosition="0"/>
    </format>
    <format dxfId="1748">
      <pivotArea dataOnly="0" labelOnly="1" grandRow="1" outline="0" fieldPosition="0"/>
    </format>
    <format dxfId="174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45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4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4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41">
      <pivotArea type="all" dataOnly="0" outline="0" fieldPosition="0"/>
    </format>
    <format dxfId="1740">
      <pivotArea outline="0" collapsedLevelsAreSubtotals="1" fieldPosition="0"/>
    </format>
    <format dxfId="1739">
      <pivotArea dataOnly="0" labelOnly="1" grandRow="1" outline="0" fieldPosition="0"/>
    </format>
    <format dxfId="173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7">
      <pivotArea type="all" dataOnly="0" outline="0" fieldPosition="0"/>
    </format>
    <format dxfId="1736">
      <pivotArea outline="0" collapsedLevelsAreSubtotals="1" fieldPosition="0"/>
    </format>
    <format dxfId="1735">
      <pivotArea dataOnly="0" labelOnly="1" grandRow="1" outline="0" fieldPosition="0"/>
    </format>
    <format dxfId="173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32">
      <pivotArea field="1" type="button" dataOnly="0" labelOnly="1" outline="0" axis="axisRow" fieldPosition="0"/>
    </format>
    <format dxfId="173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0">
      <pivotArea field="1" type="button" dataOnly="0" labelOnly="1" outline="0" axis="axisRow" fieldPosition="0"/>
    </format>
    <format dxfId="172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28">
      <pivotArea field="1" type="button" dataOnly="0" labelOnly="1" outline="0" axis="axisRow" fieldPosition="0"/>
    </format>
    <format dxfId="172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579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49" totalsRowShown="0" headerRowDxfId="1726" dataDxfId="1724" headerRowBorderDxfId="1725" tableBorderDxfId="1723">
  <autoFilter ref="B11:AI49" xr:uid="{488A667B-27C2-4003-A53C-C52DE885F6F5}"/>
  <sortState xmlns:xlrd2="http://schemas.microsoft.com/office/spreadsheetml/2017/richdata2" ref="B12:AI49">
    <sortCondition ref="C11:C49"/>
  </sortState>
  <tableColumns count="34">
    <tableColumn id="1" xr3:uid="{C4869650-AB2A-4E52-A8FD-8FC4A1E9B450}" name="Ticker" dataDxfId="1722" totalsRowDxfId="1721"/>
    <tableColumn id="2" xr3:uid="{3392DCC0-4423-44FF-B70A-0E06289D8EEE}" name="Sector" dataDxfId="1720"/>
    <tableColumn id="29" xr3:uid="{7A835F51-8D98-481A-BCE1-CD91D7445A8F}" name="Diretoria" dataDxfId="1719"/>
    <tableColumn id="3" xr3:uid="{B1589ED3-B8E2-4F6B-B66F-D68F68C1ABA6}" name="Crncy" dataDxfId="1718"/>
    <tableColumn id="4" xr3:uid="{616D46BC-AC49-4393-8BDA-875BFB778D29}" name="Long / Short" dataDxfId="1717" totalsRowDxfId="1716">
      <calculatedColumnFormula>IF(T12&gt;0,"Long","Short")</calculatedColumnFormula>
    </tableColumn>
    <tableColumn id="33" xr3:uid="{F6985B5B-9203-43DA-8157-CAE6E92D0561}" name="Qtdd " dataDxfId="1715"/>
    <tableColumn id="5" xr3:uid="{9A4DCF38-5D0D-4646-8CF9-69904711743E}" name="Qtt Shs" dataDxfId="1714"/>
    <tableColumn id="6" xr3:uid="{BC11B5F3-DE4D-477B-AAED-C5AB103E9DA0}" name="Price Today" dataDxfId="1713" totalsRowDxfId="1712">
      <calculatedColumnFormula array="1">_xll.BDP(B12&amp;" Equity","LAST_PRICE")</calculatedColumnFormula>
    </tableColumn>
    <tableColumn id="7" xr3:uid="{704FFD7D-1208-4AA6-81A9-0E257F085F19}" name="% Chg" dataDxfId="1711" totalsRowDxfId="1710">
      <calculatedColumnFormula>I12/K12-1</calculatedColumnFormula>
    </tableColumn>
    <tableColumn id="8" xr3:uid="{E069BEAC-4A43-4F60-BD21-C3F1FDA777D4}" name="Price Yest" dataDxfId="1709" dataCellStyle="Comma">
      <calculatedColumnFormula array="1">_xll.BDP(B12&amp;" EQUITY","PX_YEST_CLOSE")</calculatedColumnFormula>
    </tableColumn>
    <tableColumn id="9" xr3:uid="{A2F51CF4-C965-4A1F-975F-FCDA401F7124}" name="FX" dataDxfId="1708">
      <calculatedColumnFormula array="1">_xll.BDP(E12&amp;" Curncy","PX_LAST")</calculatedColumnFormula>
    </tableColumn>
    <tableColumn id="10" xr3:uid="{0525E66F-8EF5-4CCF-835F-559F3DAE7E58}" name="Mult" dataDxfId="1707" totalsRowDxfId="1706" dataCellStyle="Comma"/>
    <tableColumn id="11" xr3:uid="{8FC681CE-75F1-4027-AD99-551C42A97619}" name="D1 Exp USD" dataDxfId="1705">
      <calculatedColumnFormula>IFERROR(IF(((I12/L12)*H12*M12)&lt;&gt;0,((I12/L12)*H12*M12),0),"-")</calculatedColumnFormula>
    </tableColumn>
    <tableColumn id="12" xr3:uid="{BE55CED1-1EEB-46EA-A2E5-D244B7925B83}" name="D1 Exp %" dataDxfId="1704">
      <calculatedColumnFormula>IFERROR(IF(Tabelad[[#This Row],[D1 Exp USD]]&lt;&gt;0,N12/$AE$7,0),"-")</calculatedColumnFormula>
    </tableColumn>
    <tableColumn id="13" xr3:uid="{622A85AF-E726-48C1-A6C0-2A26A6E13A5C}" name="D1 P&amp;L bps" dataDxfId="1703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702" totalsRowDxfId="1701">
      <calculatedColumnFormula>IF(SUM(SUMIFS(Options!$AL$4:$AL$26, Options!$D$4:$D$26, B12), SUMIFS(Options!$AL$4:$AL$26, Options!$D$4:$D$26, B12 &amp; " US"))=0,0,SUM(SUMIFS(Options!$AL$4:$AL$26, Options!$D$4:$D$26, B12), SUMIFS(Options!$AL$4:$AL$26, Options!$D$4:$D$26, B12 &amp; " US")))</calculatedColumnFormula>
    </tableColumn>
    <tableColumn id="15" xr3:uid="{F6743957-5F8D-4443-94E6-3E6136CB024F}" name="Option Exp %" dataDxfId="1700" totalsRowDxfId="1699" dataCellStyle="Percent">
      <calculatedColumnFormula>Q12/$AE$7</calculatedColumnFormula>
    </tableColumn>
    <tableColumn id="16" xr3:uid="{48C8F341-ED13-4859-B6ED-AB346A494BEF}" name="Options P&amp;L bps" dataDxfId="1698" totalsRowDxfId="1697">
      <calculatedColumnFormula>IF(SUM(SUMIFS(Options!$AK$4:$AK$26, Options!$D$4:$D$26, B12), SUMIFS(Options!$AK$4:$AK$26, Options!$D$4:$D$26, B12 &amp; " US"))=0,0,SUM(SUMIFS(Options!$AK$4:$AK$26, Options!$D$4:$D$26, B12), SUMIFS(Options!AK$4:$AK$26, Options!$D$4:$D$26, B12 &amp; " US")))</calculatedColumnFormula>
    </tableColumn>
    <tableColumn id="17" xr3:uid="{4E94A772-CD12-4BE4-A04C-0E1B9CF86096}" name="Exp" dataDxfId="1696" totalsRowDxfId="1695">
      <calculatedColumnFormula>N12+Q12</calculatedColumnFormula>
    </tableColumn>
    <tableColumn id="18" xr3:uid="{56683745-C1CE-4341-A873-C851B97E4432}" name="Exp %" dataDxfId="1694" totalsRowDxfId="1693">
      <calculatedColumnFormula>T12/$AE$7</calculatedColumnFormula>
    </tableColumn>
    <tableColumn id="19" xr3:uid="{AD790890-4299-4C9E-A460-9342E2B4BE92}" name="P&amp;L bps" dataDxfId="1692" totalsRowDxfId="1691">
      <calculatedColumnFormula>P12+S12</calculatedColumnFormula>
    </tableColumn>
    <tableColumn id="20" xr3:uid="{A3132FF2-B491-42D2-B6D5-98FB024D0411}" name="xx" dataDxfId="1690" totalsRowDxfId="1689">
      <calculatedColumnFormula>$W$10/(I12/L12*M12)</calculatedColumnFormula>
    </tableColumn>
    <tableColumn id="21" xr3:uid="{68119C5E-24ED-4841-8DFC-985A70CC957B}" name="Ticker2" dataDxfId="1688" totalsRowDxfId="1687"/>
    <tableColumn id="22" xr3:uid="{EAB0ADAA-AF64-4574-AD5E-BAD2211681D1}" name="xx2" dataDxfId="1686" totalsRowDxfId="1685">
      <calculatedColumnFormula>Tabelad[[#This Row],[Exp %]]*$Y$10*$AD$7/Tabelad[[#This Row],[Price Today]]</calculatedColumnFormula>
    </tableColumn>
    <tableColumn id="23" xr3:uid="{160D9866-3FEF-4C23-ADDC-0615A4FD8D8A}" name="Beta Adj" dataDxfId="1684">
      <calculatedColumnFormula>Tabelad[[#This Row],[Vol 10d]]/16*Tabelad[[#This Row],[Exp %]]*100</calculatedColumnFormula>
    </tableColumn>
    <tableColumn id="27" xr3:uid="{5FC9F15D-E683-4C75-83A6-A027ED24C573}" name="Expo Beta Adj" dataDxfId="1683" totalsRowDxfId="1682">
      <calculatedColumnFormula>Tabelad[[#This Row],[Exp %]]*Tabelad[[#This Row],[Beta Adj2]]</calculatedColumnFormula>
    </tableColumn>
    <tableColumn id="24" xr3:uid="{02F0D998-EE72-4509-80A1-181D260811AE}" name="Vol 10d" dataDxfId="1681">
      <calculatedColumnFormula>_xll.BDP($B12&amp;" Equity","volatility_10d")</calculatedColumnFormula>
    </tableColumn>
    <tableColumn id="25" xr3:uid="{06753197-209B-42CE-8324-F5BF4E6BBC8C}" name="Beta Adj2" dataDxfId="1680" totalsRowDxfId="1679">
      <calculatedColumnFormula>_xll.BDP(B12&amp;" EQUITY","eqy_beta")</calculatedColumnFormula>
    </tableColumn>
    <tableColumn id="26" xr3:uid="{E0099784-2515-472D-A708-E950C7C1F961}" name="Daily P&amp;L" dataDxfId="1678" totalsRowDxfId="1677">
      <calculatedColumnFormula>Tabelad[[#This Row],[D1 P&amp;L bps]]*$AD$5/10000</calculatedColumnFormula>
    </tableColumn>
    <tableColumn id="28" xr3:uid="{E8C15306-AE60-46ED-BE32-1873B2B613BE}" name="VALUE" dataDxfId="1676" totalsRowDxfId="1675"/>
    <tableColumn id="30" xr3:uid="{3553EED7-0690-4464-BFF1-737C1D716FE2}" name="Report Date2" dataDxfId="1674" totalsRowDxfId="1673">
      <calculatedColumnFormula>_xll.BDP(B12&amp;" Equity","EXPECTED_REPORT_DT")</calculatedColumnFormula>
    </tableColumn>
    <tableColumn id="31" xr3:uid="{5102101F-2C4E-4C70-B272-6AB453BA1BFE}" name="Column3" dataDxfId="1672" totalsRowDxfId="1671">
      <calculatedColumnFormula>_xll.BDP(B12&amp;" Index","CHG_PCT_1D_PRE_FROM_REGULAR")/100</calculatedColumnFormula>
    </tableColumn>
    <tableColumn id="32" xr3:uid="{78144925-541C-4BB9-B1CE-5128912D0AEA}" name="Column4" dataDxfId="1670">
      <calculatedColumnFormula>(T12*AG12)/$AD$7*10000</calculatedColumnFormula>
    </tableColumn>
    <tableColumn id="34" xr3:uid="{F48AA587-E15F-424C-9278-DC54512DF635}" name="Column5" dataDxfId="1669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668" dataDxfId="1667" totalsRowBorderDxfId="1666">
  <autoFilter ref="F3:G136" xr:uid="{50594F44-C7EB-4454-89DA-F08A9C91DB54}"/>
  <tableColumns count="2">
    <tableColumn id="1" xr3:uid="{C2C1762E-B58F-491C-8249-F5F204F351C6}" name="De (Lote)" totalsRowFunction="count" dataDxfId="1665"/>
    <tableColumn id="2" xr3:uid="{2A11C67E-26BC-4BE0-826C-B31A77595F54}" name="Para (Ticker Daniel)" totalsRowFunction="count" dataDxfId="166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2014</v>
      </c>
    </row>
    <row r="3" spans="2:12">
      <c r="B3" t="s">
        <v>2013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2002</v>
      </c>
      <c r="D5" t="s">
        <v>2001</v>
      </c>
    </row>
    <row r="6" spans="2:12">
      <c r="B6" t="s">
        <v>1995</v>
      </c>
      <c r="C6" s="397">
        <v>0.41</v>
      </c>
      <c r="D6" s="394">
        <f>C6^2</f>
        <v>0.16809999999999997</v>
      </c>
    </row>
    <row r="7" spans="2:12">
      <c r="B7" t="s">
        <v>1993</v>
      </c>
      <c r="C7" s="397">
        <v>0.25</v>
      </c>
      <c r="D7" s="394">
        <f>C7^2</f>
        <v>6.25E-2</v>
      </c>
    </row>
    <row r="8" spans="2:12">
      <c r="B8" t="s">
        <v>1991</v>
      </c>
      <c r="C8" s="392">
        <f>SQRT(D6+D7+2*C10)</f>
        <v>0.35791060336346558</v>
      </c>
    </row>
    <row r="9" spans="2:12">
      <c r="B9" t="s">
        <v>1989</v>
      </c>
      <c r="C9" s="396">
        <v>-0.5</v>
      </c>
    </row>
    <row r="10" spans="2:12">
      <c r="B10" t="s">
        <v>1987</v>
      </c>
      <c r="C10">
        <f>C9*C6*C7</f>
        <v>-5.1249999999999997E-2</v>
      </c>
    </row>
    <row r="12" spans="2:12">
      <c r="F12" s="403">
        <f>59/300</f>
        <v>0.19666666666666666</v>
      </c>
    </row>
    <row r="13" spans="2:12">
      <c r="C13" s="398"/>
    </row>
    <row r="14" spans="2:12">
      <c r="G14">
        <f>3500000/14.4</f>
        <v>243055.55555555556</v>
      </c>
      <c r="J14" s="402">
        <f>3%*9200000000</f>
        <v>276000000</v>
      </c>
    </row>
    <row r="15" spans="2:12">
      <c r="C15" t="s">
        <v>2002</v>
      </c>
      <c r="D15" t="s">
        <v>2001</v>
      </c>
      <c r="J15" s="401">
        <f>J14/5.19</f>
        <v>53179190.751445085</v>
      </c>
    </row>
    <row r="16" spans="2:12">
      <c r="B16" t="s">
        <v>2012</v>
      </c>
      <c r="C16" s="397">
        <v>0.2</v>
      </c>
      <c r="D16" s="394">
        <f>C16^2</f>
        <v>4.0000000000000008E-2</v>
      </c>
      <c r="F16" s="398"/>
      <c r="J16" s="401">
        <f>J15/31.22</f>
        <v>1703369.3386113096</v>
      </c>
      <c r="K16" s="401">
        <f>J16/100</f>
        <v>17033.693386113096</v>
      </c>
      <c r="L16" s="401">
        <f>J16*1.65</f>
        <v>2810559.4087086609</v>
      </c>
    </row>
    <row r="17" spans="1:21">
      <c r="B17" t="s">
        <v>2011</v>
      </c>
      <c r="C17" s="397">
        <v>0.11700000000000001</v>
      </c>
      <c r="D17" s="394">
        <f>C17^2</f>
        <v>1.3689000000000002E-2</v>
      </c>
      <c r="F17" s="238"/>
    </row>
    <row r="18" spans="1:21">
      <c r="B18" t="s">
        <v>1991</v>
      </c>
      <c r="C18" s="392">
        <f>SQRT(D16+D17+2*C20)</f>
        <v>0.27932955446926844</v>
      </c>
      <c r="J18">
        <v>17000</v>
      </c>
      <c r="K18">
        <v>1.65</v>
      </c>
      <c r="L18" s="402">
        <f>J18*K18*100</f>
        <v>2805000</v>
      </c>
    </row>
    <row r="19" spans="1:21">
      <c r="B19" t="s">
        <v>1989</v>
      </c>
      <c r="C19" s="396">
        <v>0.52</v>
      </c>
      <c r="J19">
        <f>J18*1.6</f>
        <v>27200</v>
      </c>
      <c r="K19">
        <v>0.59599999999999997</v>
      </c>
      <c r="L19" s="402">
        <f>J19*K19*100</f>
        <v>1621120</v>
      </c>
    </row>
    <row r="20" spans="1:21">
      <c r="B20" t="s">
        <v>1987</v>
      </c>
      <c r="C20">
        <f>C19*C16*C17</f>
        <v>1.2168000000000002E-2</v>
      </c>
      <c r="L20" s="401">
        <f>L18-L19</f>
        <v>1183880</v>
      </c>
      <c r="M20" s="401">
        <f>L20*5.2</f>
        <v>6156176</v>
      </c>
      <c r="N20" s="400"/>
    </row>
    <row r="21" spans="1:21">
      <c r="C21" s="398"/>
    </row>
    <row r="23" spans="1:21">
      <c r="B23" t="s">
        <v>2010</v>
      </c>
      <c r="U23">
        <f>0.89-0.24</f>
        <v>0.65</v>
      </c>
    </row>
    <row r="24" spans="1:21">
      <c r="C24" t="s">
        <v>2002</v>
      </c>
      <c r="D24" t="s">
        <v>2001</v>
      </c>
      <c r="U24">
        <f>U23/2</f>
        <v>0.32500000000000001</v>
      </c>
    </row>
    <row r="25" spans="1:21">
      <c r="A25" s="399">
        <v>0.82</v>
      </c>
      <c r="B25" t="s">
        <v>2009</v>
      </c>
      <c r="C25" s="397">
        <v>0.3</v>
      </c>
      <c r="D25" s="394">
        <f>C25^2</f>
        <v>0.09</v>
      </c>
      <c r="I25" t="s">
        <v>2008</v>
      </c>
      <c r="J25">
        <v>21</v>
      </c>
    </row>
    <row r="26" spans="1:21">
      <c r="A26">
        <f>1-A25</f>
        <v>0.18000000000000005</v>
      </c>
      <c r="B26" t="s">
        <v>2007</v>
      </c>
      <c r="C26" s="397">
        <v>0.4</v>
      </c>
      <c r="D26" s="394">
        <f>C26^2</f>
        <v>0.16000000000000003</v>
      </c>
      <c r="I26" t="s">
        <v>2006</v>
      </c>
      <c r="J26">
        <v>1</v>
      </c>
      <c r="R26" s="398"/>
    </row>
    <row r="27" spans="1:21">
      <c r="B27" t="s">
        <v>2005</v>
      </c>
      <c r="C27" s="392">
        <f>SQRT(A25^2 * C25^2 + A26^2 * C26^2 + 2*A25*A26*C28*C25*C26)</f>
        <v>0.27627377725727065</v>
      </c>
      <c r="J27">
        <f>J25+J26</f>
        <v>22</v>
      </c>
      <c r="R27" s="18"/>
    </row>
    <row r="28" spans="1:21">
      <c r="B28" t="s">
        <v>2004</v>
      </c>
      <c r="C28" s="396">
        <v>0.3</v>
      </c>
    </row>
    <row r="29" spans="1:21">
      <c r="B29" t="s">
        <v>2003</v>
      </c>
      <c r="C29">
        <f>C28*C25*C26</f>
        <v>3.5999999999999997E-2</v>
      </c>
    </row>
    <row r="31" spans="1:21">
      <c r="C31" t="s">
        <v>2002</v>
      </c>
      <c r="D31" t="s">
        <v>2001</v>
      </c>
      <c r="F31" t="s">
        <v>2000</v>
      </c>
      <c r="G31" t="s">
        <v>1999</v>
      </c>
      <c r="H31" t="s">
        <v>1998</v>
      </c>
      <c r="I31" t="s">
        <v>1997</v>
      </c>
      <c r="J31" t="s">
        <v>1996</v>
      </c>
    </row>
    <row r="32" spans="1:21">
      <c r="B32" t="s">
        <v>1995</v>
      </c>
      <c r="C32" s="397">
        <v>0.25</v>
      </c>
      <c r="D32" s="394">
        <f>C32^2</f>
        <v>6.25E-2</v>
      </c>
      <c r="F32" s="395">
        <v>0.41370000000000001</v>
      </c>
      <c r="G32" s="395">
        <v>0.43680000000000002</v>
      </c>
      <c r="H32" s="395">
        <v>0.4698</v>
      </c>
      <c r="I32" s="395">
        <v>0.36620000000000003</v>
      </c>
      <c r="J32" s="395">
        <v>0.41830000000000001</v>
      </c>
      <c r="K32" t="s">
        <v>1994</v>
      </c>
      <c r="Q32" s="43">
        <v>0.36620000000000003</v>
      </c>
    </row>
    <row r="33" spans="2:17">
      <c r="B33" t="s">
        <v>1993</v>
      </c>
      <c r="C33" s="397">
        <v>0.122</v>
      </c>
      <c r="D33" s="394">
        <f>C33^2</f>
        <v>1.4884E-2</v>
      </c>
      <c r="E33">
        <f>200*1400</f>
        <v>280000</v>
      </c>
      <c r="F33" s="394">
        <f>F32*SQRT(22/252)</f>
        <v>0.12223528541300993</v>
      </c>
      <c r="G33" s="394">
        <f>G32*SQRT(22/252)</f>
        <v>0.1290606059183049</v>
      </c>
      <c r="H33" s="394">
        <f>H32*SQRT(22/252)</f>
        <v>0.138811063783012</v>
      </c>
      <c r="I33" s="394">
        <f>I32*SQRT(22/252)</f>
        <v>0.10820053545623456</v>
      </c>
      <c r="J33" s="394">
        <f>J32*SQRT(22/252)</f>
        <v>0.12359444014566606</v>
      </c>
      <c r="K33" t="s">
        <v>1992</v>
      </c>
    </row>
    <row r="34" spans="2:17">
      <c r="B34" t="s">
        <v>1991</v>
      </c>
      <c r="C34" s="392">
        <f>SQRT(D32+D33+2*C36)</f>
        <v>0.32780634527110669</v>
      </c>
      <c r="F34" s="394">
        <f>F33^2</f>
        <v>1.4941464999999998E-2</v>
      </c>
      <c r="G34" s="394">
        <f>G33^2</f>
        <v>1.6656639999999997E-2</v>
      </c>
      <c r="H34" s="394">
        <f>H33^2</f>
        <v>1.9268511428571427E-2</v>
      </c>
      <c r="I34" s="394">
        <f>I33^2</f>
        <v>1.1707355873015872E-2</v>
      </c>
      <c r="J34" s="394">
        <f>J33^2</f>
        <v>1.5275585634920631E-2</v>
      </c>
      <c r="K34" t="s">
        <v>1990</v>
      </c>
    </row>
    <row r="35" spans="2:17">
      <c r="B35" t="s">
        <v>1989</v>
      </c>
      <c r="C35" s="396">
        <v>0.49299999999999999</v>
      </c>
      <c r="F35" s="395">
        <v>0.32600000000000001</v>
      </c>
      <c r="G35" s="395">
        <v>0.30270000000000002</v>
      </c>
      <c r="H35" s="395">
        <v>0.35310000000000002</v>
      </c>
      <c r="I35" s="395">
        <v>0.27179999999999999</v>
      </c>
      <c r="J35" s="395">
        <v>0.36080000000000001</v>
      </c>
      <c r="K35" t="s">
        <v>1988</v>
      </c>
      <c r="Q35" s="43">
        <v>0.27179999999999999</v>
      </c>
    </row>
    <row r="36" spans="2:17">
      <c r="B36" t="s">
        <v>1987</v>
      </c>
      <c r="C36">
        <f>C35*C32*C33</f>
        <v>1.50365E-2</v>
      </c>
      <c r="F36" s="394">
        <f>F35*SQRT(1/252)</f>
        <v>2.0536069700168014E-2</v>
      </c>
      <c r="G36" s="394">
        <f>G35*SQRT(1/252)</f>
        <v>1.9068307663315517E-2</v>
      </c>
      <c r="H36" s="394">
        <f>H35*SQRT(1/252)</f>
        <v>2.2243209236593026E-2</v>
      </c>
      <c r="I36" s="394">
        <f>I35*SQRT(1/252)</f>
        <v>1.7121790627317994E-2</v>
      </c>
      <c r="J36" s="394">
        <f>J35*SQRT(1/252)</f>
        <v>2.2728263643621533E-2</v>
      </c>
      <c r="K36" t="s">
        <v>1986</v>
      </c>
    </row>
    <row r="37" spans="2:17">
      <c r="F37" s="394">
        <f>F36*SQRT(21/1)</f>
        <v>9.4108093877908999E-2</v>
      </c>
      <c r="G37" s="394">
        <f>G36*SQRT(21/1)</f>
        <v>8.7381963241849867E-2</v>
      </c>
      <c r="H37" s="394">
        <f>H36*SQRT(21/1)</f>
        <v>0.10193119002542844</v>
      </c>
      <c r="I37" s="394">
        <f>I36*SQRT(21/1)</f>
        <v>7.8461901582870142E-2</v>
      </c>
      <c r="J37" s="394">
        <f>J36*SQRT(21/1)</f>
        <v>0.10415398856180849</v>
      </c>
      <c r="K37" t="s">
        <v>1985</v>
      </c>
    </row>
    <row r="38" spans="2:17">
      <c r="F38" s="394">
        <f>F37^2</f>
        <v>8.8563333333333341E-3</v>
      </c>
      <c r="G38" s="394">
        <f>G37^2</f>
        <v>7.6356075000000015E-3</v>
      </c>
      <c r="H38" s="394">
        <f>H37^2</f>
        <v>1.0389967500000003E-2</v>
      </c>
      <c r="I38" s="394">
        <f>I37^2</f>
        <v>6.1562700000000001E-3</v>
      </c>
      <c r="J38" s="394">
        <f>J37^2</f>
        <v>1.0848053333333335E-2</v>
      </c>
      <c r="K38" t="s">
        <v>1984</v>
      </c>
    </row>
    <row r="39" spans="2:17">
      <c r="F39" s="394">
        <f>F34-F38</f>
        <v>6.0851316666666634E-3</v>
      </c>
      <c r="G39" s="394">
        <f>G34-G38</f>
        <v>9.0210324999999945E-3</v>
      </c>
      <c r="H39" s="394">
        <f>H34-H38</f>
        <v>8.8785439285714238E-3</v>
      </c>
      <c r="I39" s="394">
        <f>I34-I38</f>
        <v>5.5510858730158721E-3</v>
      </c>
      <c r="J39" s="394">
        <f>J34-J38</f>
        <v>4.4275323015872965E-3</v>
      </c>
      <c r="K39" t="s">
        <v>1983</v>
      </c>
    </row>
    <row r="40" spans="2:17">
      <c r="F40" s="393">
        <f>F39^0.5</f>
        <v>7.8007253936199186E-2</v>
      </c>
      <c r="G40" s="393">
        <f>G39^0.5</f>
        <v>9.4979116125598867E-2</v>
      </c>
      <c r="H40" s="393">
        <f>H39^0.5</f>
        <v>9.4226025749637898E-2</v>
      </c>
      <c r="I40" s="393">
        <f>I39^0.5</f>
        <v>7.4505609674814899E-2</v>
      </c>
      <c r="J40" s="393">
        <f>J39^0.5</f>
        <v>6.6539704700181057E-2</v>
      </c>
      <c r="K40" t="s">
        <v>1982</v>
      </c>
    </row>
    <row r="41" spans="2:17">
      <c r="F41" s="392">
        <f>F40*SQRT(252)</f>
        <v>1.2383267662454847</v>
      </c>
      <c r="G41" s="392">
        <f>G40*SQRT(252)</f>
        <v>1.5077467260783552</v>
      </c>
      <c r="H41" s="392">
        <f>H40*SQRT(252)</f>
        <v>1.4957917869810622</v>
      </c>
      <c r="I41" s="392">
        <f>I40*SQRT(252)</f>
        <v>1.1827398868728491</v>
      </c>
      <c r="J41" s="392">
        <f>J40*SQRT(252)</f>
        <v>1.0562850656901284</v>
      </c>
      <c r="K41" t="s">
        <v>1981</v>
      </c>
    </row>
    <row r="42" spans="2:17">
      <c r="F42" s="391">
        <f>F40/F36</f>
        <v>3.7985483627162102</v>
      </c>
      <c r="G42" s="391">
        <f>G40/G36</f>
        <v>4.9809934789506274</v>
      </c>
      <c r="H42" s="391">
        <f>H40/H36</f>
        <v>4.2361704530757907</v>
      </c>
      <c r="I42" s="391">
        <f>I40/I36</f>
        <v>4.3515080458898048</v>
      </c>
      <c r="J42" s="391">
        <f>J40/J36</f>
        <v>2.9276193616688699</v>
      </c>
      <c r="K42" s="59" t="s">
        <v>1980</v>
      </c>
    </row>
    <row r="43" spans="2:17">
      <c r="J43" s="4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F9" sqref="F9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4" customFormat="1" ht="45.75" thickBot="1">
      <c r="A2" s="158"/>
      <c r="F2" s="110" t="s">
        <v>7</v>
      </c>
      <c r="H2" s="135" t="s">
        <v>8</v>
      </c>
      <c r="I2" s="135"/>
      <c r="J2" s="136">
        <v>45558</v>
      </c>
      <c r="K2" s="152"/>
      <c r="L2" s="137" t="s">
        <v>9</v>
      </c>
      <c r="M2" s="134" t="s">
        <v>10</v>
      </c>
      <c r="N2" s="137" t="s">
        <v>11</v>
      </c>
      <c r="O2" s="134" t="s">
        <v>12</v>
      </c>
      <c r="P2" s="134" t="s">
        <v>13</v>
      </c>
      <c r="S2" s="134" t="s">
        <v>14</v>
      </c>
      <c r="T2" s="134" t="s">
        <v>15</v>
      </c>
      <c r="U2" s="134" t="s">
        <v>16</v>
      </c>
      <c r="V2" s="134" t="s">
        <v>17</v>
      </c>
      <c r="Y2" s="134" t="s">
        <v>18</v>
      </c>
    </row>
    <row r="4" spans="1:26" s="6" customFormat="1">
      <c r="A4" s="125"/>
      <c r="T4" s="6" t="s">
        <v>19</v>
      </c>
    </row>
    <row r="5" spans="1:26" s="155" customFormat="1" ht="45.75" thickBot="1">
      <c r="A5" s="159" t="s">
        <v>20</v>
      </c>
      <c r="B5" s="155" t="s">
        <v>21</v>
      </c>
      <c r="C5" s="155" t="s">
        <v>22</v>
      </c>
      <c r="F5" s="156"/>
      <c r="G5" s="156"/>
      <c r="H5" s="156" t="s">
        <v>5</v>
      </c>
      <c r="I5" s="156" t="s">
        <v>23</v>
      </c>
      <c r="J5" s="156" t="s">
        <v>24</v>
      </c>
      <c r="K5" s="156" t="s">
        <v>25</v>
      </c>
      <c r="L5" s="156" t="s">
        <v>26</v>
      </c>
      <c r="M5" s="156" t="s">
        <v>27</v>
      </c>
      <c r="N5" s="156" t="s">
        <v>28</v>
      </c>
      <c r="O5" s="156" t="s">
        <v>29</v>
      </c>
      <c r="P5" s="156" t="s">
        <v>30</v>
      </c>
      <c r="Q5" s="156" t="s">
        <v>31</v>
      </c>
      <c r="R5" s="156" t="s">
        <v>32</v>
      </c>
      <c r="S5" s="156" t="s">
        <v>33</v>
      </c>
      <c r="T5" s="156" t="s">
        <v>34</v>
      </c>
      <c r="U5" s="157" t="s">
        <v>35</v>
      </c>
      <c r="V5" s="157" t="s">
        <v>36</v>
      </c>
      <c r="W5" s="156"/>
      <c r="X5" s="156"/>
      <c r="Y5" s="156"/>
      <c r="Z5" s="156"/>
    </row>
    <row r="6" spans="1:26">
      <c r="A6" s="2">
        <f>C6/B6</f>
        <v>5.4307116104868734E-2</v>
      </c>
      <c r="B6" s="145">
        <f>H6-J6</f>
        <v>10.680000000000003</v>
      </c>
      <c r="C6" s="145">
        <f>L6-H6</f>
        <v>0.57999999999999829</v>
      </c>
      <c r="E6" t="s">
        <v>37</v>
      </c>
      <c r="F6" t="s">
        <v>38</v>
      </c>
      <c r="G6" t="s">
        <v>39</v>
      </c>
      <c r="H6" s="148" cm="1">
        <f t="array" ref="H6">IF(ISNUMBER(_xlfn.SINGLE(_xll.BDP($E6,H$2))),  _xll.BDP($E6,H$2), "nmf")</f>
        <v>33.770000000000003</v>
      </c>
      <c r="I6" s="153">
        <f>H6/J6-1</f>
        <v>0.46253789519272437</v>
      </c>
      <c r="J6" s="149" cm="1">
        <f t="array" ref="J6">IF(ISTEXT($E6),_xll.BDH($E6,"PX_LAST",J$2,J$2,"Fill=P","CDR=US"),"")</f>
        <v>23.09</v>
      </c>
      <c r="K6" s="153">
        <f t="shared" ref="K6:K20" si="0">H6/L6-1</f>
        <v>-1.6885007278020336E-2</v>
      </c>
      <c r="L6" s="149" cm="1">
        <f t="array" ref="L6">IF(ISNUMBER(_xlfn.SINGLE(_xll.BDP($E6,L$2))),  _xll.BDP($E6,L$2), "nmf")</f>
        <v>34.35</v>
      </c>
      <c r="M6" t="str" cm="1">
        <f t="array" ref="M6">_xll.BDP(E6,M$2)</f>
        <v>12/01/2026</v>
      </c>
      <c r="N6" s="149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4"/>
      <c r="Q6" s="144"/>
      <c r="R6" s="144"/>
      <c r="S6" s="144"/>
      <c r="T6" s="150"/>
      <c r="U6" s="151"/>
      <c r="V6" s="151"/>
      <c r="W6" s="150"/>
      <c r="Y6" cm="1">
        <f t="array" ref="Y6">_xll.BDP(E6,Y$2)</f>
        <v>9.6009179949760437E-2</v>
      </c>
    </row>
    <row r="7" spans="1:26">
      <c r="B7" s="145"/>
      <c r="C7" s="145"/>
      <c r="E7" t="s">
        <v>40</v>
      </c>
      <c r="F7" t="str" cm="1">
        <f t="array" ref="F7">_xll.BDP($E7,F$2)</f>
        <v>CSI 300 Net Return USD</v>
      </c>
      <c r="G7" t="s">
        <v>41</v>
      </c>
      <c r="H7" s="142" cm="1">
        <f t="array" ref="H7">IF(ISNUMBER(_xlfn.SINGLE(_xll.BDP($E7,H$2))),  _xll.BDP($E7,H$2), "nmf")</f>
        <v>7962.55</v>
      </c>
      <c r="I7" s="153">
        <f t="shared" ref="I7:I20" si="1">H7/J7-1</f>
        <v>0.5293743673663811</v>
      </c>
      <c r="J7" s="143" cm="1">
        <f t="array" ref="J7">IF(ISTEXT($E7),_xll.BDH($E7,"PX_LAST",J$2,J$2,"Fill=P","CDR=US"),"")</f>
        <v>5206.41</v>
      </c>
      <c r="K7" s="153">
        <f t="shared" si="0"/>
        <v>-1.4213802529539299E-2</v>
      </c>
      <c r="L7" s="143" cm="1">
        <f t="array" ref="L7">IF(ISNUMBER(_xlfn.SINGLE(_xll.BDP($E7,L$2))),  _xll.BDP($E7,L$2), "nmf")</f>
        <v>8077.36</v>
      </c>
      <c r="M7" t="str" cm="1">
        <f t="array" ref="M7">_xll.BDP(E7,M$2)</f>
        <v>12/01/2026</v>
      </c>
      <c r="N7" s="143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4" cm="1">
        <f t="array" ref="P7">_xll.BDP($E7,P$2)</f>
        <v>17.019878486289265</v>
      </c>
      <c r="Q7" s="153">
        <f>$P7/T7-1</f>
        <v>0.26005970788092769</v>
      </c>
      <c r="R7" s="153">
        <f>$P7/U7-1</f>
        <v>0.12534320041041802</v>
      </c>
      <c r="S7" s="144" cm="1">
        <f t="array" ref="S7">_xll.BDP($E7,S$2)</f>
        <v>10.844817265556104</v>
      </c>
      <c r="T7" s="150">
        <f>MEDIAN(_xll.BDH($E7," best pe ratio","-7ay",""," be997=1gy","array=true"," dts=h"  ))</f>
        <v>13.507199999999999</v>
      </c>
      <c r="U7" s="151">
        <f>T7+W7</f>
        <v>15.124166991973679</v>
      </c>
      <c r="V7" s="151">
        <f>T7-W7</f>
        <v>11.890233008026319</v>
      </c>
      <c r="W7" s="150">
        <f>STDEV(_xll.BDH($E7," best pe ratio","-7ay",""," be997=1gy","array=true"," dts=h"  ))</f>
        <v>1.6169669919736791</v>
      </c>
    </row>
    <row r="8" spans="1:26" s="138" customFormat="1">
      <c r="A8" s="141"/>
      <c r="E8" s="138" t="s">
        <v>42</v>
      </c>
      <c r="F8" s="138" t="str" cm="1">
        <f t="array" ref="F8">_xll.BDP($E8,F$2)</f>
        <v>CSI 300 INDEX</v>
      </c>
      <c r="G8" s="138" t="s">
        <v>43</v>
      </c>
      <c r="H8" s="139" cm="1">
        <f t="array" ref="H8">IF(ISNUMBER(_xlfn.SINGLE(_xll.BDP($E8,H$2))),  _xll.BDP($E8,H$2), "nmf")</f>
        <v>4705.6899999999996</v>
      </c>
      <c r="I8" s="154">
        <f t="shared" si="1"/>
        <v>0.46468768286457718</v>
      </c>
      <c r="J8" s="140" cm="1">
        <f t="array" ref="J8">IF(ISTEXT($E8),_xll.BDH($E8,"PX_LAST",J$2,J$2,"Fill=P","CDR=US"),"")</f>
        <v>3212.76</v>
      </c>
      <c r="K8" s="154">
        <f t="shared" si="0"/>
        <v>-2.713894677648776E-2</v>
      </c>
      <c r="L8" s="140" cm="1">
        <f t="array" ref="L8">IF(ISNUMBER(_xlfn.SINGLE(_xll.BDP($E8,L$2))),  _xll.BDP($E8,L$2), "nmf")</f>
        <v>4836.96</v>
      </c>
      <c r="M8" s="138" t="str" cm="1">
        <f t="array" ref="M8">_xll.BDP(E8,M$2)</f>
        <v>13/01/2026</v>
      </c>
      <c r="N8" s="140" cm="1">
        <f t="array" ref="N8">IF(ISNUMBER(_xlfn.SINGLE(_xll.BDP($E8,N$2))),  _xll.BDP($E8,N$2), "nmf")</f>
        <v>3514.12</v>
      </c>
      <c r="O8" s="138" t="str" cm="1">
        <f t="array" ref="O8">_xll.BDP(E8,O$2)</f>
        <v>07/04/2025</v>
      </c>
      <c r="P8" s="141" cm="1">
        <f t="array" ref="P8">_xll.BDP($E8,P$2)</f>
        <v>16.886691561975923</v>
      </c>
      <c r="Q8" s="154">
        <f>P8/T8-1</f>
        <v>0.23821787533094696</v>
      </c>
      <c r="R8" s="154">
        <f>$P8/U8-1</f>
        <v>0.10219843274460771</v>
      </c>
      <c r="S8" s="141" cm="1">
        <f t="array" ref="S8">_xll.BDP($E8,S$2)</f>
        <v>10.809857136409322</v>
      </c>
      <c r="T8" s="146">
        <f>MEDIAN(_xll.BDH($E8," best pe ratio","-7ay",""," be997=1gy","array=true"," dts=h"  ))</f>
        <v>13.6379</v>
      </c>
      <c r="U8" s="147">
        <f>T8+W8</f>
        <v>15.320917776961462</v>
      </c>
      <c r="V8" s="147">
        <f>T8-W8</f>
        <v>11.954882223038538</v>
      </c>
      <c r="W8" s="146">
        <f>STDEV(_xll.BDH($E8," best pe ratio","-7ay",""," be997=1gy","array=true"," dts=h"  ))</f>
        <v>1.6830177769614618</v>
      </c>
    </row>
    <row r="9" spans="1:26">
      <c r="A9" s="2">
        <f>C9/B9</f>
        <v>0.16802610114192518</v>
      </c>
      <c r="B9" s="145">
        <f>H9-J9</f>
        <v>12.259999999999998</v>
      </c>
      <c r="C9" s="145">
        <f>L9-H9</f>
        <v>2.0600000000000023</v>
      </c>
      <c r="E9" t="s">
        <v>44</v>
      </c>
      <c r="F9" t="s">
        <v>45</v>
      </c>
      <c r="G9" t="s">
        <v>39</v>
      </c>
      <c r="H9" s="148" cm="1">
        <f t="array" ref="H9">IF(ISNUMBER(_xlfn.SINGLE(_xll.BDP($E9,H$2))),  _xll.BDP($E9,H$2), "nmf")</f>
        <v>39.94</v>
      </c>
      <c r="I9" s="153">
        <f t="shared" si="1"/>
        <v>0.44291907514450868</v>
      </c>
      <c r="J9" s="149" cm="1">
        <f t="array" ref="J9">IF(ISTEXT($E9),_xll.BDH($E9,"PX_LAST",J$2,J$2,"Fill=P","CDR=US"),"")</f>
        <v>27.68</v>
      </c>
      <c r="K9" s="153">
        <f t="shared" si="0"/>
        <v>-4.9047619047619118E-2</v>
      </c>
      <c r="L9" s="149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9" cm="1">
        <f t="array" ref="N9">IF(ISNUMBER(_xlfn.SINGLE(_xll.BDP($E9,N$2))),  _xll.BDP($E9,N$2), "nmf")</f>
        <v>29.204999999999998</v>
      </c>
      <c r="O9" t="str" cm="1">
        <f t="array" ref="O9">_xll.BDP(E9,O$2)</f>
        <v>08/04/2025</v>
      </c>
      <c r="P9" s="144"/>
      <c r="Q9" s="153"/>
      <c r="R9" s="153"/>
      <c r="S9" s="144"/>
    </row>
    <row r="10" spans="1:26">
      <c r="B10" s="145"/>
      <c r="C10" s="145"/>
      <c r="E10" t="s">
        <v>46</v>
      </c>
      <c r="F10" t="str" cm="1">
        <f t="array" ref="F10">_xll.BDP($E10,F$2)</f>
        <v>FTSE China 50 Net TR</v>
      </c>
      <c r="G10" t="s">
        <v>47</v>
      </c>
      <c r="H10" s="142" cm="1">
        <f t="array" ref="H10">IF(ISNUMBER(_xlfn.SINGLE(_xll.BDP($E10,H$2))),  _xll.BDP($E10,H$2), "nmf")</f>
        <v>37367.760000000002</v>
      </c>
      <c r="I10" s="153">
        <f t="shared" si="1"/>
        <v>0.52679633023924399</v>
      </c>
      <c r="J10" s="143" cm="1">
        <f t="array" ref="J10">IF(ISTEXT($E10),_xll.BDH($E10,"PX_LAST",J$2,J$2,"Fill=P","CDR=US"),"")</f>
        <v>24474.62</v>
      </c>
      <c r="K10" s="153">
        <f t="shared" si="0"/>
        <v>-3.781854698543885E-2</v>
      </c>
      <c r="L10" s="143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3" cm="1">
        <f t="array" ref="N10">IF(ISNUMBER(_xlfn.SINGLE(_xll.BDP($E10,N$2))),  _xll.BDP($E10,N$2), "nmf")</f>
        <v>27588.48</v>
      </c>
      <c r="O10" t="str" cm="1">
        <f t="array" ref="O10">_xll.BDP(E10,O$2)</f>
        <v>07/04/2025</v>
      </c>
      <c r="P10" s="144" cm="1">
        <f t="array" ref="P10">_xll.BDP($E10,P$2)</f>
        <v>11.398204190030603</v>
      </c>
      <c r="Q10" s="153">
        <f>P10/T10-1</f>
        <v>0.24894033617463829</v>
      </c>
      <c r="R10" s="153">
        <f>$P10/U10-1</f>
        <v>7.7564648789592239E-2</v>
      </c>
      <c r="S10" s="144" cm="1">
        <f t="array" ref="S10">_xll.BDP($E10,S$2)</f>
        <v>11.204968711500467</v>
      </c>
      <c r="T10" s="150">
        <f>MEDIAN(_xll.BDH($E10," best pe ratio","-7ay",""," be997=1gy","array=true"," dts=h"  ))</f>
        <v>9.1263000000000005</v>
      </c>
      <c r="U10" s="151">
        <f>T10+W10</f>
        <v>10.577745105905235</v>
      </c>
      <c r="V10" s="151">
        <f>T10-W10</f>
        <v>7.674854894094767</v>
      </c>
      <c r="W10" s="150">
        <f>STDEV(_xll.BDH($E10," best pe ratio","-7ay",""," be997=1gy","array=true"," dts=h"  ))</f>
        <v>1.4514451059052338</v>
      </c>
    </row>
    <row r="11" spans="1:26" s="138" customFormat="1">
      <c r="A11" s="141"/>
      <c r="E11" s="138" t="s">
        <v>48</v>
      </c>
      <c r="F11" s="138" t="str" cm="1">
        <f t="array" ref="F11">_xll.BDP($E11,F$2)</f>
        <v>FTSE CHINA A50</v>
      </c>
      <c r="G11" s="138" t="s">
        <v>43</v>
      </c>
      <c r="H11" s="139" cm="1">
        <f t="array" ref="H11">IF(ISNUMBER(_xlfn.SINGLE(_xll.BDP($E11,H$2))),  _xll.BDP($E11,H$2), "nmf")</f>
        <v>14881.91</v>
      </c>
      <c r="I11" s="154">
        <f t="shared" si="1"/>
        <v>0.3139367131076618</v>
      </c>
      <c r="J11" s="140" cm="1">
        <f t="array" ref="J11">IF(ISTEXT($E11),_xll.BDH($E11,"PX_LAST",J$2,J$2,"Fill=P","CDR=US"),"")</f>
        <v>11326.2</v>
      </c>
      <c r="K11" s="154">
        <f t="shared" si="0"/>
        <v>-5.5693002555266324E-2</v>
      </c>
      <c r="L11" s="140" cm="1">
        <f t="array" ref="L11">IF(ISNUMBER(_xlfn.SINGLE(_xll.BDP($E11,L$2))),  _xll.BDP($E11,L$2), "nmf")</f>
        <v>15759.61</v>
      </c>
      <c r="M11" s="138" t="str" cm="1">
        <f t="array" ref="M11">_xll.BDP(E11,M$2)</f>
        <v>28/10/2025</v>
      </c>
      <c r="N11" s="140" cm="1">
        <f t="array" ref="N11">IF(ISNUMBER(_xlfn.SINGLE(_xll.BDP($E11,N$2))),  _xll.BDP($E11,N$2), "nmf")</f>
        <v>12182.84</v>
      </c>
      <c r="O11" s="138" t="str" cm="1">
        <f t="array" ref="O11">_xll.BDP(E11,O$2)</f>
        <v>07/04/2025</v>
      </c>
      <c r="P11" s="141" cm="1">
        <f t="array" ref="P11">_xll.BDP($E11,P$2)</f>
        <v>13.387753456909172</v>
      </c>
      <c r="Q11" s="154">
        <f>P11/T11-1</f>
        <v>0.15826045394377908</v>
      </c>
      <c r="R11" s="154">
        <f>$P11/U11-1</f>
        <v>2.659838386354374E-2</v>
      </c>
      <c r="S11" s="141" cm="1">
        <f t="array" ref="S11">_xll.BDP($E11,S$2)</f>
        <v>12.203110917596227</v>
      </c>
      <c r="T11" s="146">
        <f>MEDIAN(_xll.BDH($E11," best pe ratio","-7ay",""," be997=1gy","array=true"," dts=h"  ))</f>
        <v>11.5585</v>
      </c>
      <c r="U11" s="147">
        <f>T11+W11</f>
        <v>13.040886940153886</v>
      </c>
      <c r="V11" s="147">
        <f>T11-W11</f>
        <v>10.076113059846115</v>
      </c>
      <c r="W11" s="146">
        <f>STDEV(_xll.BDH($E11," best pe ratio","-7ay",""," be997=1gy","array=true"," dts=h"  ))</f>
        <v>1.4823869401538854</v>
      </c>
    </row>
    <row r="12" spans="1:26">
      <c r="A12" s="2">
        <f>C12/B12</f>
        <v>0.86101499423298788</v>
      </c>
      <c r="B12" s="145">
        <f>H12-J12</f>
        <v>8.6699999999999982</v>
      </c>
      <c r="C12" s="145">
        <f>L12-H12</f>
        <v>7.4650000000000034</v>
      </c>
      <c r="E12" t="s">
        <v>49</v>
      </c>
      <c r="F12" t="s">
        <v>50</v>
      </c>
      <c r="G12" t="s">
        <v>39</v>
      </c>
      <c r="H12" s="148" cm="1">
        <f t="array" ref="H12">IF(ISNUMBER(_xlfn.SINGLE(_xll.BDP($E12,H$2))),  _xll.BDP($E12,H$2), "nmf")</f>
        <v>35.9</v>
      </c>
      <c r="I12" s="153">
        <f t="shared" si="1"/>
        <v>0.31839882482556003</v>
      </c>
      <c r="J12" s="149" cm="1">
        <f t="array" ref="J12">IF(ISTEXT($E12),_xll.BDH($E12,"PX_LAST",J$2,J$2,"Fill=P","CDR=US"),"")</f>
        <v>27.23</v>
      </c>
      <c r="K12" s="153">
        <f t="shared" si="0"/>
        <v>-0.17214343364464435</v>
      </c>
      <c r="L12" s="149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9" cm="1">
        <f t="array" ref="N12">IF(ISNUMBER(_xlfn.SINGLE(_xll.BDP($E12,N$2))),  _xll.BDP($E12,N$2), "nmf")</f>
        <v>27.824999999999999</v>
      </c>
      <c r="O12" t="str" cm="1">
        <f t="array" ref="O12">_xll.BDP(E12,O$2)</f>
        <v>08/04/2025</v>
      </c>
      <c r="P12" s="144"/>
      <c r="Q12" s="153"/>
      <c r="R12" s="153"/>
      <c r="S12" s="144"/>
    </row>
    <row r="13" spans="1:26">
      <c r="B13" s="145"/>
      <c r="C13" s="145"/>
      <c r="E13" t="s">
        <v>51</v>
      </c>
      <c r="F13" t="str" cm="1">
        <f t="array" ref="F13">_xll.BDP($E13,F$2)</f>
        <v>CSIOverseasChinaInten</v>
      </c>
      <c r="G13" t="s">
        <v>52</v>
      </c>
      <c r="H13" s="142" cm="1">
        <f t="array" ref="H13">IF(ISNUMBER(_xlfn.SINGLE(_xll.BDP($E13,H$2))),  _xll.BDP($E13,H$2), "nmf")</f>
        <v>6087.7929999999997</v>
      </c>
      <c r="I13" s="153">
        <f t="shared" si="1"/>
        <v>0.45640946018912421</v>
      </c>
      <c r="J13" s="143" cm="1">
        <f t="array" ref="J13">IF(ISTEXT($E13),_xll.BDH($E13,"PX_LAST",J$2,J$2,"Fill=P","CDR=US"),"")</f>
        <v>4180.0010000000002</v>
      </c>
      <c r="K13" s="153">
        <f t="shared" si="0"/>
        <v>-0.11451584493085998</v>
      </c>
      <c r="L13" s="143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3" cm="1">
        <f t="array" ref="N13">IF(ISNUMBER(_xlfn.SINGLE(_xll.BDP($E13,N$2))),  _xll.BDP($E13,N$2), "nmf")</f>
        <v>4656.3050000000003</v>
      </c>
      <c r="O13" t="str" cm="1">
        <f t="array" ref="O13">_xll.BDP(E13,O$2)</f>
        <v>07/04/2025</v>
      </c>
      <c r="P13" s="144"/>
      <c r="Q13" s="153"/>
      <c r="R13" s="153"/>
      <c r="S13" s="144"/>
      <c r="T13" s="150"/>
      <c r="U13" s="151"/>
      <c r="V13" s="151"/>
      <c r="W13" s="150"/>
    </row>
    <row r="14" spans="1:26" s="138" customFormat="1">
      <c r="A14" s="141"/>
      <c r="E14" s="138" t="s">
        <v>53</v>
      </c>
      <c r="F14" s="138" t="str" cm="1">
        <f t="array" ref="F14">_xll.BDP($E14,F$2)</f>
        <v>HSTECH</v>
      </c>
      <c r="G14" s="138" t="s">
        <v>43</v>
      </c>
      <c r="H14" s="139" cm="1">
        <f t="array" ref="H14">IF(ISNUMBER(_xlfn.SINGLE(_xll.BDP($E14,H$2))),  _xll.BDP($E14,H$2), "nmf")</f>
        <v>5754.72</v>
      </c>
      <c r="I14" s="154">
        <f t="shared" si="1"/>
        <v>0.55605729165258366</v>
      </c>
      <c r="J14" s="140" cm="1">
        <f t="array" ref="J14">IF(ISTEXT($E14),_xll.BDH($E14,"PX_LAST",J$2,J$2,"Fill=P","CDR=US"),"")</f>
        <v>3698.27</v>
      </c>
      <c r="K14" s="154">
        <f t="shared" si="0"/>
        <v>-0.14306391520461736</v>
      </c>
      <c r="L14" s="140" cm="1">
        <f t="array" ref="L14">IF(ISNUMBER(_xlfn.SINGLE(_xll.BDP($E14,L$2))),  _xll.BDP($E14,L$2), "nmf")</f>
        <v>6715.46</v>
      </c>
      <c r="M14" s="138" t="str" cm="1">
        <f t="array" ref="M14">_xll.BDP(E14,M$2)</f>
        <v>02/10/2025</v>
      </c>
      <c r="N14" s="140" cm="1">
        <f t="array" ref="N14">IF(ISNUMBER(_xlfn.SINGLE(_xll.BDP($E14,N$2))),  _xll.BDP($E14,N$2), "nmf")</f>
        <v>4296.16</v>
      </c>
      <c r="O14" s="138" t="str" cm="1">
        <f t="array" ref="O14">_xll.BDP(E14,O$2)</f>
        <v>09/04/2025</v>
      </c>
      <c r="P14" s="141" cm="1">
        <f t="array" ref="P14">_xll.BDP($E14,P$2)</f>
        <v>27.828055073203164</v>
      </c>
      <c r="Q14" s="154">
        <f>P14/T14-1</f>
        <v>2.6873079255314236E-2</v>
      </c>
      <c r="R14" s="154">
        <f>$P14/U14-1</f>
        <v>-0.27830858029896943</v>
      </c>
      <c r="S14" s="141" cm="1">
        <f t="array" ref="S14">_xll.BDP($E14,S$2)</f>
        <v>9.4949247615718324</v>
      </c>
      <c r="T14" s="146">
        <f>MEDIAN(_xll.BDH($E14," best pe ratio","-7ay",""," be997=1gy","array=true"," dts=h"  ))</f>
        <v>27.099799999999998</v>
      </c>
      <c r="U14" s="147">
        <f>T14+W14</f>
        <v>38.559492760397887</v>
      </c>
      <c r="V14" s="147">
        <f>T14-W14</f>
        <v>15.640107239602111</v>
      </c>
      <c r="W14" s="146">
        <f>STDEV(_xll.BDH($E14," best pe ratio","-7ay",""," be997=1gy","array=true"," dts=h"  ))</f>
        <v>11.459692760397887</v>
      </c>
    </row>
    <row r="15" spans="1:26">
      <c r="A15" s="2">
        <f>C15/B15</f>
        <v>0.20389818823498412</v>
      </c>
      <c r="B15" s="145">
        <f>H15-J15</f>
        <v>20.009999999999998</v>
      </c>
      <c r="C15" s="145">
        <f>L15-H15</f>
        <v>4.0800027465820321</v>
      </c>
      <c r="E15" t="s">
        <v>54</v>
      </c>
      <c r="F15" t="s">
        <v>55</v>
      </c>
      <c r="G15" t="s">
        <v>39</v>
      </c>
      <c r="H15" s="148" cm="1">
        <f t="array" ref="H15">IF(ISNUMBER(_xlfn.SINGLE(_xll.BDP($E15,H$2))),  _xll.BDP($E15,H$2), "nmf")</f>
        <v>63.29</v>
      </c>
      <c r="I15" s="153">
        <f t="shared" si="1"/>
        <v>0.46233826247689458</v>
      </c>
      <c r="J15" s="149" cm="1">
        <f t="array" ref="J15">IF(ISTEXT($E15),_xll.BDH($E15,"PX_LAST",J$2,J$2,"Fill=P","CDR=US"),"")</f>
        <v>43.28</v>
      </c>
      <c r="K15" s="153">
        <f t="shared" si="0"/>
        <v>-6.0561118899301603E-2</v>
      </c>
      <c r="L15" s="149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9" cm="1">
        <f t="array" ref="N15">IF(ISNUMBER(_xlfn.SINGLE(_xll.BDP($E15,N$2))),  _xll.BDP($E15,N$2), "nmf")</f>
        <v>44.709999084472656</v>
      </c>
      <c r="O15" t="str" cm="1">
        <f t="array" ref="O15">_xll.BDP(E15,O$2)</f>
        <v>08/04/2025</v>
      </c>
      <c r="P15" s="144"/>
      <c r="Q15" s="153"/>
      <c r="R15" s="153"/>
      <c r="S15" s="144"/>
    </row>
    <row r="16" spans="1:26">
      <c r="B16" s="145"/>
      <c r="C16" s="145"/>
      <c r="E16" t="s">
        <v>56</v>
      </c>
      <c r="F16" t="str" cm="1">
        <f t="array" ref="F16">_xll.BDP($E16,F$2)</f>
        <v>MSCI Daily TR Net China</v>
      </c>
      <c r="G16" t="s">
        <v>57</v>
      </c>
      <c r="H16" s="142" cm="1">
        <f t="array" ref="H16">IF(ISNUMBER(_xlfn.SINGLE(_xll.BDP($E16,H$2))),  _xll.BDP($E16,H$2), "nmf")</f>
        <v>691.26869999999997</v>
      </c>
      <c r="I16" s="153">
        <f t="shared" si="1"/>
        <v>0.52912210304179208</v>
      </c>
      <c r="J16" s="143" cm="1">
        <f t="array" ref="J16">IF(ISTEXT($E16),_xll.BDH($E16,"PX_LAST",J$2,J$2,"Fill=P","CDR=US"),"")</f>
        <v>452.06900000000002</v>
      </c>
      <c r="K16" s="153">
        <f t="shared" si="0"/>
        <v>-5.1955805123867105E-2</v>
      </c>
      <c r="L16" s="143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3" cm="1">
        <f t="array" ref="N16">IF(ISNUMBER(_xlfn.SINGLE(_xll.BDP($E16,N$2))),  _xll.BDP($E16,N$2), "nmf")</f>
        <v>501.22379999999998</v>
      </c>
      <c r="O16" t="str" cm="1">
        <f t="array" ref="O16">_xll.BDP(E16,O$2)</f>
        <v>07/04/2025</v>
      </c>
      <c r="P16" s="144" cm="1">
        <f t="array" ref="P16">_xll.BDP($E16,P$2)</f>
        <v>14.249326945091969</v>
      </c>
      <c r="Q16" s="153">
        <f>P16/T16-1</f>
        <v>0.15943392095069697</v>
      </c>
      <c r="R16" s="153">
        <f>$P16/U16-1</f>
        <v>-4.0056881316667181E-2</v>
      </c>
      <c r="S16" s="144" cm="1">
        <f t="array" ref="S16">_xll.BDP($E16,S$2)</f>
        <v>11.427801735986014</v>
      </c>
      <c r="T16" s="150">
        <f>MEDIAN(_xll.BDH($E16," best pe ratio","-7ay",""," be997=1gy","array=true"," dts=h"  ))</f>
        <v>12.289899999999999</v>
      </c>
      <c r="U16" s="151">
        <f>T16+W16</f>
        <v>14.843928424255473</v>
      </c>
      <c r="V16" s="151">
        <f>T16-W16</f>
        <v>9.7358715757445253</v>
      </c>
      <c r="W16" s="150">
        <f>STDEV(_xll.BDH($E16," best pe ratio","-7ay",""," be997=1gy","array=true"," dts=h"  ))</f>
        <v>2.5540284242554745</v>
      </c>
    </row>
    <row r="17" spans="1:23" s="138" customFormat="1">
      <c r="A17" s="141"/>
      <c r="E17" s="138" t="s">
        <v>58</v>
      </c>
      <c r="F17" s="138" t="str" cm="1">
        <f t="array" ref="F17">_xll.BDP($E17,F$2)</f>
        <v>MSCI CHINA</v>
      </c>
      <c r="G17" s="138" t="s">
        <v>43</v>
      </c>
      <c r="H17" s="139" cm="1">
        <f t="array" ref="H17">IF(ISNUMBER(_xlfn.SINGLE(_xll.BDP($E17,H$2))),  _xll.BDP($E17,H$2), "nmf")</f>
        <v>86.41</v>
      </c>
      <c r="I17" s="154">
        <f t="shared" si="1"/>
        <v>0.49291637871458183</v>
      </c>
      <c r="J17" s="140" cm="1">
        <f t="array" ref="J17">IF(ISTEXT($E17),_xll.BDH($E17,"PX_LAST",J$2,J$2,"Fill=P","CDR=US"),"")</f>
        <v>57.88</v>
      </c>
      <c r="K17" s="154">
        <f t="shared" si="0"/>
        <v>-5.6556392619281692E-2</v>
      </c>
      <c r="L17" s="140" cm="1">
        <f t="array" ref="L17">IF(ISNUMBER(_xlfn.SINGLE(_xll.BDP($E17,L$2))),  _xll.BDP($E17,L$2), "nmf")</f>
        <v>91.59</v>
      </c>
      <c r="M17" s="138" t="str" cm="1">
        <f t="array" ref="M17">_xll.BDP(E17,M$2)</f>
        <v>02/10/2025</v>
      </c>
      <c r="N17" s="140" cm="1">
        <f t="array" ref="N17">IF(ISNUMBER(_xlfn.SINGLE(_xll.BDP($E17,N$2))),  _xll.BDP($E17,N$2), "nmf")</f>
        <v>62.12</v>
      </c>
      <c r="O17" s="138" t="str" cm="1">
        <f t="array" ref="O17">_xll.BDP(E17,O$2)</f>
        <v>09/04/2025</v>
      </c>
      <c r="P17" s="141" cm="1">
        <f t="array" ref="P17">_xll.BDP($E17,P$2)</f>
        <v>14.249326945091967</v>
      </c>
      <c r="Q17" s="154">
        <f>P17/T17-1</f>
        <v>0.15989637322685946</v>
      </c>
      <c r="R17" s="154">
        <f>$P17/U17-1</f>
        <v>-3.9745291884263456E-2</v>
      </c>
      <c r="S17" s="141" cm="1">
        <f t="array" ref="S17">_xll.BDP($E17,S$2)</f>
        <v>11.427801735986014</v>
      </c>
      <c r="T17" s="146">
        <f>MEDIAN(_xll.BDH($E17," best pe ratio","-7ay",""," be997=1gy","array=true"," dts=h"  ))</f>
        <v>12.285</v>
      </c>
      <c r="U17" s="147">
        <f>T17+W17</f>
        <v>14.839111773846716</v>
      </c>
      <c r="V17" s="147">
        <f>T17-W17</f>
        <v>9.7308882261532847</v>
      </c>
      <c r="W17" s="146">
        <f>STDEV(_xll.BDH($E17," best pe ratio","-7ay",""," be997=1gy","array=true"," dts=h"  ))</f>
        <v>2.554111773846715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2" cm="1">
        <f t="array" ref="H18">IF(ISNUMBER(_xlfn.SINGLE(_xll.BDP($E18,H$2))),  _xll.BDP($E18,H$2), "nmf")</f>
        <v>27126.95</v>
      </c>
      <c r="I18" s="153">
        <f t="shared" si="1"/>
        <v>0.48664363836245839</v>
      </c>
      <c r="J18" s="143" cm="1">
        <f t="array" ref="J18">IF(ISTEXT($E18),_xll.BDH($E18,"PX_LAST",J$2,J$2,"Fill=P","CDR=US"),"")</f>
        <v>18247.11</v>
      </c>
      <c r="K18" s="153">
        <f t="shared" si="0"/>
        <v>-9.3087243223975991E-3</v>
      </c>
      <c r="L18" s="143" cm="1">
        <f t="array" ref="L18">IF(ISNUMBER(_xlfn.SINGLE(_xll.BDP($E18,L$2))),  _xll.BDP($E18,L$2), "nmf")</f>
        <v>27381.84</v>
      </c>
      <c r="M18" t="str" cm="1">
        <f t="array" ref="M18">_xll.BDP(E18,M$2)</f>
        <v>02/10/2025</v>
      </c>
      <c r="N18" s="143" cm="1">
        <f t="array" ref="N18">IF(ISNUMBER(_xlfn.SINGLE(_xll.BDP($E18,N$2))),  _xll.BDP($E18,N$2), "nmf")</f>
        <v>19260.21</v>
      </c>
      <c r="O18" t="str" cm="1">
        <f t="array" ref="O18">_xll.BDP(E18,O$2)</f>
        <v>09/04/2025</v>
      </c>
      <c r="P18" s="144" cm="1">
        <f t="array" ref="P18">_xll.BDP($E18,P$2)</f>
        <v>13.219357533452841</v>
      </c>
      <c r="Q18" s="153">
        <f>P18/T18-1</f>
        <v>0.21588616227192681</v>
      </c>
      <c r="R18" s="153">
        <f>$P18/U18-1</f>
        <v>5.5475070506055157E-2</v>
      </c>
      <c r="S18" s="144" cm="1">
        <f t="array" ref="S18">_xll.BDP($E18,S$2)</f>
        <v>10.490462913459119</v>
      </c>
      <c r="T18" s="150">
        <f>MEDIAN(_xll.BDH($E18," best pe ratio","-7ay",""," be997=1gy","array=true"," dts=h"  ))</f>
        <v>10.872199999999999</v>
      </c>
      <c r="U18" s="151">
        <f>T18+W18</f>
        <v>12.524556858661498</v>
      </c>
      <c r="V18" s="151">
        <f>T18-W18</f>
        <v>9.2198431413385009</v>
      </c>
      <c r="W18" s="150">
        <f>STDEV(_xll.BDH($E18," best pe ratio","-7ay",""," be997=1gy","array=true"," dts=h"  ))</f>
        <v>1.6523568586614978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2" cm="1">
        <f t="array" ref="H19">IF(ISNUMBER(_xlfn.SINGLE(_xll.BDP($E19,H$2))),  _xll.BDP($E19,H$2), "nmf")</f>
        <v>9244.8799999999992</v>
      </c>
      <c r="I19" s="153">
        <f t="shared" si="1"/>
        <v>0.44698141203428343</v>
      </c>
      <c r="J19" s="143" cm="1">
        <f t="array" ref="J19">IF(ISTEXT($E19),_xll.BDH($E19,"PX_LAST",J$2,J$2,"Fill=P","CDR=US"),"")</f>
        <v>6389.08</v>
      </c>
      <c r="K19" s="153">
        <f t="shared" si="0"/>
        <v>-5.3768547451897186E-2</v>
      </c>
      <c r="L19" s="143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3" cm="1">
        <f t="array" ref="N19">IF(ISNUMBER(_xlfn.SINGLE(_xll.BDP($E19,N$2))),  _xll.BDP($E19,N$2), "nmf")</f>
        <v>7100.61</v>
      </c>
      <c r="O19" t="str" cm="1">
        <f t="array" ref="O19">_xll.BDP(E19,O$2)</f>
        <v>09/04/2025</v>
      </c>
      <c r="P19" s="144" cm="1">
        <f t="array" ref="P19">_xll.BDP($E19,P$2)</f>
        <v>11.943964659409117</v>
      </c>
      <c r="Q19" s="153">
        <f>P19/T19-1</f>
        <v>0.34082832759787585</v>
      </c>
      <c r="R19" s="153">
        <f>$P19/U19-1</f>
        <v>0.17744734249665584</v>
      </c>
      <c r="S19" s="144" cm="1">
        <f t="array" ref="S19">_xll.BDP($E19,S$2)</f>
        <v>10.999486208618904</v>
      </c>
      <c r="T19" s="150">
        <f>MEDIAN(_xll.BDH($E19," best pe ratio","-7ay",""," be997=1gy","array=true"," dts=h"  ))</f>
        <v>8.9078999999999997</v>
      </c>
      <c r="U19" s="151">
        <f>T19+W19</f>
        <v>10.143948037695825</v>
      </c>
      <c r="V19" s="151">
        <f>T19-W19</f>
        <v>7.6718519623041743</v>
      </c>
      <c r="W19" s="150">
        <f>STDEV(_xll.BDH($E19," best pe ratio","-7ay",""," be997=1gy","array=true"," dts=h"  ))</f>
        <v>1.2360480376958252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2" cm="1">
        <f t="array" ref="H20">IF(ISNUMBER(_xlfn.SINGLE(_xll.BDP($E20,H$2))),  _xll.BDP($E20,H$2), "nmf")</f>
        <v>4139.9059999999999</v>
      </c>
      <c r="I20" s="153">
        <f t="shared" si="1"/>
        <v>0.5060129112618128</v>
      </c>
      <c r="J20" s="143" cm="1">
        <f t="array" ref="J20">IF(ISTEXT($E20),_xll.BDH($E20,"PX_LAST",J$2,J$2,"Fill=P","CDR=US"),"")</f>
        <v>2748.9180000000001</v>
      </c>
      <c r="K20" s="153">
        <f t="shared" si="0"/>
        <v>-1.2159777955200624E-2</v>
      </c>
      <c r="L20" s="143" cm="1">
        <f t="array" ref="L20">IF(ISNUMBER(_xlfn.SINGLE(_xll.BDP($E20,L$2))),  _xll.BDP($E20,L$2), "nmf")</f>
        <v>4190.866</v>
      </c>
      <c r="M20" t="str" cm="1">
        <f t="array" ref="M20">_xll.BDP(E20,M$2)</f>
        <v>14/01/2026</v>
      </c>
      <c r="N20" s="143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4" cm="1">
        <f t="array" ref="P20">_xll.BDP($E20,P$2)</f>
        <v>15.832483904557764</v>
      </c>
      <c r="Q20" s="153">
        <f>P20/T20-1</f>
        <v>0.29469885634268267</v>
      </c>
      <c r="R20" s="153">
        <f>$P20/U20-1</f>
        <v>0.16225695750557212</v>
      </c>
      <c r="S20" s="144" cm="1">
        <f t="array" ref="S20">_xll.BDP($E20,S$2)</f>
        <v>9.6546196591179996</v>
      </c>
      <c r="T20" s="150">
        <f>MEDIAN(_xll.BDH($E20," best pe ratio","-7ay",""," be997=1gy","array=true"," dts=h"  ))</f>
        <v>12.2287</v>
      </c>
      <c r="U20" s="151">
        <f>T20+W20</f>
        <v>13.622188968037957</v>
      </c>
      <c r="V20" s="151">
        <f>T20-W20</f>
        <v>10.835211031962043</v>
      </c>
      <c r="W20" s="150">
        <f>STDEV(_xll.BDH($E20," best pe ratio","-7ay",""," be997=1gy","array=true"," dts=h"  ))</f>
        <v>1.393488968037957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2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9" hidden="1" customWidth="1" outlineLevel="1"/>
    <col min="27" max="27" width="7.28515625" hidden="1" customWidth="1" outlineLevel="1"/>
    <col min="28" max="28" width="7" style="129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65">
        <f>D4-E4</f>
        <v>8.1976974662490674E-3</v>
      </c>
      <c r="AP1" s="23"/>
    </row>
    <row r="2" spans="1:47" outlineLevel="1">
      <c r="D2" s="7" t="s">
        <v>66</v>
      </c>
      <c r="E2" s="265">
        <f>D4+E4</f>
        <v>6.8681048928429115E-3</v>
      </c>
      <c r="Q2" s="179">
        <f ca="1">WORKDAY(Q3,-126)</f>
        <v>45873</v>
      </c>
      <c r="X2" s="179"/>
    </row>
    <row r="3" spans="1:47" s="7" customFormat="1" outlineLevel="1">
      <c r="A3"/>
      <c r="B3" s="22"/>
      <c r="C3" s="22"/>
      <c r="F3" s="22"/>
      <c r="G3"/>
      <c r="H3"/>
      <c r="I3"/>
      <c r="J3"/>
      <c r="K3"/>
      <c r="L3"/>
      <c r="M3"/>
      <c r="N3"/>
      <c r="O3"/>
      <c r="P3"/>
      <c r="Q3" s="179">
        <f ca="1">TODAY()</f>
        <v>46049</v>
      </c>
      <c r="R3"/>
      <c r="S3"/>
      <c r="T3"/>
      <c r="U3"/>
      <c r="V3"/>
      <c r="W3"/>
      <c r="X3" s="179"/>
      <c r="Y3"/>
      <c r="Z3" s="129"/>
      <c r="AA3"/>
      <c r="AB3" s="129"/>
      <c r="AC3"/>
      <c r="AD3"/>
      <c r="AE3"/>
      <c r="AF3"/>
      <c r="AG3"/>
      <c r="AM3" s="180">
        <f ca="1">WORKDAY($Q$3,-22)</f>
        <v>46017</v>
      </c>
      <c r="AN3" s="180">
        <f ca="1">WORKDAY($Q$3,-66)</f>
        <v>45957</v>
      </c>
      <c r="AO3" s="180"/>
      <c r="AR3" s="180"/>
      <c r="AS3" s="180"/>
      <c r="AT3" s="180"/>
    </row>
    <row r="4" spans="1:47" outlineLevel="1">
      <c r="C4" s="7" t="s">
        <v>70</v>
      </c>
      <c r="D4" s="265">
        <f>SUM(D8:D21)</f>
        <v>7.532901179545989E-3</v>
      </c>
      <c r="E4" s="265">
        <f>SUM(E8:E24)</f>
        <v>-6.6479628670307789E-4</v>
      </c>
      <c r="Q4" s="181" t="str">
        <f ca="1">YEAR($Q$2)&amp;TEXT(MONTH($Q$2),"00")&amp;TEXT(DAY($Q$2),"00")</f>
        <v>20250804</v>
      </c>
      <c r="X4" s="182"/>
    </row>
    <row r="5" spans="1:47" outlineLevel="1">
      <c r="C5" s="7" t="s">
        <v>91</v>
      </c>
      <c r="D5" s="265">
        <f>SUM(D22:D23)</f>
        <v>1.0752276875534653E-3</v>
      </c>
      <c r="Q5" s="181" t="str">
        <f ca="1">YEAR(TODAY())&amp;TEXT(MONTH(TODAY()),"00")&amp;TEXT(DAY(TODAY()),"00")</f>
        <v>20260127</v>
      </c>
      <c r="X5" s="182"/>
    </row>
    <row r="6" spans="1:47">
      <c r="AD6" s="183" t="s">
        <v>98</v>
      </c>
      <c r="AM6" t="s">
        <v>99</v>
      </c>
      <c r="AR6" t="s">
        <v>100</v>
      </c>
    </row>
    <row r="7" spans="1:47" s="185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84" t="s">
        <v>103</v>
      </c>
      <c r="AA7" s="11" t="s">
        <v>115</v>
      </c>
      <c r="AB7" s="184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54" t="s">
        <v>90</v>
      </c>
      <c r="C8" s="254" t="s">
        <v>89</v>
      </c>
      <c r="D8" s="255">
        <f>-E8</f>
        <v>0</v>
      </c>
      <c r="E8" s="255">
        <f>SUMIF(Tabelad[Ticker],PAIR_Monitor!C8,Tabelad[Exp %])</f>
        <v>0</v>
      </c>
      <c r="F8" s="254"/>
      <c r="G8" s="187" cm="1">
        <f t="array" ref="G8">_xll.BDP(B8&amp;" Equity","LAST PRICE")</f>
        <v>480.58</v>
      </c>
      <c r="H8" s="188" cm="1">
        <f t="array" ref="H8">G8/_xll.BDP(B8&amp;" Equity", "PREV_CLOSE_VAL")-1</f>
        <v>2.1901845708939272E-2</v>
      </c>
      <c r="I8" s="187" cm="1">
        <f t="array" ref="I8">_xll.BDP(C8&amp;" Equity","LAST PRICE")</f>
        <v>97.76</v>
      </c>
      <c r="J8" s="188" cm="1">
        <f t="array" ref="J8">I8/_xll.BDP(C8&amp;" Equity", "PREV_CLOSE_VAL")-1</f>
        <v>-1.0626454812265984E-2</v>
      </c>
      <c r="K8" s="189">
        <f t="shared" ref="K8:K18" si="1">G8/I8</f>
        <v>4.9159165302782322</v>
      </c>
      <c r="L8" s="188" cm="1">
        <f t="array" ref="L8">K8/(_xll.BDP(B8&amp;" Equity", "PREV_CLOSE_VAL")/_xll.BDP(C8&amp;" Equity", "PREV_CLOSE_VAL"))-1</f>
        <v>3.2877673634413851E-2</v>
      </c>
      <c r="M8" s="188"/>
      <c r="N8" s="190">
        <f t="shared" ref="N8:N18" si="2">ABS(L8/O8)</f>
        <v>2.8468189639540298</v>
      </c>
      <c r="O8" s="191">
        <f t="shared" ref="O8:O18" si="3">P8/15.87/100</f>
        <v>1.1548916194076877E-2</v>
      </c>
      <c r="P8" s="192" cm="1">
        <f t="array" ref="P8">_xll.BDP($A8&amp;" Index","VOLATILITY_30D")</f>
        <v>18.328130000000002</v>
      </c>
      <c r="Q8" s="192" cm="1">
        <f t="array" aca="1" ref="Q8" ca="1">(_xll.BDP(($B8&amp; " Equity"),"CORR_COEF", "BETA_OVERRIDE_REL_INDEX",($C8&amp; " Equity"),"BETA_OVERRIDE_END_DT",$Q$5,"BETA_OVERRIDE_START_DT",$Q$4))*100</f>
        <v>71.930808636903492</v>
      </c>
      <c r="R8" s="188"/>
      <c r="S8" s="188" cm="1">
        <f t="array" ref="S8">_xll.BDP($A8&amp;" Index","CHG_PCT_2D")/100</f>
        <v>3.1420910000000003E-2</v>
      </c>
      <c r="T8" s="188" cm="1">
        <f t="array" ref="T8">_xll.BDP($A8&amp;" Index","CHG_PCT_5D")/100</f>
        <v>3.8096359999999996E-2</v>
      </c>
      <c r="U8" s="188" cm="1">
        <f t="array" ref="U8">K8/_xll.BDP($A8&amp;" Index","HIGH_52WEEK")-1</f>
        <v>1.766168390639522E-2</v>
      </c>
      <c r="V8" s="188" cm="1">
        <f t="array" ref="V8">K8/_xll.BDP($A8&amp;" Index","LOW_52WEEK")-1</f>
        <v>0.29402320917893743</v>
      </c>
      <c r="W8" s="188"/>
      <c r="X8" s="192" cm="1">
        <f t="array" ref="X8">_xll.BDP($A8&amp;" Index","RSI_14D")</f>
        <v>64.146240000000006</v>
      </c>
      <c r="Y8" s="193"/>
      <c r="Z8" s="194">
        <f t="shared" ref="Z8:Z18" si="4">Y8/K8-1</f>
        <v>-1</v>
      </c>
      <c r="AA8" s="193"/>
      <c r="AB8" s="194">
        <f t="shared" ref="AB8:AB18" si="5">AA8/K8-1</f>
        <v>-1</v>
      </c>
      <c r="AC8" s="193">
        <v>4.37</v>
      </c>
      <c r="AD8" s="188">
        <f t="shared" ref="AD8:AD18" si="6">K8/AC8-1</f>
        <v>0.12492369113918356</v>
      </c>
      <c r="AE8" s="188"/>
      <c r="AF8" s="195">
        <f>IF(ISTEXT(B8),_xll.BDP(B8 &amp; " Equity","EXPECTED_REPORT_DT")*1,"")</f>
        <v>46050</v>
      </c>
      <c r="AG8" s="195" t="e">
        <f>IF(ISTEXT(C8),_xll.BDP(C8 &amp; " Equity","EXPECTED_REPORT_DT")*1,"")</f>
        <v>#VALUE!</v>
      </c>
      <c r="AH8" s="196" cm="1">
        <f t="array" ref="AH8">(_xll.BDP(B8&amp;" Equity","SHORT_INT")/_xll.BDP(B8&amp;" Equity","VOLUME_AVG_90D"))</f>
        <v>2.2854456949804818</v>
      </c>
      <c r="AI8" s="196" t="e" cm="1">
        <f t="array" ref="AI8">(_xll.BDP(C8&amp;" Equity","SHORT_INT")/_xll.BDP(C8&amp;" Equity","VOLUME_AVG_90D"))</f>
        <v>#VALUE!</v>
      </c>
      <c r="AJ8" s="196" cm="1">
        <f t="array" ref="AJ8">(_xll.BDP(B8&amp;" Equity","SHORT_INT"))/((_xll.BDP(B8&amp;" Equity","EQY_FREE_FLOAT_PCT"))*(_xll.BDP(B8&amp;" Equity","EQY_SH_OUT_TOT_MULT_SH")))/100</f>
        <v>0.71260347750547026</v>
      </c>
      <c r="AK8" s="196" t="e" cm="1">
        <f t="array" ref="AK8">(_xll.BDP(C8&amp;" Equity","SHORT_INT"))/((_xll.BDP(C8&amp;" Equity","EQY_FREE_FLOAT_PCT"))*(_xll.BDP(C8&amp;" Equity","EQY_SH_OUT_TOT_MULT_SH")))/100</f>
        <v>#VALUE!</v>
      </c>
      <c r="AM8" s="194">
        <f ca="1">IF(ISTEXT(B8),AP8/_xll.BDH(B8 &amp;  " Equity","BEST_EPS",$AM$3,$AM$3,"BEST_FPERIOD_OVERRIDE=1BF","CDR=US","Fill=p")-1,"")</f>
        <v>1.5163745387453798E-2</v>
      </c>
      <c r="AN8" s="194">
        <f ca="1">IF(ISTEXT(B8),AP8/_xll.BDH(B8 &amp;  " Equity","BEST_EPS",$AN$3,$AN$3,"BEST_FPERIOD_OVERRIDE=1BF","CDR=US","Fill=p")-1,"")</f>
        <v>6.6703017084696503E-2</v>
      </c>
      <c r="AO8" s="196">
        <f t="shared" ref="AO8:AO18" ca="1" si="7">G8/AP8</f>
        <v>27.29482592150849</v>
      </c>
      <c r="AP8" s="196" cm="1">
        <f t="array" aca="1" ref="AP8" ca="1">IF(ISTEXT(B8),_xll.BDH(B8 &amp;  " Equity","BEST_EPS",$Q$3,$Q$3,"BEST_FPERIOD_OVERRIDE=1BF","CDR=US","Fill=p"),"")</f>
        <v>17.606999999999999</v>
      </c>
      <c r="AR8" s="194" t="e">
        <f ca="1">IF(ISTEXT(C8),AU8/_xll.BDH(C8 &amp;  " Equity","BEST_EPS",$AM$3,$AM$3,"BEST_FPERIOD_OVERRIDE=1BF","CDR=US","Fill=p")-1,"")</f>
        <v>#VALUE!</v>
      </c>
      <c r="AS8" s="194" t="e">
        <f ca="1">IF(ISTEXT(C8),AU8/_xll.BDH(C8 &amp;  " Equity","BEST_EPS",$AN$3,$AN$3,"BEST_FPERIOD_OVERRIDE=1BF","CDR=US","Fill=p")-1,"")</f>
        <v>#VALUE!</v>
      </c>
      <c r="AT8" s="196" t="e">
        <f t="shared" ref="AT8:AT18" ca="1" si="8">I8/AU8</f>
        <v>#VALUE!</v>
      </c>
      <c r="AU8" s="196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54" t="s">
        <v>90</v>
      </c>
      <c r="C9" s="254" t="s">
        <v>4</v>
      </c>
      <c r="D9" s="255">
        <f>-E9</f>
        <v>9.5440040783250095E-4</v>
      </c>
      <c r="E9" s="255">
        <f>SUMIF(Tabelad[Ticker],PAIR_Monitor!C9,Tabelad[Exp %])</f>
        <v>-9.5440040783250095E-4</v>
      </c>
      <c r="F9" s="254"/>
      <c r="G9" s="187" cm="1">
        <f t="array" ref="G9">_xll.BDP(B9&amp;" Equity","LAST PRICE")</f>
        <v>480.58</v>
      </c>
      <c r="H9" s="188" cm="1">
        <f t="array" ref="H9">G9/_xll.BDP(B9&amp;" Equity", "PREV_CLOSE_VAL")-1</f>
        <v>2.1901845708939272E-2</v>
      </c>
      <c r="I9" s="187" cm="1">
        <f t="array" ref="I9">_xll.BDP(C9&amp;" Equity","LAST PRICE")</f>
        <v>83.16</v>
      </c>
      <c r="J9" s="188" cm="1">
        <f t="array" ref="J9">I9/_xll.BDP(C9&amp;" Equity", "PREV_CLOSE_VAL")-1</f>
        <v>4.5904807924619373E-3</v>
      </c>
      <c r="K9" s="189">
        <f t="shared" si="1"/>
        <v>5.7789802789802787</v>
      </c>
      <c r="L9" s="188" cm="1">
        <f t="array" ref="L9">K9/(_xll.BDP(B9&amp;" Equity", "PREV_CLOSE_VAL")/_xll.BDP(C9&amp;" Equity", "PREV_CLOSE_VAL"))-1</f>
        <v>1.723226055538718E-2</v>
      </c>
      <c r="M9" s="188"/>
      <c r="N9" s="190">
        <f t="shared" si="2"/>
        <v>1.0106397191320171</v>
      </c>
      <c r="O9" s="191">
        <f t="shared" si="3"/>
        <v>1.7050844360428485E-2</v>
      </c>
      <c r="P9" s="192" cm="1">
        <f t="array" ref="P9">_xll.BDP($A9&amp;" Index","VOLATILITY_30D")</f>
        <v>27.05969</v>
      </c>
      <c r="Q9" s="192" cm="1">
        <f t="array" aca="1" ref="Q9" ca="1">(_xll.BDP(($B9&amp; " Equity"),"CORR_COEF", "BETA_OVERRIDE_REL_INDEX",($C9&amp; " Equity"),"BETA_OVERRIDE_END_DT",$Q$5,"BETA_OVERRIDE_START_DT",$Q$4))*100</f>
        <v>-7.2549145120332721</v>
      </c>
      <c r="R9" s="188"/>
      <c r="S9" s="188" cm="1">
        <f t="array" ref="S9">_xll.BDP($A9&amp;" Index","CHG_PCT_2D")/100</f>
        <v>2.7870539999999999E-2</v>
      </c>
      <c r="T9" s="188" cm="1">
        <f t="array" ref="T9">_xll.BDP($A9&amp;" Index","CHG_PCT_5D")/100</f>
        <v>4.6728779999999998E-2</v>
      </c>
      <c r="U9" s="188" cm="1">
        <f t="array" ref="U9">K9/_xll.BDP($A9&amp;" Index","HIGH_52WEEK")-1</f>
        <v>-0.18280067721007587</v>
      </c>
      <c r="V9" s="188" cm="1">
        <f t="array" ref="V9">K9/_xll.BDP($A9&amp;" Index","LOW_52WEEK")-1</f>
        <v>0.30490493263882956</v>
      </c>
      <c r="W9" s="188"/>
      <c r="X9" s="192" cm="1">
        <f t="array" ref="X9">_xll.BDP($A9&amp;" Index","RSI_14D")</f>
        <v>41.359180000000002</v>
      </c>
      <c r="Y9" s="193"/>
      <c r="Z9" s="194">
        <f t="shared" si="4"/>
        <v>-1</v>
      </c>
      <c r="AA9" s="193"/>
      <c r="AB9" s="194">
        <f t="shared" si="5"/>
        <v>-1</v>
      </c>
      <c r="AC9" s="193">
        <v>5.54</v>
      </c>
      <c r="AD9" s="188">
        <f t="shared" si="6"/>
        <v>4.3137234472974573E-2</v>
      </c>
      <c r="AE9" s="188"/>
      <c r="AF9" s="195">
        <f>IF(ISTEXT(B9),_xll.BDP(B9 &amp; " Equity","EXPECTED_REPORT_DT")*1,"")</f>
        <v>46050</v>
      </c>
      <c r="AG9" s="195" t="e">
        <f>IF(ISTEXT(C9),_xll.BDP(C9 &amp; " Equity","EXPECTED_REPORT_DT")*1,"")</f>
        <v>#VALUE!</v>
      </c>
      <c r="AH9" s="196" cm="1">
        <f t="array" ref="AH9">(_xll.BDP(B9&amp;" Equity","SHORT_INT")/_xll.BDP(B9&amp;" Equity","VOLUME_AVG_90D"))</f>
        <v>2.2854456949804818</v>
      </c>
      <c r="AI9" s="196" cm="1">
        <f t="array" ref="AI9">(_xll.BDP(C9&amp;" Equity","SHORT_INT")/_xll.BDP(C9&amp;" Equity","VOLUME_AVG_90D"))</f>
        <v>2.330682954270793</v>
      </c>
      <c r="AJ9" s="196" cm="1">
        <f t="array" ref="AJ9">(_xll.BDP(B9&amp;" Equity","SHORT_INT"))/((_xll.BDP(B9&amp;" Equity","EQY_FREE_FLOAT_PCT"))*(_xll.BDP(B9&amp;" Equity","EQY_SH_OUT_TOT_MULT_SH")))/100</f>
        <v>0.71260347750547026</v>
      </c>
      <c r="AK9" s="196" t="e" cm="1">
        <f t="array" ref="AK9">(_xll.BDP(C9&amp;" Equity","SHORT_INT"))/((_xll.BDP(C9&amp;" Equity","EQY_FREE_FLOAT_PCT"))*(_xll.BDP(C9&amp;" Equity","EQY_SH_OUT_TOT_MULT_SH")))/100</f>
        <v>#VALUE!</v>
      </c>
      <c r="AM9" s="194">
        <f ca="1">IF(ISTEXT(B9),AP9/_xll.BDH(B9 &amp;  " Equity","BEST_EPS",$AM$3,$AM$3,"BEST_FPERIOD_OVERRIDE=1BF","CDR=US","Fill=p")-1,"")</f>
        <v>1.5163745387453798E-2</v>
      </c>
      <c r="AN9" s="194">
        <f ca="1">IF(ISTEXT(B9),AP9/_xll.BDH(B9 &amp;  " Equity","BEST_EPS",$AN$3,$AN$3,"BEST_FPERIOD_OVERRIDE=1BF","CDR=US","Fill=p")-1,"")</f>
        <v>6.6703017084696503E-2</v>
      </c>
      <c r="AO9" s="196">
        <f t="shared" ca="1" si="7"/>
        <v>27.29482592150849</v>
      </c>
      <c r="AP9" s="196" cm="1">
        <f t="array" aca="1" ref="AP9" ca="1">IF(ISTEXT(B9),_xll.BDH(B9 &amp;  " Equity","BEST_EPS",$Q$3,$Q$3,"BEST_FPERIOD_OVERRIDE=1BF","CDR=US","Fill=p"),"")</f>
        <v>17.606999999999999</v>
      </c>
      <c r="AR9" s="194" t="e">
        <f ca="1">IF(ISTEXT(C9),AU9/_xll.BDH(C9 &amp;  " Equity","BEST_EPS",$AM$3,$AM$3,"BEST_FPERIOD_OVERRIDE=1BF","CDR=US","Fill=p")-1,"")</f>
        <v>#VALUE!</v>
      </c>
      <c r="AS9" s="194" t="e">
        <f ca="1">IF(ISTEXT(C9),AU9/_xll.BDH(C9 &amp;  " Equity","BEST_EPS",$AN$3,$AN$3,"BEST_FPERIOD_OVERRIDE=1BF","CDR=US","Fill=p")-1,"")</f>
        <v>#VALUE!</v>
      </c>
      <c r="AT9" s="196" t="e">
        <f t="shared" ca="1" si="8"/>
        <v>#VALUE!</v>
      </c>
      <c r="AU9" s="196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54" t="s">
        <v>81</v>
      </c>
      <c r="C10" s="254" t="s">
        <v>0</v>
      </c>
      <c r="D10" s="255">
        <f>-E10</f>
        <v>0</v>
      </c>
      <c r="E10" s="255">
        <f>SUMIF(Tabelad[Ticker],PAIR_Monitor!C10,Tabelad[Exp %])</f>
        <v>0</v>
      </c>
      <c r="F10" s="254"/>
      <c r="G10" s="256" cm="1">
        <f t="array" ref="G10">_xll.BDP(B10&amp;" Equity","LAST PRICE")</f>
        <v>672.97</v>
      </c>
      <c r="H10" s="257" cm="1">
        <f t="array" ref="H10">G10/_xll.BDP(B10&amp;" Equity", "PREV_CLOSE_VAL")-1</f>
        <v>9.0725206734498798E-4</v>
      </c>
      <c r="I10" s="256" cm="1">
        <f t="array" ref="I10">_xll.BDP(C10&amp;" Equity","LAST PRICE")</f>
        <v>695.49</v>
      </c>
      <c r="J10" s="257" cm="1">
        <f t="array" ref="J10">I10/_xll.BDP(C10&amp;" Equity", "PREV_CLOSE_VAL")-1</f>
        <v>3.9842362825344146E-3</v>
      </c>
      <c r="K10" s="258">
        <f t="shared" si="1"/>
        <v>0.96761995140117041</v>
      </c>
      <c r="L10" s="257" cm="1">
        <f t="array" ref="L10">K10/(_xll.BDP(B10&amp;" Equity", "PREV_CLOSE_VAL")/_xll.BDP(C10&amp;" Equity", "PREV_CLOSE_VAL"))-1</f>
        <v>-3.0647734336772814E-3</v>
      </c>
      <c r="M10" s="257"/>
      <c r="N10" s="190">
        <f t="shared" si="2"/>
        <v>0.21292503354436354</v>
      </c>
      <c r="O10" s="191">
        <f t="shared" si="3"/>
        <v>1.4393673597983617E-2</v>
      </c>
      <c r="P10" s="259" cm="1">
        <f t="array" ref="P10">_xll.BDP($A10&amp;" Index","VOLATILITY_30D")</f>
        <v>22.842759999999998</v>
      </c>
      <c r="Q10" s="259" cm="1">
        <f t="array" aca="1" ref="Q10" ca="1">(_xll.BDP(($B10&amp; " Equity"),"CORR_COEF", "BETA_OVERRIDE_REL_INDEX",($C10&amp; " Equity"),"BETA_OVERRIDE_END_DT",$Q$5,"BETA_OVERRIDE_START_DT",$Q$4))*100</f>
        <v>42.682205791330098</v>
      </c>
      <c r="R10" s="257"/>
      <c r="S10" s="257" cm="1">
        <f t="array" ref="S10">_xll.BDP($A10&amp;" Index","CHG_PCT_2D")/100</f>
        <v>1.358958E-2</v>
      </c>
      <c r="T10" s="257" cm="1">
        <f t="array" ref="T10">_xll.BDP($A10&amp;" Index","CHG_PCT_5D")/100</f>
        <v>8.6582010000000001E-2</v>
      </c>
      <c r="U10" s="257" cm="1">
        <f t="array" ref="U10">K10/_xll.BDP($A10&amp;" Index","HIGH_52WEEK")-1</f>
        <v>-0.21334909036122895</v>
      </c>
      <c r="V10" s="257" cm="1">
        <f t="array" ref="V10">K10/_xll.BDP($A10&amp;" Index","LOW_52WEEK")-1</f>
        <v>8.615168475891033E-2</v>
      </c>
      <c r="W10" s="257"/>
      <c r="X10" s="259" cm="1">
        <f t="array" ref="X10">_xll.BDP($A10&amp;" Index","RSI_14D")</f>
        <v>61.055309999999999</v>
      </c>
      <c r="Y10" s="258"/>
      <c r="Z10" s="260">
        <f t="shared" si="4"/>
        <v>-1</v>
      </c>
      <c r="AA10" s="258"/>
      <c r="AB10" s="260">
        <f t="shared" si="5"/>
        <v>-1</v>
      </c>
      <c r="AC10" s="193">
        <v>1.1000000000000001</v>
      </c>
      <c r="AD10" s="257">
        <f t="shared" si="6"/>
        <v>-0.12034549872620881</v>
      </c>
      <c r="AE10" s="257"/>
      <c r="AF10" s="261">
        <f>IF(ISTEXT(B10),_xll.BDP(B10 &amp; " Equity","EXPECTED_REPORT_DT")*1,"")</f>
        <v>46050</v>
      </c>
      <c r="AG10" s="261" t="e">
        <f>IF(ISTEXT(C10),_xll.BDP(C10 &amp; " Equity","EXPECTED_REPORT_DT")*1,"")</f>
        <v>#VALUE!</v>
      </c>
      <c r="AH10" s="262" cm="1">
        <f t="array" ref="AH10">(_xll.BDP(B10&amp;" Equity","SHORT_INT")/_xll.BDP(B10&amp;" Equity","VOLUME_AVG_90D"))</f>
        <v>1.9516890748673252</v>
      </c>
      <c r="AI10" s="262" cm="1">
        <f t="array" ref="AI10">(_xll.BDP(C10&amp;" Equity","SHORT_INT")/_xll.BDP(C10&amp;" Equity","VOLUME_AVG_90D"))</f>
        <v>1.3396166022917124</v>
      </c>
      <c r="AJ10" s="262" cm="1">
        <f t="array" ref="AJ10">(_xll.BDP(B10&amp;" Equity","SHORT_INT"))/((_xll.BDP(B10&amp;" Equity","EQY_FREE_FLOAT_PCT"))*(_xll.BDP(B10&amp;" Equity","EQY_SH_OUT_TOT_MULT_SH")))/100</f>
        <v>1.315029992310595</v>
      </c>
      <c r="AK10" s="262" t="e" cm="1">
        <f t="array" ref="AK10">(_xll.BDP(C10&amp;" Equity","SHORT_INT"))/((_xll.BDP(C10&amp;" Equity","EQY_FREE_FLOAT_PCT"))*(_xll.BDP(C10&amp;" Equity","EQY_SH_OUT_TOT_MULT_SH")))/100</f>
        <v>#VALUE!</v>
      </c>
      <c r="AM10" s="260">
        <f ca="1">IF(ISTEXT(B10),AP10/_xll.BDH(B10 &amp;  " Equity","BEST_EPS",$AM$3,$AM$3,"BEST_FPERIOD_OVERRIDE=1BF","CDR=US","Fill=p")-1,"")</f>
        <v>2.1392781061537969E-2</v>
      </c>
      <c r="AN10" s="260">
        <f ca="1">IF(ISTEXT(B10),AP10/_xll.BDH(B10 &amp;  " Equity","BEST_EPS",$AN$3,$AN$3,"BEST_FPERIOD_OVERRIDE=1BF","CDR=US","Fill=p")-1,"")</f>
        <v>-1.0637061148570104E-2</v>
      </c>
      <c r="AO10" s="262">
        <f t="shared" ca="1" si="7"/>
        <v>19.768814993243641</v>
      </c>
      <c r="AP10" s="262" cm="1">
        <f t="array" aca="1" ref="AP10" ca="1">IF(ISTEXT(B10),_xll.BDH(B10 &amp;  " Equity","BEST_EPS",$Q$3,$Q$3,"BEST_FPERIOD_OVERRIDE=1BF","CDR=US","Fill=p"),"")</f>
        <v>34.042000000000002</v>
      </c>
      <c r="AR10" s="260" t="e">
        <f ca="1">IF(ISTEXT(C10),AU10/_xll.BDH(C10 &amp;  " Equity","BEST_EPS",$AM$3,$AM$3,"BEST_FPERIOD_OVERRIDE=1BF","CDR=US","Fill=p")-1,"")</f>
        <v>#VALUE!</v>
      </c>
      <c r="AS10" s="260" t="e">
        <f ca="1">IF(ISTEXT(C10),AU10/_xll.BDH(C10 &amp;  " Equity","BEST_EPS",$AN$3,$AN$3,"BEST_FPERIOD_OVERRIDE=1BF","CDR=US","Fill=p")-1,"")</f>
        <v>#VALUE!</v>
      </c>
      <c r="AT10" s="262" t="e">
        <f t="shared" ca="1" si="8"/>
        <v>#VALUE!</v>
      </c>
      <c r="AU10" s="262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54" t="s">
        <v>81</v>
      </c>
      <c r="C11" s="254" t="s">
        <v>79</v>
      </c>
      <c r="D11" s="255">
        <f>-E11</f>
        <v>-1.3688665946488391E-3</v>
      </c>
      <c r="E11" s="255">
        <f>SUMIF(Tabelad[Ticker],PAIR_Monitor!C11,Tabelad[Exp %])</f>
        <v>1.3688665946488391E-3</v>
      </c>
      <c r="F11" s="254"/>
      <c r="G11" s="256" cm="1">
        <f t="array" ref="G11">_xll.BDP(B11&amp;" Equity","LAST PRICE")</f>
        <v>672.97</v>
      </c>
      <c r="H11" s="257" cm="1">
        <f t="array" ref="H11">G11/_xll.BDP(B11&amp;" Equity", "PREV_CLOSE_VAL")-1</f>
        <v>9.0725206734498798E-4</v>
      </c>
      <c r="I11" s="256" cm="1">
        <f t="array" ref="I11">_xll.BDP(C11&amp;" Equity","LAST PRICE")</f>
        <v>258.27</v>
      </c>
      <c r="J11" s="257" cm="1">
        <f t="array" ref="J11">I11/_xll.BDP(C11&amp;" Equity", "PREV_CLOSE_VAL")-1</f>
        <v>1.1197682158098576E-2</v>
      </c>
      <c r="K11" s="258">
        <f t="shared" si="1"/>
        <v>2.6056839741355948</v>
      </c>
      <c r="L11" s="257" cm="1">
        <f t="array" ref="L11">K11/(_xll.BDP(B11&amp;" Equity", "PREV_CLOSE_VAL")/_xll.BDP(C11&amp;" Equity", "PREV_CLOSE_VAL"))-1</f>
        <v>-1.0176477134314577E-2</v>
      </c>
      <c r="M11" s="257"/>
      <c r="N11" s="190">
        <f t="shared" si="2"/>
        <v>0.60120595113751141</v>
      </c>
      <c r="O11" s="191">
        <f t="shared" si="3"/>
        <v>1.6926773787019535E-2</v>
      </c>
      <c r="P11" s="259" cm="1">
        <f t="array" ref="P11">_xll.BDP($A11&amp;" Index","VOLATILITY_30D")</f>
        <v>26.86279</v>
      </c>
      <c r="Q11" s="259" cm="1">
        <f t="array" aca="1" ref="Q11" ca="1">(_xll.BDP(($B11&amp; " Equity"),"CORR_COEF", "BETA_OVERRIDE_REL_INDEX",($C11&amp; " Equity"),"BETA_OVERRIDE_END_DT",$Q$5,"BETA_OVERRIDE_START_DT",$Q$4))*100</f>
        <v>1.3396138416044372</v>
      </c>
      <c r="R11" s="257"/>
      <c r="S11" s="257" cm="1">
        <f t="array" ref="S11">_xll.BDP($A11&amp;" Index","CHG_PCT_2D")/100</f>
        <v>-1.9056709999999998E-2</v>
      </c>
      <c r="T11" s="257" cm="1">
        <f t="array" ref="T11">_xll.BDP($A11&amp;" Index","CHG_PCT_5D")/100</f>
        <v>6.3886700000000005E-2</v>
      </c>
      <c r="U11" s="257" cm="1">
        <f t="array" ref="U11">K11/_xll.BDP($A11&amp;" Index","HIGH_52WEEK")-1</f>
        <v>-0.31750858478860244</v>
      </c>
      <c r="V11" s="257" cm="1">
        <f t="array" ref="V11">K11/_xll.BDP($A11&amp;" Index","LOW_52WEEK")-1</f>
        <v>0.19043514819909757</v>
      </c>
      <c r="W11" s="257"/>
      <c r="X11" s="259" cm="1">
        <f t="array" ref="X11">_xll.BDP($A11&amp;" Index","RSI_14D")</f>
        <v>66.258610000000004</v>
      </c>
      <c r="Y11" s="258"/>
      <c r="Z11" s="260">
        <f t="shared" si="4"/>
        <v>-1</v>
      </c>
      <c r="AA11" s="258"/>
      <c r="AB11" s="260">
        <f t="shared" si="5"/>
        <v>-1</v>
      </c>
      <c r="AC11" s="193">
        <v>3.04</v>
      </c>
      <c r="AD11" s="257">
        <f t="shared" si="6"/>
        <v>-0.14286711377118588</v>
      </c>
      <c r="AE11" s="257"/>
      <c r="AF11" s="261">
        <f>IF(ISTEXT(B11),_xll.BDP(B11 &amp; " Equity","EXPECTED_REPORT_DT")*1,"")</f>
        <v>46050</v>
      </c>
      <c r="AG11" s="261">
        <f>IF(ISTEXT(C11),_xll.BDP(C11 &amp; " Equity","EXPECTED_REPORT_DT")*1,"")</f>
        <v>46051</v>
      </c>
      <c r="AH11" s="262" cm="1">
        <f t="array" ref="AH11">(_xll.BDP(B11&amp;" Equity","SHORT_INT")/_xll.BDP(B11&amp;" Equity","VOLUME_AVG_90D"))</f>
        <v>1.9516890748673252</v>
      </c>
      <c r="AI11" s="262" cm="1">
        <f t="array" ref="AI11">(_xll.BDP(C11&amp;" Equity","SHORT_INT")/_xll.BDP(C11&amp;" Equity","VOLUME_AVG_90D"))</f>
        <v>2.3429919939119048</v>
      </c>
      <c r="AJ11" s="262" cm="1">
        <f t="array" ref="AJ11">(_xll.BDP(B11&amp;" Equity","SHORT_INT"))/((_xll.BDP(B11&amp;" Equity","EQY_FREE_FLOAT_PCT"))*(_xll.BDP(B11&amp;" Equity","EQY_SH_OUT_TOT_MULT_SH")))/100</f>
        <v>1.315029992310595</v>
      </c>
      <c r="AK11" s="262" cm="1">
        <f t="array" ref="AK11">(_xll.BDP(C11&amp;" Equity","SHORT_INT"))/((_xll.BDP(C11&amp;" Equity","EQY_FREE_FLOAT_PCT"))*(_xll.BDP(C11&amp;" Equity","EQY_SH_OUT_TOT_MULT_SH")))/100</f>
        <v>0.78048981334343837</v>
      </c>
      <c r="AM11" s="260">
        <f ca="1">IF(ISTEXT(B11),AP11/_xll.BDH(B11 &amp;  " Equity","BEST_EPS",$AM$3,$AM$3,"BEST_FPERIOD_OVERRIDE=1BF","CDR=US","Fill=p")-1,"")</f>
        <v>2.1392781061537969E-2</v>
      </c>
      <c r="AN11" s="260">
        <f ca="1">IF(ISTEXT(B11),AP11/_xll.BDH(B11 &amp;  " Equity","BEST_EPS",$AN$3,$AN$3,"BEST_FPERIOD_OVERRIDE=1BF","CDR=US","Fill=p")-1,"")</f>
        <v>-1.0637061148570104E-2</v>
      </c>
      <c r="AO11" s="262">
        <f t="shared" ca="1" si="7"/>
        <v>19.768814993243641</v>
      </c>
      <c r="AP11" s="262" cm="1">
        <f t="array" aca="1" ref="AP11" ca="1">IF(ISTEXT(B11),_xll.BDH(B11 &amp;  " Equity","BEST_EPS",$Q$3,$Q$3,"BEST_FPERIOD_OVERRIDE=1BF","CDR=US","Fill=p"),"")</f>
        <v>34.042000000000002</v>
      </c>
      <c r="AR11" s="260">
        <f ca="1">IF(ISTEXT(C11),AU11/_xll.BDH(C11 &amp;  " Equity","BEST_EPS",$AM$3,$AM$3,"BEST_FPERIOD_OVERRIDE=1BF","CDR=US","Fill=p")-1,"")</f>
        <v>7.917749940912433E-3</v>
      </c>
      <c r="AS11" s="260">
        <f ca="1">IF(ISTEXT(C11),AU11/_xll.BDH(C11 &amp;  " Equity","BEST_EPS",$AN$3,$AN$3,"BEST_FPERIOD_OVERRIDE=1BF","CDR=US","Fill=p")-1,"")</f>
        <v>5.062823355506274E-2</v>
      </c>
      <c r="AT11" s="262">
        <f t="shared" ca="1" si="8"/>
        <v>30.281392894829402</v>
      </c>
      <c r="AU11" s="262" cm="1">
        <f t="array" aca="1" ref="AU11" ca="1">IF(ISTEXT(C11),_xll.BDH(C11 &amp;  " Equity","BEST_EPS",$Q$3,$Q$3,"BEST_FPERIOD_OVERRIDE=1BF","CDR=US","Fill=p"),"")</f>
        <v>8.5289999999999999</v>
      </c>
    </row>
    <row r="12" spans="1:47">
      <c r="A12" t="str">
        <f t="shared" si="0"/>
        <v>.BKNGABNB</v>
      </c>
      <c r="B12" s="254" t="s">
        <v>128</v>
      </c>
      <c r="C12" s="254" t="s">
        <v>129</v>
      </c>
      <c r="D12" s="255">
        <f>SUMIF(Tabelad[Ticker],PAIR_Monitor!B12,Tabelad[Exp %])</f>
        <v>0</v>
      </c>
      <c r="E12" s="255">
        <f>SUMIF(Tabelad[Ticker],PAIR_Monitor!C12,Tabelad[Exp %])</f>
        <v>0</v>
      </c>
      <c r="F12" s="254"/>
      <c r="G12" s="187" cm="1">
        <f t="array" ref="G12">_xll.BDP(B12&amp;" Equity","LAST PRICE")</f>
        <v>5153.41</v>
      </c>
      <c r="H12" s="188" cm="1">
        <f t="array" ref="H12">G12/_xll.BDP(B12&amp;" Equity", "PREV_CLOSE_VAL")-1</f>
        <v>9.0322050093201156E-3</v>
      </c>
      <c r="I12" s="187" cm="1">
        <f t="array" ref="I12">_xll.BDP(C12&amp;" Equity","LAST PRICE")</f>
        <v>132.22</v>
      </c>
      <c r="J12" s="188" cm="1">
        <f t="array" ref="J12">I12/_xll.BDP(C12&amp;" Equity", "PREV_CLOSE_VAL")-1</f>
        <v>-8.7712722093109541E-3</v>
      </c>
      <c r="K12" s="189">
        <f t="shared" si="1"/>
        <v>38.976024807139616</v>
      </c>
      <c r="L12" s="188" cm="1">
        <f t="array" ref="L12">K12/(_xll.BDP(B12&amp;" Equity", "PREV_CLOSE_VAL")/_xll.BDP(C12&amp;" Equity", "PREV_CLOSE_VAL"))-1</f>
        <v>1.7961018198405565E-2</v>
      </c>
      <c r="M12" s="188"/>
      <c r="N12" s="190">
        <f t="shared" si="2"/>
        <v>1.3215362405787967</v>
      </c>
      <c r="O12" s="191">
        <f t="shared" si="3"/>
        <v>1.3591014492753623E-2</v>
      </c>
      <c r="P12" s="192" cm="1">
        <f t="array" ref="P12">_xll.BDP($A12&amp;" Index","VOLATILITY_30D")</f>
        <v>21.568940000000001</v>
      </c>
      <c r="Q12" s="192" cm="1">
        <f t="array" aca="1" ref="Q12" ca="1">(_xll.BDP(($B12&amp; " Equity"),"CORR_COEF", "BETA_OVERRIDE_REL_INDEX",($C12&amp; " Equity"),"BETA_OVERRIDE_END_DT",$Q$5,"BETA_OVERRIDE_START_DT",$Q$4))*100</f>
        <v>73.876704086698368</v>
      </c>
      <c r="R12" s="188"/>
      <c r="S12" s="188" cm="1">
        <f t="array" ref="S12">_xll.BDP($A12&amp;" Index","CHG_PCT_2D")/100</f>
        <v>8.4574960000000001E-3</v>
      </c>
      <c r="T12" s="188" cm="1">
        <f t="array" ref="T12">_xll.BDP($A12&amp;" Index","CHG_PCT_5D")/100</f>
        <v>1.1810689999999999E-2</v>
      </c>
      <c r="U12" s="188" cm="1">
        <f t="array" ref="U12">K12/_xll.BDP($A12&amp;" Index","HIGH_52WEEK")-1</f>
        <v>-0.15617132016714586</v>
      </c>
      <c r="V12" s="188" cm="1">
        <f t="array" ref="V12">K12/_xll.BDP($A12&amp;" Index","LOW_52WEEK")-1</f>
        <v>0.24722680713979339</v>
      </c>
      <c r="W12" s="188"/>
      <c r="X12" s="192" cm="1">
        <f t="array" ref="X12">_xll.BDP($A12&amp;" Index","RSI_14D")</f>
        <v>39.558619999999998</v>
      </c>
      <c r="Y12" s="193"/>
      <c r="Z12" s="194">
        <f t="shared" si="4"/>
        <v>-1</v>
      </c>
      <c r="AA12" s="193"/>
      <c r="AB12" s="194">
        <f t="shared" si="5"/>
        <v>-1</v>
      </c>
      <c r="AC12" s="193">
        <v>38.71</v>
      </c>
      <c r="AD12" s="188">
        <f t="shared" si="6"/>
        <v>6.8722502490212722E-3</v>
      </c>
      <c r="AE12" s="188"/>
      <c r="AF12" s="195">
        <f>IF(ISTEXT(B12),_xll.BDP(B12 &amp; " Equity","EXPECTED_REPORT_DT")*1,"")</f>
        <v>46071</v>
      </c>
      <c r="AG12" s="195">
        <f>IF(ISTEXT(C12),_xll.BDP(C12 &amp; " Equity","EXPECTED_REPORT_DT")*1,"")</f>
        <v>46066</v>
      </c>
      <c r="AH12" s="196" cm="1">
        <f t="array" ref="AH12">(_xll.BDP(B12&amp;" Equity","SHORT_INT")/_xll.BDP(B12&amp;" Equity","VOLUME_AVG_90D"))</f>
        <v>2.641606359480706</v>
      </c>
      <c r="AI12" s="196" cm="1">
        <f t="array" ref="AI12">(_xll.BDP(C12&amp;" Equity","SHORT_INT")/_xll.BDP(C12&amp;" Equity","VOLUME_AVG_90D"))</f>
        <v>3.8083692377548704</v>
      </c>
      <c r="AJ12" s="196" cm="1">
        <f t="array" ref="AJ12">(_xll.BDP(B12&amp;" Equity","SHORT_INT"))/((_xll.BDP(B12&amp;" Equity","EQY_FREE_FLOAT_PCT"))*(_xll.BDP(B12&amp;" Equity","EQY_SH_OUT_TOT_MULT_SH")))/100</f>
        <v>2.0740878313054392</v>
      </c>
      <c r="AK12" s="196" cm="1">
        <f t="array" ref="AK12">(_xll.BDP(C12&amp;" Equity","SHORT_INT"))/((_xll.BDP(C12&amp;" Equity","EQY_FREE_FLOAT_PCT"))*(_xll.BDP(C12&amp;" Equity","EQY_SH_OUT_TOT_MULT_SH")))/100</f>
        <v>3.3215084244268835</v>
      </c>
      <c r="AM12" s="194">
        <f ca="1">IF(ISTEXT(B12),AP12/_xll.BDH(B12 &amp;  " Equity","BEST_EPS",$AM$3,$AM$3,"BEST_FPERIOD_OVERRIDE=1BF","CDR=US","Fill=p")-1,"")</f>
        <v>1.5490572513757295E-2</v>
      </c>
      <c r="AN12" s="194">
        <f ca="1">IF(ISTEXT(B12),AP12/_xll.BDH(B12 &amp;  " Equity","BEST_EPS",$AN$3,$AN$3,"BEST_FPERIOD_OVERRIDE=1BF","CDR=US","Fill=p")-1,"")</f>
        <v>6.6500823932057251E-2</v>
      </c>
      <c r="AO12" s="196">
        <f t="shared" ca="1" si="7"/>
        <v>19.140865263189173</v>
      </c>
      <c r="AP12" s="196" cm="1">
        <f t="array" aca="1" ref="AP12" ca="1">IF(ISTEXT(B12),_xll.BDH(B12 &amp;  " Equity","BEST_EPS",$Q$3,$Q$3,"BEST_FPERIOD_OVERRIDE=1BF","CDR=US","Fill=p"),"")</f>
        <v>269.23599999999999</v>
      </c>
      <c r="AR12" s="194">
        <f ca="1">IF(ISTEXT(C12),AU12/_xll.BDH(C12 &amp;  " Equity","BEST_EPS",$AM$3,$AM$3,"BEST_FPERIOD_OVERRIDE=1BF","CDR=US","Fill=p")-1,"")</f>
        <v>1.5142086704003299E-2</v>
      </c>
      <c r="AS12" s="194">
        <f ca="1">IF(ISTEXT(C12),AU12/_xll.BDH(C12 &amp;  " Equity","BEST_EPS",$AN$3,$AN$3,"BEST_FPERIOD_OVERRIDE=1BF","CDR=US","Fill=p")-1,"")</f>
        <v>4.3941979522184482E-2</v>
      </c>
      <c r="AT12" s="196">
        <f t="shared" ca="1" si="8"/>
        <v>27.016755210461788</v>
      </c>
      <c r="AU12" s="196" cm="1">
        <f t="array" aca="1" ref="AU12" ca="1">IF(ISTEXT(C12),_xll.BDH(C12 &amp;  " Equity","BEST_EPS",$Q$3,$Q$3,"BEST_FPERIOD_OVERRIDE=1BF","CDR=US","Fill=p"),"")</f>
        <v>4.8940000000000001</v>
      </c>
    </row>
    <row r="13" spans="1:47">
      <c r="A13" t="str">
        <f t="shared" si="0"/>
        <v>.TSMSOXX</v>
      </c>
      <c r="B13" s="254" t="s">
        <v>96</v>
      </c>
      <c r="C13" s="254" t="s">
        <v>95</v>
      </c>
      <c r="D13" s="255">
        <f>SUMIF(Tabelad[Ticker],PAIR_Monitor!B13,Tabelad[Exp %])</f>
        <v>5.1252659322128915E-3</v>
      </c>
      <c r="E13" s="255">
        <f>SUMIF(Tabelad[Ticker],PAIR_Monitor!C13,Tabelad[Exp %])</f>
        <v>0</v>
      </c>
      <c r="F13" s="254"/>
      <c r="G13" s="256" cm="1">
        <f t="array" ref="G13">_xll.BDP(B13&amp;" Equity","LAST PRICE")</f>
        <v>338.34</v>
      </c>
      <c r="H13" s="257" cm="1">
        <f t="array" ref="H13">G13/_xll.BDP(B13&amp;" Equity", "PREV_CLOSE_VAL")-1</f>
        <v>1.6921643473295056E-2</v>
      </c>
      <c r="I13" s="256" cm="1">
        <f t="array" ref="I13">_xll.BDP(C13&amp;" Equity","LAST PRICE")</f>
        <v>351.08</v>
      </c>
      <c r="J13" s="257" cm="1">
        <f t="array" ref="J13">I13/_xll.BDP(C13&amp;" Equity", "PREV_CLOSE_VAL")-1</f>
        <v>2.3348004780365583E-2</v>
      </c>
      <c r="K13" s="258">
        <f t="shared" si="1"/>
        <v>0.96371197447875123</v>
      </c>
      <c r="L13" s="257" cm="1">
        <f t="array" ref="L13">K13/(_xll.BDP(B13&amp;" Equity", "PREV_CLOSE_VAL")/_xll.BDP(C13&amp;" Equity", "PREV_CLOSE_VAL"))-1</f>
        <v>-6.2797418640100355E-3</v>
      </c>
      <c r="M13" s="257"/>
      <c r="N13" s="190">
        <f t="shared" si="2"/>
        <v>0.38851547591176161</v>
      </c>
      <c r="O13" s="191">
        <f t="shared" si="3"/>
        <v>1.6163427851291746E-2</v>
      </c>
      <c r="P13" s="259" cm="1">
        <f t="array" ref="P13">_xll.BDP($A13&amp;" Index","VOLATILITY_30D")</f>
        <v>25.65136</v>
      </c>
      <c r="Q13" s="259" cm="1">
        <f t="array" aca="1" ref="Q13" ca="1">(_xll.BDP(($B13&amp; " Equity"),"CORR_COEF", "BETA_OVERRIDE_REL_INDEX",($C13&amp; " Equity"),"BETA_OVERRIDE_END_DT",$Q$5,"BETA_OVERRIDE_START_DT",$Q$4))*100</f>
        <v>73.434376414606291</v>
      </c>
      <c r="R13" s="257"/>
      <c r="S13" s="257" cm="1">
        <f t="array" ref="S13">_xll.BDP($A13&amp;" Index","CHG_PCT_2D")/100</f>
        <v>-6.8498329999999996E-3</v>
      </c>
      <c r="T13" s="257" cm="1">
        <f t="array" ref="T13">_xll.BDP($A13&amp;" Index","CHG_PCT_5D")/100</f>
        <v>-5.149547E-3</v>
      </c>
      <c r="U13" s="257" cm="1">
        <f t="array" ref="U13">K13/_xll.BDP($A13&amp;" Index","HIGH_52WEEK")-1</f>
        <v>-9.3625289695134617E-2</v>
      </c>
      <c r="V13" s="257" cm="1">
        <f t="array" ref="V13">K13/_xll.BDP($A13&amp;" Index","LOW_52WEEK")-1</f>
        <v>0.12648974223115284</v>
      </c>
      <c r="W13" s="257"/>
      <c r="X13" s="259" cm="1">
        <f t="array" ref="X13">_xll.BDP($A13&amp;" Index","RSI_14D")</f>
        <v>47.097549999999998</v>
      </c>
      <c r="Y13" s="258"/>
      <c r="Z13" s="260">
        <f t="shared" si="4"/>
        <v>-1</v>
      </c>
      <c r="AA13" s="258"/>
      <c r="AB13" s="260">
        <f t="shared" si="5"/>
        <v>-1</v>
      </c>
      <c r="AC13" s="193">
        <v>0.9</v>
      </c>
      <c r="AD13" s="257">
        <f t="shared" si="6"/>
        <v>7.0791082754168011E-2</v>
      </c>
      <c r="AE13" s="257"/>
      <c r="AF13" s="261">
        <f>IF(ISTEXT(B13),_xll.BDP(B13 &amp; " Equity","EXPECTED_REPORT_DT")*1,"")</f>
        <v>46129</v>
      </c>
      <c r="AG13" s="261" t="e">
        <f>IF(ISTEXT(C13),_xll.BDP(C13 &amp; " Equity","EXPECTED_REPORT_DT")*1,"")</f>
        <v>#VALUE!</v>
      </c>
      <c r="AH13" s="262" cm="1">
        <f t="array" ref="AH13">(_xll.BDP(B13&amp;" Equity","SHORT_INT")/_xll.BDP(B13&amp;" Equity","VOLUME_AVG_90D"))</f>
        <v>1.737846584890449</v>
      </c>
      <c r="AI13" s="262" cm="1">
        <f t="array" ref="AI13">(_xll.BDP(C13&amp;" Equity","SHORT_INT")/_xll.BDP(C13&amp;" Equity","VOLUME_AVG_90D"))</f>
        <v>1.1542957576098325</v>
      </c>
      <c r="AJ13" s="262" t="e" cm="1">
        <f t="array" ref="AJ13">(_xll.BDP(B13&amp;" Equity","SHORT_INT"))/((_xll.BDP(B13&amp;" Equity","EQY_FREE_FLOAT_PCT"))*(_xll.BDP(B13&amp;" Equity","EQY_SH_OUT_TOT_MULT_SH")))/100</f>
        <v>#VALUE!</v>
      </c>
      <c r="AK13" s="262" t="e" cm="1">
        <f t="array" ref="AK13">(_xll.BDP(C13&amp;" Equity","SHORT_INT"))/((_xll.BDP(C13&amp;" Equity","EQY_FREE_FLOAT_PCT"))*(_xll.BDP(C13&amp;" Equity","EQY_SH_OUT_TOT_MULT_SH")))/100</f>
        <v>#VALUE!</v>
      </c>
      <c r="AM13" s="260">
        <f ca="1">IF(ISTEXT(B13),AP13/_xll.BDH(B13 &amp;  " Equity","BEST_EPS",$AM$3,$AM$3,"BEST_FPERIOD_OVERRIDE=1BF","CDR=US","Fill=p")-1,"")</f>
        <v>0.18752977153880379</v>
      </c>
      <c r="AN13" s="260">
        <f ca="1">IF(ISTEXT(B13),AP13/_xll.BDH(B13 &amp;  " Equity","BEST_EPS",$AN$3,$AN$3,"BEST_FPERIOD_OVERRIDE=1BF","CDR=US","Fill=p")-1,"")</f>
        <v>0.22376839107736113</v>
      </c>
      <c r="AO13" s="262">
        <f t="shared" ca="1" si="7"/>
        <v>0.74981051959737077</v>
      </c>
      <c r="AP13" s="262" cm="1">
        <f t="array" aca="1" ref="AP13" ca="1">IF(ISTEXT(B13),_xll.BDH(B13 &amp;  " Equity","BEST_EPS",$Q$3,$Q$3,"BEST_FPERIOD_OVERRIDE=1BF","CDR=US","Fill=p"),"")</f>
        <v>451.23399999999998</v>
      </c>
      <c r="AR13" s="260" t="e">
        <f ca="1">IF(ISTEXT(C13),AU13/_xll.BDH(C13 &amp;  " Equity","BEST_EPS",$AM$3,$AM$3,"BEST_FPERIOD_OVERRIDE=1BF","CDR=US","Fill=p")-1,"")</f>
        <v>#VALUE!</v>
      </c>
      <c r="AS13" s="260" t="e">
        <f ca="1">IF(ISTEXT(C13),AU13/_xll.BDH(C13 &amp;  " Equity","BEST_EPS",$AN$3,$AN$3,"BEST_FPERIOD_OVERRIDE=1BF","CDR=US","Fill=p")-1,"")</f>
        <v>#VALUE!</v>
      </c>
      <c r="AT13" s="262" t="e">
        <f t="shared" ca="1" si="8"/>
        <v>#VALUE!</v>
      </c>
      <c r="AU13" s="262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64" t="s">
        <v>94</v>
      </c>
      <c r="C14" s="264"/>
      <c r="D14" s="263">
        <f>SUMIF(Tabelad[Ticker],PAIR_Monitor!B14,Tabelad[Exp %])</f>
        <v>1.8101715776223217E-3</v>
      </c>
      <c r="E14" s="263"/>
      <c r="F14" s="254"/>
      <c r="G14" s="256" cm="1">
        <f t="array" ref="G14">_xll.BDP(B14&amp;" Equity","LAST PRICE")</f>
        <v>188.52</v>
      </c>
      <c r="H14" s="257" cm="1">
        <f t="array" ref="H14">G14/_xll.BDP(B14&amp;" Equity", "PREV_CLOSE_VAL")-1</f>
        <v>1.0993725532257193E-2</v>
      </c>
      <c r="I14" s="256" t="str" cm="1">
        <f t="array" ref="I14">_xll.BDP(C14&amp;" Equity","LAST PRICE")</f>
        <v>#N/A Invalid Security</v>
      </c>
      <c r="J14" s="257" t="e" cm="1">
        <f t="array" ref="J14">I14/_xll.BDP(C14&amp;" Equity", "PREV_CLOSE_VAL")-1</f>
        <v>#VALUE!</v>
      </c>
      <c r="K14" s="258" t="e">
        <f t="shared" si="1"/>
        <v>#VALUE!</v>
      </c>
      <c r="L14" s="257" t="e" cm="1">
        <f t="array" ref="L14">K14/(_xll.BDP(B14&amp;" Equity", "PREV_CLOSE_VAL")/_xll.BDP(C14&amp;" Equity", "PREV_CLOSE_VAL"))-1</f>
        <v>#VALUE!</v>
      </c>
      <c r="M14" s="257"/>
      <c r="N14" s="190" t="e">
        <f t="shared" si="2"/>
        <v>#VALUE!</v>
      </c>
      <c r="O14" s="191" t="e">
        <f t="shared" si="3"/>
        <v>#VALUE!</v>
      </c>
      <c r="P14" s="259" t="str" cm="1">
        <f t="array" ref="P14">_xll.BDP($A14&amp;" Index","VOLATILITY_30D")</f>
        <v>#N/A Invalid Security</v>
      </c>
      <c r="Q14" s="259" t="e" cm="1">
        <f t="array" aca="1" ref="Q14" ca="1">(_xll.BDP(($B14&amp; " Equity"),"CORR_COEF", "BETA_OVERRIDE_REL_INDEX",($C14&amp; " Equity"),"BETA_OVERRIDE_END_DT",$Q$5,"BETA_OVERRIDE_START_DT",$Q$4))*100</f>
        <v>#VALUE!</v>
      </c>
      <c r="R14" s="257"/>
      <c r="S14" s="257" t="e" cm="1">
        <f t="array" ref="S14">_xll.BDP($A14&amp;" Index","CHG_PCT_2D")/100</f>
        <v>#VALUE!</v>
      </c>
      <c r="T14" s="257" t="e" cm="1">
        <f t="array" ref="T14">_xll.BDP($A14&amp;" Index","CHG_PCT_5D")/100</f>
        <v>#VALUE!</v>
      </c>
      <c r="U14" s="257" t="e" cm="1">
        <f t="array" ref="U14">K14/_xll.BDP($A14&amp;" Index","HIGH_52WEEK")-1</f>
        <v>#VALUE!</v>
      </c>
      <c r="V14" s="257" t="e" cm="1">
        <f t="array" ref="V14">K14/_xll.BDP($A14&amp;" Index","LOW_52WEEK")-1</f>
        <v>#VALUE!</v>
      </c>
      <c r="W14" s="257"/>
      <c r="X14" s="259" t="str" cm="1">
        <f t="array" ref="X14">_xll.BDP($A14&amp;" Index","RSI_14D")</f>
        <v>#N/A Invalid Security</v>
      </c>
      <c r="Y14" s="258"/>
      <c r="Z14" s="260" t="e">
        <f t="shared" si="4"/>
        <v>#VALUE!</v>
      </c>
      <c r="AA14" s="258"/>
      <c r="AB14" s="260" t="e">
        <f t="shared" si="5"/>
        <v>#VALUE!</v>
      </c>
      <c r="AC14" s="258"/>
      <c r="AD14" s="257" t="e">
        <f t="shared" si="6"/>
        <v>#VALUE!</v>
      </c>
      <c r="AE14" s="257"/>
      <c r="AF14" s="261">
        <f>IF(ISTEXT(B14),_xll.BDP(B14 &amp; " Equity","EXPECTED_REPORT_DT")*1,"")</f>
        <v>46078</v>
      </c>
      <c r="AG14" s="261" t="str">
        <f>IF(ISTEXT(C14),_xll.BDP(C14 &amp; " Equity","EXPECTED_REPORT_DT")*1,"")</f>
        <v/>
      </c>
      <c r="AH14" s="262" cm="1">
        <f t="array" ref="AH14">(_xll.BDP(B14&amp;" Equity","SHORT_INT")/_xll.BDP(B14&amp;" Equity","VOLUME_AVG_90D"))</f>
        <v>1.4016840063478941</v>
      </c>
      <c r="AI14" s="262" t="e" cm="1">
        <f t="array" ref="AI14">(_xll.BDP(C14&amp;" Equity","SHORT_INT")/_xll.BDP(C14&amp;" Equity","VOLUME_AVG_90D"))</f>
        <v>#VALUE!</v>
      </c>
      <c r="AJ14" s="262" cm="1">
        <f t="array" ref="AJ14">(_xll.BDP(B14&amp;" Equity","SHORT_INT"))/((_xll.BDP(B14&amp;" Equity","EQY_FREE_FLOAT_PCT"))*(_xll.BDP(B14&amp;" Equity","EQY_SH_OUT_TOT_MULT_SH")))/100</f>
        <v>1.0985492394965368</v>
      </c>
      <c r="AK14" s="262" t="e" cm="1">
        <f t="array" ref="AK14">(_xll.BDP(C14&amp;" Equity","SHORT_INT"))/((_xll.BDP(C14&amp;" Equity","EQY_FREE_FLOAT_PCT"))*(_xll.BDP(C14&amp;" Equity","EQY_SH_OUT_TOT_MULT_SH")))/100</f>
        <v>#VALUE!</v>
      </c>
      <c r="AM14" s="260">
        <f ca="1">IF(ISTEXT(B14),AP14/_xll.BDH(B14 &amp;  " Equity","BEST_EPS",$AM$3,$AM$3,"BEST_FPERIOD_OVERRIDE=1BF","CDR=US","Fill=p")-1,"")</f>
        <v>4.0968090859924366E-2</v>
      </c>
      <c r="AN14" s="260">
        <f ca="1">IF(ISTEXT(B14),AP14/_xll.BDH(B14 &amp;  " Equity","BEST_EPS",$AN$3,$AN$3,"BEST_FPERIOD_OVERRIDE=1BF","CDR=US","Fill=p")-1,"")</f>
        <v>0.29416708690536231</v>
      </c>
      <c r="AO14" s="262">
        <f t="shared" ca="1" si="7"/>
        <v>24.486296921678143</v>
      </c>
      <c r="AP14" s="262" cm="1">
        <f t="array" aca="1" ref="AP14" ca="1">IF(ISTEXT(B14),_xll.BDH(B14 &amp;  " Equity","BEST_EPS",$Q$3,$Q$3,"BEST_FPERIOD_OVERRIDE=1BF","CDR=US","Fill=p"),"")</f>
        <v>7.6989999999999998</v>
      </c>
      <c r="AR14" s="260" t="str">
        <f>IF(ISTEXT(C14),AU14/_xll.BDH(C14 &amp;  " Equity","BEST_EPS",$AM$3,$AM$3,"BEST_FPERIOD_OVERRIDE=1BF","CDR=US","Fill=p")-1,"")</f>
        <v/>
      </c>
      <c r="AS14" s="260" t="str">
        <f>IF(ISTEXT(C14),AU14/_xll.BDH(C14 &amp;  " Equity","BEST_EPS",$AN$3,$AN$3,"BEST_FPERIOD_OVERRIDE=1BF","CDR=US","Fill=p")-1,"")</f>
        <v/>
      </c>
      <c r="AT14" s="262" t="e">
        <f t="shared" si="8"/>
        <v>#VALUE!</v>
      </c>
      <c r="AU14" s="262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54" t="s">
        <v>87</v>
      </c>
      <c r="C15" s="254" t="s">
        <v>3</v>
      </c>
      <c r="D15" s="255">
        <f>SUMIF(Tabelad[Ticker],PAIR_Monitor!B15,Tabelad[Exp %])</f>
        <v>0</v>
      </c>
      <c r="E15" s="255">
        <f>-D15</f>
        <v>0</v>
      </c>
      <c r="F15" s="254"/>
      <c r="G15" s="187" cm="1">
        <f t="array" ref="G15">_xll.BDP(B15&amp;" Equity","LAST PRICE")</f>
        <v>325.26</v>
      </c>
      <c r="H15" s="188" cm="1">
        <f t="array" ref="H15">G15/_xll.BDP(B15&amp;" Equity", "PREV_CLOSE_VAL")-1</f>
        <v>-9.8328716247070291E-3</v>
      </c>
      <c r="I15" s="187" cm="1">
        <f t="array" ref="I15">_xll.BDP(C15&amp;" Equity","LAST PRICE")</f>
        <v>198.93</v>
      </c>
      <c r="J15" s="188" cm="1">
        <f t="array" ref="J15">I15/_xll.BDP(C15&amp;" Equity", "PREV_CLOSE_VAL")-1</f>
        <v>-1.5559124673760749E-3</v>
      </c>
      <c r="K15" s="189">
        <f t="shared" si="1"/>
        <v>1.6350475041471872</v>
      </c>
      <c r="L15" s="188" cm="1">
        <f t="array" ref="L15">K15/(_xll.BDP(B15&amp;" Equity", "PREV_CLOSE_VAL")/_xll.BDP(C15&amp;" Equity", "PREV_CLOSE_VAL"))-1</f>
        <v>-8.2898574498901922E-3</v>
      </c>
      <c r="M15" s="188"/>
      <c r="N15" s="190">
        <f t="shared" si="2"/>
        <v>0.6862991020092728</v>
      </c>
      <c r="O15" s="191">
        <f t="shared" si="3"/>
        <v>1.2079073724007561E-2</v>
      </c>
      <c r="P15" s="192" cm="1">
        <f t="array" ref="P15">_xll.BDP($A15&amp;" Index","VOLATILITY_30D")</f>
        <v>19.16949</v>
      </c>
      <c r="Q15" s="192" cm="1">
        <f t="array" aca="1" ref="Q15" ca="1">(_xll.BDP(($B15&amp; " Equity"),"CORR_COEF", "BETA_OVERRIDE_REL_INDEX",($C15&amp; " Equity"),"BETA_OVERRIDE_END_DT",$Q$5,"BETA_OVERRIDE_START_DT",$Q$4))*100</f>
        <v>47.496716357521166</v>
      </c>
      <c r="R15" s="188"/>
      <c r="S15" s="188" cm="1">
        <f t="array" ref="S15">_xll.BDP($A15&amp;" Index","CHG_PCT_2D")/100</f>
        <v>-4.6142819999999999E-3</v>
      </c>
      <c r="T15" s="188" cm="1">
        <f t="array" ref="T15">_xll.BDP($A15&amp;" Index","CHG_PCT_5D")/100</f>
        <v>-1.7000379999999999E-2</v>
      </c>
      <c r="U15" s="188" cm="1">
        <f t="array" ref="U15">K15/_xll.BDP($A15&amp;" Index","HIGH_52WEEK")-1</f>
        <v>-0.21556753160562314</v>
      </c>
      <c r="V15" s="188" cm="1">
        <f t="array" ref="V15">K15/_xll.BDP($A15&amp;" Index","LOW_52WEEK")-1</f>
        <v>2.303394336498954E-3</v>
      </c>
      <c r="W15" s="188"/>
      <c r="X15" s="192" cm="1">
        <f t="array" ref="X15">_xll.BDP($A15&amp;" Index","RSI_14D")</f>
        <v>32.118729999999999</v>
      </c>
      <c r="Y15" s="193"/>
      <c r="Z15" s="194">
        <f t="shared" si="4"/>
        <v>-1</v>
      </c>
      <c r="AA15" s="193"/>
      <c r="AB15" s="194">
        <f t="shared" si="5"/>
        <v>-1</v>
      </c>
      <c r="AC15" s="193">
        <v>2</v>
      </c>
      <c r="AD15" s="188">
        <f t="shared" si="6"/>
        <v>-0.18247624792640638</v>
      </c>
      <c r="AE15" s="188"/>
      <c r="AF15" s="195">
        <f>IF(ISTEXT(B15),_xll.BDP(B15 &amp; " Equity","EXPECTED_REPORT_DT")*1,"")</f>
        <v>46051</v>
      </c>
      <c r="AG15" s="195" t="e">
        <f>IF(ISTEXT(C15),_xll.BDP(C15 &amp; " Equity","EXPECTED_REPORT_DT")*1,"")</f>
        <v>#VALUE!</v>
      </c>
      <c r="AH15" s="196" cm="1">
        <f t="array" ref="AH15">(_xll.BDP(B15&amp;" Equity","SHORT_INT")/_xll.BDP(B15&amp;" Equity","VOLUME_AVG_90D"))</f>
        <v>3.3135589593618171</v>
      </c>
      <c r="AI15" s="196" cm="1">
        <f t="array" ref="AI15">(_xll.BDP(C15&amp;" Equity","SHORT_INT")/_xll.BDP(C15&amp;" Equity","VOLUME_AVG_90D"))</f>
        <v>2.2595100471849383</v>
      </c>
      <c r="AJ15" s="196" cm="1">
        <f t="array" ref="AJ15">(_xll.BDP(B15&amp;" Equity","SHORT_INT"))/((_xll.BDP(B15&amp;" Equity","EQY_FREE_FLOAT_PCT"))*(_xll.BDP(B15&amp;" Equity","EQY_SH_OUT_TOT_MULT_SH")))/100</f>
        <v>1.219958553552164</v>
      </c>
      <c r="AK15" s="196" t="e" cm="1">
        <f t="array" ref="AK15">(_xll.BDP(C15&amp;" Equity","SHORT_INT"))/((_xll.BDP(C15&amp;" Equity","EQY_FREE_FLOAT_PCT"))*(_xll.BDP(C15&amp;" Equity","EQY_SH_OUT_TOT_MULT_SH")))/100</f>
        <v>#VALUE!</v>
      </c>
      <c r="AM15" s="194">
        <f ca="1">IF(ISTEXT(B15),AP15/_xll.BDH(B15 &amp;  " Equity","BEST_EPS",$AM$3,$AM$3,"BEST_FPERIOD_OVERRIDE=1BF","CDR=US","Fill=p")-1,"")</f>
        <v>1.1376564277588264E-2</v>
      </c>
      <c r="AN15" s="194">
        <f ca="1">IF(ISTEXT(B15),AP15/_xll.BDH(B15 &amp;  " Equity","BEST_EPS",$AN$3,$AN$3,"BEST_FPERIOD_OVERRIDE=1BF","CDR=US","Fill=p")-1,"")</f>
        <v>2.885579816372208E-2</v>
      </c>
      <c r="AO15" s="196">
        <f t="shared" ca="1" si="7"/>
        <v>24.391451068616419</v>
      </c>
      <c r="AP15" s="196" cm="1">
        <f t="array" aca="1" ref="AP15" ca="1">IF(ISTEXT(B15),_xll.BDH(B15 &amp;  " Equity","BEST_EPS",$Q$3,$Q$3,"BEST_FPERIOD_OVERRIDE=1BF","CDR=US","Fill=p"),"")</f>
        <v>13.335000000000001</v>
      </c>
      <c r="AR15" s="194" t="e">
        <f ca="1">IF(ISTEXT(C15),AU15/_xll.BDH(C15 &amp;  " Equity","BEST_EPS",$AM$3,$AM$3,"BEST_FPERIOD_OVERRIDE=1BF","CDR=US","Fill=p")-1,"")</f>
        <v>#VALUE!</v>
      </c>
      <c r="AS15" s="194" t="e">
        <f ca="1">IF(ISTEXT(C15),AU15/_xll.BDH(C15 &amp;  " Equity","BEST_EPS",$AN$3,$AN$3,"BEST_FPERIOD_OVERRIDE=1BF","CDR=US","Fill=p")-1,"")</f>
        <v>#VALUE!</v>
      </c>
      <c r="AT15" s="196" t="e">
        <f t="shared" ca="1" si="8"/>
        <v>#VALUE!</v>
      </c>
      <c r="AU15" s="196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54" t="s">
        <v>86</v>
      </c>
      <c r="C16" s="254" t="s">
        <v>3</v>
      </c>
      <c r="D16" s="255">
        <f>SUMIF(Tabelad[Ticker],PAIR_Monitor!B16,Tabelad[Exp %])</f>
        <v>0</v>
      </c>
      <c r="E16" s="255">
        <f>-D16</f>
        <v>0</v>
      </c>
      <c r="F16" s="254"/>
      <c r="G16" s="187" cm="1">
        <f t="array" ref="G16">_xll.BDP(B16&amp;" Equity","LAST PRICE")</f>
        <v>520.41</v>
      </c>
      <c r="H16" s="188" cm="1">
        <f t="array" ref="H16">G16/_xll.BDP(B16&amp;" Equity", "PREV_CLOSE_VAL")-1</f>
        <v>-1.3178853155339842E-2</v>
      </c>
      <c r="I16" s="187" cm="1">
        <f t="array" ref="I16">_xll.BDP(C16&amp;" Equity","LAST PRICE")</f>
        <v>198.93</v>
      </c>
      <c r="J16" s="188" cm="1">
        <f t="array" ref="J16">I16/_xll.BDP(C16&amp;" Equity", "PREV_CLOSE_VAL")-1</f>
        <v>-1.5559124673760749E-3</v>
      </c>
      <c r="K16" s="189">
        <f t="shared" si="1"/>
        <v>2.6160458452722062</v>
      </c>
      <c r="L16" s="188" cm="1">
        <f t="array" ref="L16">K16/(_xll.BDP(B16&amp;" Equity", "PREV_CLOSE_VAL")/_xll.BDP(C16&amp;" Equity", "PREV_CLOSE_VAL"))-1</f>
        <v>-1.1641053147689595E-2</v>
      </c>
      <c r="M16" s="188"/>
      <c r="N16" s="190">
        <f t="shared" si="2"/>
        <v>1.0481449506508307</v>
      </c>
      <c r="O16" s="191">
        <f t="shared" si="3"/>
        <v>1.110633900441084E-2</v>
      </c>
      <c r="P16" s="192" cm="1">
        <f t="array" ref="P16">_xll.BDP($A16&amp;" Index","VOLATILITY_30D")</f>
        <v>17.62576</v>
      </c>
      <c r="Q16" s="192" cm="1">
        <f t="array" aca="1" ref="Q16" ca="1">(_xll.BDP(($B16&amp; " Equity"),"CORR_COEF", "BETA_OVERRIDE_REL_INDEX",($C16&amp; " Equity"),"BETA_OVERRIDE_END_DT",$Q$5,"BETA_OVERRIDE_START_DT",$Q$4))*100</f>
        <v>65.466523157854013</v>
      </c>
      <c r="R16" s="188"/>
      <c r="S16" s="188" cm="1">
        <f t="array" ref="S16">_xll.BDP($A16&amp;" Index","CHG_PCT_2D")/100</f>
        <v>-1.0138879999999999E-2</v>
      </c>
      <c r="T16" s="188" cm="1">
        <f t="array" ref="T16">_xll.BDP($A16&amp;" Index","CHG_PCT_5D")/100</f>
        <v>-3.6389150000000002E-2</v>
      </c>
      <c r="U16" s="188" cm="1">
        <f t="array" ref="U16">K16/_xll.BDP($A16&amp;" Index","HIGH_52WEEK")-1</f>
        <v>-0.21183496870527296</v>
      </c>
      <c r="V16" s="188" cm="1">
        <f t="array" ref="V16">K16/_xll.BDP($A16&amp;" Index","LOW_52WEEK")-1</f>
        <v>-9.0510218898134376E-3</v>
      </c>
      <c r="W16" s="188"/>
      <c r="X16" s="192" cm="1">
        <f t="array" ref="X16">_xll.BDP($A16&amp;" Index","RSI_14D")</f>
        <v>25.23761</v>
      </c>
      <c r="Y16" s="193"/>
      <c r="Z16" s="194">
        <f t="shared" si="4"/>
        <v>-1</v>
      </c>
      <c r="AA16" s="193"/>
      <c r="AB16" s="194">
        <f t="shared" si="5"/>
        <v>-1</v>
      </c>
      <c r="AC16" s="193">
        <v>3.26</v>
      </c>
      <c r="AD16" s="188">
        <f t="shared" si="6"/>
        <v>-0.19753194930300422</v>
      </c>
      <c r="AE16" s="188"/>
      <c r="AF16" s="195">
        <f>IF(ISTEXT(B16),_xll.BDP(B16 &amp; " Equity","EXPECTED_REPORT_DT")*1,"")</f>
        <v>46051</v>
      </c>
      <c r="AG16" s="195" t="e">
        <f>IF(ISTEXT(C16),_xll.BDP(C16 &amp; " Equity","EXPECTED_REPORT_DT")*1,"")</f>
        <v>#VALUE!</v>
      </c>
      <c r="AH16" s="196" cm="1">
        <f t="array" ref="AH16">(_xll.BDP(B16&amp;" Equity","SHORT_INT")/_xll.BDP(B16&amp;" Equity","VOLUME_AVG_90D"))</f>
        <v>2.3710653108074093</v>
      </c>
      <c r="AI16" s="196" cm="1">
        <f t="array" ref="AI16">(_xll.BDP(C16&amp;" Equity","SHORT_INT")/_xll.BDP(C16&amp;" Equity","VOLUME_AVG_90D"))</f>
        <v>2.2595100471849383</v>
      </c>
      <c r="AJ16" s="196" cm="1">
        <f t="array" ref="AJ16">(_xll.BDP(B16&amp;" Equity","SHORT_INT"))/((_xll.BDP(B16&amp;" Equity","EQY_FREE_FLOAT_PCT"))*(_xll.BDP(B16&amp;" Equity","EQY_SH_OUT_TOT_MULT_SH")))/100</f>
        <v>0.87130229232761147</v>
      </c>
      <c r="AK16" s="196" t="e" cm="1">
        <f t="array" ref="AK16">(_xll.BDP(C16&amp;" Equity","SHORT_INT"))/((_xll.BDP(C16&amp;" Equity","EQY_FREE_FLOAT_PCT"))*(_xll.BDP(C16&amp;" Equity","EQY_SH_OUT_TOT_MULT_SH")))/100</f>
        <v>#VALUE!</v>
      </c>
      <c r="AM16" s="194">
        <f ca="1">IF(ISTEXT(B16),AP16/_xll.BDH(B16 &amp;  " Equity","BEST_EPS",$AM$3,$AM$3,"BEST_FPERIOD_OVERRIDE=1BF","CDR=US","Fill=p")-1,"")</f>
        <v>1.3304698549054361E-2</v>
      </c>
      <c r="AN16" s="194">
        <f ca="1">IF(ISTEXT(B16),AP16/_xll.BDH(B16 &amp;  " Equity","BEST_EPS",$AN$3,$AN$3,"BEST_FPERIOD_OVERRIDE=1BF","CDR=US","Fill=p")-1,"")</f>
        <v>4.5280164262170963E-2</v>
      </c>
      <c r="AO16" s="196">
        <f t="shared" ca="1" si="7"/>
        <v>26.901524941845437</v>
      </c>
      <c r="AP16" s="196" cm="1">
        <f t="array" aca="1" ref="AP16" ca="1">IF(ISTEXT(B16),_xll.BDH(B16 &amp;  " Equity","BEST_EPS",$Q$3,$Q$3,"BEST_FPERIOD_OVERRIDE=1BF","CDR=US","Fill=p"),"")</f>
        <v>19.344999999999999</v>
      </c>
      <c r="AR16" s="194" t="e">
        <f ca="1">IF(ISTEXT(C16),AU16/_xll.BDH(C16 &amp;  " Equity","BEST_EPS",$AM$3,$AM$3,"BEST_FPERIOD_OVERRIDE=1BF","CDR=US","Fill=p")-1,"")</f>
        <v>#VALUE!</v>
      </c>
      <c r="AS16" s="194" t="e">
        <f ca="1">IF(ISTEXT(C16),AU16/_xll.BDH(C16 &amp;  " Equity","BEST_EPS",$AN$3,$AN$3,"BEST_FPERIOD_OVERRIDE=1BF","CDR=US","Fill=p")-1,"")</f>
        <v>#VALUE!</v>
      </c>
      <c r="AT16" s="196" t="e">
        <f t="shared" ca="1" si="8"/>
        <v>#VALUE!</v>
      </c>
      <c r="AU16" s="196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54" t="s">
        <v>88</v>
      </c>
      <c r="C17" s="254" t="s">
        <v>3</v>
      </c>
      <c r="D17" s="255">
        <f>-E17</f>
        <v>1.0792624735194161E-3</v>
      </c>
      <c r="E17" s="255">
        <f>SUMIF(Tabelad[Ticker],PAIR_Monitor!C17,Tabelad[Exp %])-E16-E15</f>
        <v>-1.0792624735194161E-3</v>
      </c>
      <c r="F17" s="254"/>
      <c r="G17" s="187" cm="1">
        <f t="array" ref="G17">_xll.BDP(B17&amp;" Equity","LAST PRICE")</f>
        <v>53</v>
      </c>
      <c r="H17" s="188" cm="1">
        <f t="array" ref="H17">G17/_xll.BDP(B17&amp;" Equity", "PREV_CLOSE_VAL")-1</f>
        <v>-7.6764650814453717E-3</v>
      </c>
      <c r="I17" s="187" cm="1">
        <f t="array" ref="I17">_xll.BDP(C17&amp;" Equity","LAST PRICE")</f>
        <v>198.93</v>
      </c>
      <c r="J17" s="188" cm="1">
        <f t="array" ref="J17">I17/_xll.BDP(C17&amp;" Equity", "PREV_CLOSE_VAL")-1</f>
        <v>-1.5559124673760749E-3</v>
      </c>
      <c r="K17" s="189">
        <f t="shared" si="1"/>
        <v>0.26642537576031772</v>
      </c>
      <c r="L17" s="188" cm="1">
        <f t="array" ref="L17">K17/(_xll.BDP(B17&amp;" Equity", "PREV_CLOSE_VAL")/_xll.BDP(C17&amp;" Equity", "PREV_CLOSE_VAL"))-1</f>
        <v>-6.1300904983017102E-3</v>
      </c>
      <c r="M17" s="188"/>
      <c r="N17" s="190">
        <f t="shared" si="2"/>
        <v>0.94075253026308647</v>
      </c>
      <c r="O17" s="191">
        <f t="shared" si="3"/>
        <v>6.5161562696912411E-3</v>
      </c>
      <c r="P17" s="192" cm="1">
        <f t="array" ref="P17">_xll.BDP($A17&amp;" Index","VOLATILITY_30D")</f>
        <v>10.341139999999999</v>
      </c>
      <c r="Q17" s="192" cm="1">
        <f t="array" aca="1" ref="Q17" ca="1">(_xll.BDP(($B17&amp; " Equity"),"CORR_COEF", "BETA_OVERRIDE_REL_INDEX",($C17&amp; " Equity"),"BETA_OVERRIDE_END_DT",$Q$5,"BETA_OVERRIDE_START_DT",$Q$4))*100</f>
        <v>71.041867624702761</v>
      </c>
      <c r="R17" s="188"/>
      <c r="S17" s="188" cm="1">
        <f t="array" ref="S17">_xll.BDP($A17&amp;" Index","CHG_PCT_2D")/100</f>
        <v>-2.3671120000000002E-3</v>
      </c>
      <c r="T17" s="188" cm="1">
        <f t="array" ref="T17">_xll.BDP($A17&amp;" Index","CHG_PCT_5D")/100</f>
        <v>-1.8273040000000001E-2</v>
      </c>
      <c r="U17" s="188" cm="1">
        <f t="array" ref="U17">K17/_xll.BDP($A17&amp;" Index","HIGH_52WEEK")-1</f>
        <v>-8.2083115382195704E-2</v>
      </c>
      <c r="V17" s="188" cm="1">
        <f t="array" ref="V17">K17/_xll.BDP($A17&amp;" Index","LOW_52WEEK")-1</f>
        <v>-2.1147767320209843E-3</v>
      </c>
      <c r="W17" s="188"/>
      <c r="X17" s="192" cm="1">
        <f t="array" ref="X17">_xll.BDP($A17&amp;" Index","RSI_14D")</f>
        <v>28.52948</v>
      </c>
      <c r="Y17" s="193"/>
      <c r="Z17" s="194">
        <f t="shared" si="4"/>
        <v>-1</v>
      </c>
      <c r="AA17" s="193"/>
      <c r="AB17" s="194">
        <f t="shared" si="5"/>
        <v>-1</v>
      </c>
      <c r="AC17" s="193">
        <v>0.28999999999999998</v>
      </c>
      <c r="AD17" s="188">
        <f t="shared" si="6"/>
        <v>-8.1291807723042342E-2</v>
      </c>
      <c r="AE17" s="188"/>
      <c r="AF17" s="195" t="e">
        <f>IF(ISTEXT(B17),_xll.BDP(B17 &amp; " Equity","EXPECTED_REPORT_DT")*1,"")</f>
        <v>#VALUE!</v>
      </c>
      <c r="AG17" s="195" t="e">
        <f>IF(ISTEXT(C17),_xll.BDP(C17 &amp; " Equity","EXPECTED_REPORT_DT")*1,"")</f>
        <v>#VALUE!</v>
      </c>
      <c r="AH17" s="196" cm="1">
        <f t="array" ref="AH17">(_xll.BDP(B17&amp;" Equity","SHORT_INT")/_xll.BDP(B17&amp;" Equity","VOLUME_AVG_90D"))</f>
        <v>1.4889579370626815</v>
      </c>
      <c r="AI17" s="196" cm="1">
        <f t="array" ref="AI17">(_xll.BDP(C17&amp;" Equity","SHORT_INT")/_xll.BDP(C17&amp;" Equity","VOLUME_AVG_90D"))</f>
        <v>2.2595100471849383</v>
      </c>
      <c r="AJ17" s="196" t="e" cm="1">
        <f t="array" ref="AJ17">(_xll.BDP(B17&amp;" Equity","SHORT_INT"))/((_xll.BDP(B17&amp;" Equity","EQY_FREE_FLOAT_PCT"))*(_xll.BDP(B17&amp;" Equity","EQY_SH_OUT_TOT_MULT_SH")))/100</f>
        <v>#VALUE!</v>
      </c>
      <c r="AK17" s="196" t="e" cm="1">
        <f t="array" ref="AK17">(_xll.BDP(C17&amp;" Equity","SHORT_INT"))/((_xll.BDP(C17&amp;" Equity","EQY_FREE_FLOAT_PCT"))*(_xll.BDP(C17&amp;" Equity","EQY_SH_OUT_TOT_MULT_SH")))/100</f>
        <v>#VALUE!</v>
      </c>
      <c r="AM17" s="194" t="e">
        <f ca="1">IF(ISTEXT(B17),AP17/_xll.BDH(B17 &amp;  " Equity","BEST_EPS",$AM$3,$AM$3,"BEST_FPERIOD_OVERRIDE=1BF","CDR=US","Fill=p")-1,"")</f>
        <v>#VALUE!</v>
      </c>
      <c r="AN17" s="194" t="e">
        <f ca="1">IF(ISTEXT(B17),AP17/_xll.BDH(B17 &amp;  " Equity","BEST_EPS",$AN$3,$AN$3,"BEST_FPERIOD_OVERRIDE=1BF","CDR=US","Fill=p")-1,"")</f>
        <v>#VALUE!</v>
      </c>
      <c r="AO17" s="196" t="e">
        <f t="shared" ca="1" si="7"/>
        <v>#VALUE!</v>
      </c>
      <c r="AP17" s="196" t="str" cm="1">
        <f t="array" aca="1" ref="AP17" ca="1">IF(ISTEXT(B17),_xll.BDH(B17 &amp;  " Equity","BEST_EPS",$Q$3,$Q$3,"BEST_FPERIOD_OVERRIDE=1BF","CDR=US","Fill=p"),"")</f>
        <v>#N/A N/A</v>
      </c>
      <c r="AR17" s="194" t="e">
        <f ca="1">IF(ISTEXT(C17),AU17/_xll.BDH(C17 &amp;  " Equity","BEST_EPS",$AM$3,$AM$3,"BEST_FPERIOD_OVERRIDE=1BF","CDR=US","Fill=p")-1,"")</f>
        <v>#VALUE!</v>
      </c>
      <c r="AS17" s="194" t="e">
        <f ca="1">IF(ISTEXT(C17),AU17/_xll.BDH(C17 &amp;  " Equity","BEST_EPS",$AN$3,$AN$3,"BEST_FPERIOD_OVERRIDE=1BF","CDR=US","Fill=p")-1,"")</f>
        <v>#VALUE!</v>
      </c>
      <c r="AT17" s="196" t="e">
        <f t="shared" ca="1" si="8"/>
        <v>#VALUE!</v>
      </c>
      <c r="AU17" s="196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54" t="s">
        <v>88</v>
      </c>
      <c r="C18" s="254" t="s">
        <v>85</v>
      </c>
      <c r="D18" s="255">
        <f>-E18</f>
        <v>0</v>
      </c>
      <c r="E18" s="255">
        <f>SUMIF(Tabelad[Ticker],PAIR_Monitor!C18,Tabelad[Exp %])</f>
        <v>0</v>
      </c>
      <c r="F18" s="254"/>
      <c r="G18" s="187" cm="1">
        <f t="array" ref="G18">_xll.BDP(B18&amp;" Equity","LAST PRICE")</f>
        <v>53</v>
      </c>
      <c r="H18" s="188" cm="1">
        <f t="array" ref="H18">G18/_xll.BDP(B18&amp;" Equity", "PREV_CLOSE_VAL")-1</f>
        <v>-7.6764650814453717E-3</v>
      </c>
      <c r="I18" s="187" cm="1">
        <f t="array" ref="I18">_xll.BDP(C18&amp;" Equity","LAST PRICE")</f>
        <v>474.67</v>
      </c>
      <c r="J18" s="188" cm="1">
        <f t="array" ref="J18">I18/_xll.BDP(C18&amp;" Equity", "PREV_CLOSE_VAL")-1</f>
        <v>-1.8201749850042415E-2</v>
      </c>
      <c r="K18" s="189">
        <f t="shared" si="1"/>
        <v>0.11165651926601639</v>
      </c>
      <c r="L18" s="188" cm="1">
        <f t="array" ref="L18">K18/(_xll.BDP(B18&amp;" Equity", "PREV_CLOSE_VAL")/_xll.BDP(C18&amp;" Equity", "PREV_CLOSE_VAL"))-1</f>
        <v>1.0720415082211998E-2</v>
      </c>
      <c r="M18" s="188"/>
      <c r="N18" s="190">
        <f t="shared" si="2"/>
        <v>1.192572487511991</v>
      </c>
      <c r="O18" s="191">
        <f t="shared" si="3"/>
        <v>8.9893194706994334E-3</v>
      </c>
      <c r="P18" s="192" cm="1">
        <f t="array" ref="P18">_xll.BDP($A18&amp;" Index","VOLATILITY_30D")</f>
        <v>14.26605</v>
      </c>
      <c r="Q18" s="192" cm="1">
        <f t="array" aca="1" ref="Q18" ca="1">(_xll.BDP(($B18&amp; " Equity"),"CORR_COEF", "BETA_OVERRIDE_REL_INDEX",($C18&amp; " Equity"),"BETA_OVERRIDE_END_DT",$Q$5,"BETA_OVERRIDE_START_DT",$Q$4))*100</f>
        <v>51.246576623265014</v>
      </c>
      <c r="R18" s="188"/>
      <c r="S18" s="188" cm="1">
        <f t="array" ref="S18">_xll.BDP($A18&amp;" Index","CHG_PCT_2D")/100</f>
        <v>6.7662270000000005E-3</v>
      </c>
      <c r="T18" s="188" cm="1">
        <f t="array" ref="T18">_xll.BDP($A18&amp;" Index","CHG_PCT_5D")/100</f>
        <v>1.7767829999999998E-2</v>
      </c>
      <c r="U18" s="188" cm="1">
        <f t="array" ref="U18">K18/_xll.BDP($A18&amp;" Index","HIGH_52WEEK")-1</f>
        <v>-1.2500935119692413E-2</v>
      </c>
      <c r="V18" s="188" cm="1">
        <f t="array" ref="V18">K18/_xll.BDP($A18&amp;" Index","LOW_52WEEK")-1</f>
        <v>0.25442668538384883</v>
      </c>
      <c r="W18" s="188"/>
      <c r="X18" s="192" cm="1">
        <f t="array" ref="X18">_xll.BDP($A18&amp;" Index","RSI_14D")</f>
        <v>52.214320000000001</v>
      </c>
      <c r="Y18" s="193"/>
      <c r="Z18" s="194">
        <f t="shared" si="4"/>
        <v>-1</v>
      </c>
      <c r="AA18" s="193"/>
      <c r="AB18" s="194">
        <f t="shared" si="5"/>
        <v>-1</v>
      </c>
      <c r="AC18" s="193">
        <v>0.1</v>
      </c>
      <c r="AD18" s="188">
        <f t="shared" si="6"/>
        <v>0.11656519266016385</v>
      </c>
      <c r="AE18" s="188"/>
      <c r="AF18" s="195" t="e">
        <f>IF(ISTEXT(B18),_xll.BDP(B18 &amp; " Equity","EXPECTED_REPORT_DT")*1,"")</f>
        <v>#VALUE!</v>
      </c>
      <c r="AG18" s="195">
        <f>IF(ISTEXT(C18),_xll.BDP(C18 &amp; " Equity","EXPECTED_REPORT_DT")*1,"")</f>
        <v>46076</v>
      </c>
      <c r="AH18" s="196" cm="1">
        <f t="array" ref="AH18">(_xll.BDP(B18&amp;" Equity","SHORT_INT")/_xll.BDP(B18&amp;" Equity","VOLUME_AVG_90D"))</f>
        <v>1.4889579370626815</v>
      </c>
      <c r="AI18" s="196" cm="1">
        <f t="array" ref="AI18">(_xll.BDP(C18&amp;" Equity","SHORT_INT")/_xll.BDP(C18&amp;" Equity","VOLUME_AVG_90D"))</f>
        <v>2.2930811982780002</v>
      </c>
      <c r="AJ18" s="196" t="e" cm="1">
        <f t="array" ref="AJ18">(_xll.BDP(B18&amp;" Equity","SHORT_INT"))/((_xll.BDP(B18&amp;" Equity","EQY_FREE_FLOAT_PCT"))*(_xll.BDP(B18&amp;" Equity","EQY_SH_OUT_TOT_MULT_SH")))/100</f>
        <v>#VALUE!</v>
      </c>
      <c r="AK18" s="196" cm="1">
        <f t="array" ref="AK18">(_xll.BDP(C18&amp;" Equity","SHORT_INT"))/((_xll.BDP(C18&amp;" Equity","EQY_FREE_FLOAT_PCT"))*(_xll.BDP(C18&amp;" Equity","EQY_SH_OUT_TOT_MULT_SH")))/100</f>
        <v>0.77685170658873726</v>
      </c>
      <c r="AM18" s="194" t="e">
        <f ca="1">IF(ISTEXT(B18),AP18/_xll.BDH(B18 &amp;  " Equity","BEST_EPS",$AM$3,$AM$3,"BEST_FPERIOD_OVERRIDE=1BF","CDR=US","Fill=p")-1,"")</f>
        <v>#VALUE!</v>
      </c>
      <c r="AN18" s="194" t="e">
        <f ca="1">IF(ISTEXT(B18),AP18/_xll.BDH(B18 &amp;  " Equity","BEST_EPS",$AN$3,$AN$3,"BEST_FPERIOD_OVERRIDE=1BF","CDR=US","Fill=p")-1,"")</f>
        <v>#VALUE!</v>
      </c>
      <c r="AO18" s="196" t="e">
        <f t="shared" ca="1" si="7"/>
        <v>#VALUE!</v>
      </c>
      <c r="AP18" s="196" t="str" cm="1">
        <f t="array" aca="1" ref="AP18" ca="1">IF(ISTEXT(B18),_xll.BDH(B18 &amp;  " Equity","BEST_EPS",$Q$3,$Q$3,"BEST_FPERIOD_OVERRIDE=1BF","CDR=US","Fill=p"),"")</f>
        <v>#N/A N/A</v>
      </c>
      <c r="AR18" s="194">
        <f ca="1">IF(ISTEXT(C18),AU18/_xll.BDH(C18 &amp;  " Equity","BEST_EPS",$AM$3,$AM$3,"BEST_FPERIOD_OVERRIDE=1BF","CDR=US","Fill=p")-1,"")</f>
        <v>3.1632123129219369E-3</v>
      </c>
      <c r="AS18" s="194">
        <f ca="1">IF(ISTEXT(C18),AU18/_xll.BDH(C18 &amp;  " Equity","BEST_EPS",$AN$3,$AN$3,"BEST_FPERIOD_OVERRIDE=1BF","CDR=US","Fill=p")-1,"")</f>
        <v>-8.0761869193780589E-3</v>
      </c>
      <c r="AT18" s="196">
        <f t="shared" ca="1" si="8"/>
        <v>22.339514307228914</v>
      </c>
      <c r="AU18" s="196" cm="1">
        <f t="array" aca="1" ref="AU18" ca="1">IF(ISTEXT(C18),_xll.BDH(C18 &amp;  " Equity","BEST_EPS",$Q$3,$Q$3,"BEST_FPERIOD_OVERRIDE=1BF","CDR=US","Fill=p"),"")</f>
        <v>21.248000000000001</v>
      </c>
    </row>
    <row r="19" spans="1:47" s="6" customFormat="1">
      <c r="A19" s="6" t="str">
        <f>"."&amp;B19&amp;C19</f>
        <v>.XLF</v>
      </c>
      <c r="B19" s="264" t="s">
        <v>88</v>
      </c>
      <c r="C19" s="264"/>
      <c r="D19" s="263">
        <f>SUMIF(Tabelad[Ticker],PAIR_Monitor!B19,Tabelad[Exp %])-D17-D18</f>
        <v>-6.733261699230211E-5</v>
      </c>
      <c r="E19" s="263"/>
      <c r="F19" s="264"/>
      <c r="G19" s="244"/>
      <c r="H19" s="245"/>
      <c r="I19" s="244"/>
      <c r="J19" s="245"/>
      <c r="K19" s="246"/>
      <c r="L19" s="245"/>
      <c r="M19" s="245"/>
      <c r="N19" s="247"/>
      <c r="O19" s="248"/>
      <c r="P19" s="249"/>
      <c r="Q19" s="249"/>
      <c r="R19" s="245"/>
      <c r="S19" s="245"/>
      <c r="T19" s="245"/>
      <c r="U19" s="245"/>
      <c r="V19" s="245"/>
      <c r="W19" s="245"/>
      <c r="X19" s="249"/>
      <c r="Y19" s="250"/>
      <c r="Z19" s="251"/>
      <c r="AA19" s="250"/>
      <c r="AB19" s="251"/>
      <c r="AC19" s="250"/>
      <c r="AD19" s="245"/>
      <c r="AE19" s="245"/>
      <c r="AF19" s="252"/>
      <c r="AG19" s="252"/>
      <c r="AH19" s="253"/>
      <c r="AI19" s="253"/>
      <c r="AJ19" s="253"/>
      <c r="AK19" s="253"/>
      <c r="AM19" s="251"/>
      <c r="AN19" s="251"/>
      <c r="AO19" s="253"/>
      <c r="AP19" s="253"/>
      <c r="AR19" s="251"/>
      <c r="AS19" s="251"/>
      <c r="AT19" s="253"/>
      <c r="AU19" s="253"/>
    </row>
    <row r="20" spans="1:47" s="6" customFormat="1">
      <c r="A20" s="6" t="str">
        <f>"."&amp;B20&amp;C20</f>
        <v>.MP</v>
      </c>
      <c r="B20" s="264" t="s">
        <v>93</v>
      </c>
      <c r="C20" s="264"/>
      <c r="D20" s="263">
        <f>SUMIF(Tabelad[Ticker],PAIR_Monitor!B20,Tabelad[Exp %])</f>
        <v>0</v>
      </c>
      <c r="E20" s="263"/>
      <c r="F20" s="264"/>
      <c r="G20" s="244"/>
      <c r="H20" s="245"/>
      <c r="I20" s="244"/>
      <c r="J20" s="245"/>
      <c r="K20" s="246"/>
      <c r="L20" s="245"/>
      <c r="M20" s="245"/>
      <c r="N20" s="247"/>
      <c r="O20" s="248"/>
      <c r="P20" s="249"/>
      <c r="Q20" s="249"/>
      <c r="R20" s="245"/>
      <c r="S20" s="245"/>
      <c r="T20" s="245"/>
      <c r="U20" s="245"/>
      <c r="V20" s="245"/>
      <c r="W20" s="245"/>
      <c r="X20" s="249"/>
      <c r="Y20" s="250"/>
      <c r="Z20" s="251"/>
      <c r="AA20" s="250"/>
      <c r="AB20" s="251"/>
      <c r="AC20" s="250"/>
      <c r="AD20" s="245"/>
      <c r="AE20" s="245"/>
      <c r="AF20" s="252"/>
      <c r="AG20" s="252"/>
      <c r="AH20" s="253"/>
      <c r="AI20" s="253"/>
      <c r="AJ20" s="253"/>
      <c r="AK20" s="253"/>
      <c r="AM20" s="251"/>
      <c r="AN20" s="251"/>
      <c r="AO20" s="253"/>
      <c r="AP20" s="253"/>
      <c r="AR20" s="251"/>
      <c r="AS20" s="251"/>
      <c r="AT20" s="253"/>
      <c r="AU20" s="253"/>
    </row>
    <row r="21" spans="1:47" s="6" customFormat="1">
      <c r="A21" s="6" t="str">
        <f>"."&amp;B21&amp;C21</f>
        <v>.LYSDY</v>
      </c>
      <c r="B21" s="264" t="s">
        <v>92</v>
      </c>
      <c r="C21" s="264"/>
      <c r="D21" s="263">
        <f>SUMIF(Tabelad[Ticker],PAIR_Monitor!B21,Tabelad[Exp %])</f>
        <v>0</v>
      </c>
      <c r="E21" s="263"/>
      <c r="F21" s="264"/>
      <c r="G21" s="244"/>
      <c r="H21" s="245"/>
      <c r="I21" s="244"/>
      <c r="J21" s="245"/>
      <c r="K21" s="246"/>
      <c r="L21" s="245"/>
      <c r="M21" s="245"/>
      <c r="N21" s="247"/>
      <c r="O21" s="248"/>
      <c r="P21" s="249"/>
      <c r="Q21" s="249"/>
      <c r="R21" s="245"/>
      <c r="S21" s="245"/>
      <c r="T21" s="245"/>
      <c r="U21" s="245"/>
      <c r="V21" s="245"/>
      <c r="W21" s="245"/>
      <c r="X21" s="249"/>
      <c r="Y21" s="250"/>
      <c r="Z21" s="251"/>
      <c r="AA21" s="250"/>
      <c r="AB21" s="251"/>
      <c r="AC21" s="250"/>
      <c r="AD21" s="245"/>
      <c r="AE21" s="245"/>
      <c r="AF21" s="252"/>
      <c r="AG21" s="252"/>
      <c r="AH21" s="253"/>
      <c r="AI21" s="253"/>
      <c r="AJ21" s="253"/>
      <c r="AK21" s="253"/>
      <c r="AM21" s="251"/>
      <c r="AN21" s="251"/>
      <c r="AO21" s="253"/>
      <c r="AP21" s="253"/>
      <c r="AR21" s="251"/>
      <c r="AS21" s="251"/>
      <c r="AT21" s="253"/>
      <c r="AU21" s="253"/>
    </row>
    <row r="22" spans="1:47" s="6" customFormat="1">
      <c r="A22" s="6" t="str">
        <f>"."&amp;B22&amp;C22</f>
        <v>.GDX</v>
      </c>
      <c r="B22" s="264" t="s">
        <v>131</v>
      </c>
      <c r="C22" s="264"/>
      <c r="D22" s="263">
        <f>SUMIF(Tabelad[Ticker],PAIR_Monitor!B22,Tabelad[Exp %])</f>
        <v>1.0752276875534653E-3</v>
      </c>
      <c r="E22" s="263"/>
      <c r="F22" s="264"/>
      <c r="G22" s="244"/>
      <c r="H22" s="245"/>
      <c r="I22" s="244"/>
      <c r="J22" s="245"/>
      <c r="K22" s="246"/>
      <c r="L22" s="245"/>
      <c r="M22" s="245"/>
      <c r="N22" s="247"/>
      <c r="O22" s="248"/>
      <c r="P22" s="249"/>
      <c r="Q22" s="249"/>
      <c r="R22" s="245"/>
      <c r="S22" s="245"/>
      <c r="T22" s="245"/>
      <c r="U22" s="245"/>
      <c r="V22" s="245"/>
      <c r="W22" s="245"/>
      <c r="X22" s="249"/>
      <c r="Y22" s="250"/>
      <c r="Z22" s="251"/>
      <c r="AA22" s="250"/>
      <c r="AB22" s="251"/>
      <c r="AC22" s="250"/>
      <c r="AD22" s="245"/>
      <c r="AE22" s="245"/>
      <c r="AF22" s="252"/>
      <c r="AG22" s="252"/>
      <c r="AH22" s="253"/>
      <c r="AI22" s="253"/>
      <c r="AJ22" s="253"/>
      <c r="AK22" s="253"/>
      <c r="AM22" s="251"/>
      <c r="AN22" s="251"/>
      <c r="AO22" s="253"/>
      <c r="AP22" s="253"/>
      <c r="AR22" s="251"/>
      <c r="AS22" s="251"/>
      <c r="AT22" s="253"/>
      <c r="AU22" s="253"/>
    </row>
    <row r="23" spans="1:47" s="6" customFormat="1">
      <c r="A23" s="6" t="str">
        <f>"."&amp;B23&amp;C23</f>
        <v>.NEM</v>
      </c>
      <c r="B23" s="264" t="s">
        <v>132</v>
      </c>
      <c r="C23" s="264"/>
      <c r="D23" s="263">
        <f>SUMIF(Tabelad[Ticker],PAIR_Monitor!B23,Tabelad[Exp %])</f>
        <v>0</v>
      </c>
      <c r="E23" s="263"/>
      <c r="F23" s="264"/>
      <c r="G23" s="244"/>
      <c r="H23" s="245"/>
      <c r="I23" s="244"/>
      <c r="J23" s="245"/>
      <c r="K23" s="246"/>
      <c r="L23" s="245"/>
      <c r="M23" s="245"/>
      <c r="N23" s="247"/>
      <c r="O23" s="248"/>
      <c r="P23" s="249"/>
      <c r="Q23" s="249"/>
      <c r="R23" s="245"/>
      <c r="S23" s="245"/>
      <c r="T23" s="245"/>
      <c r="U23" s="245"/>
      <c r="V23" s="245"/>
      <c r="W23" s="245"/>
      <c r="X23" s="249"/>
      <c r="Y23" s="250"/>
      <c r="Z23" s="251"/>
      <c r="AA23" s="250"/>
      <c r="AB23" s="251"/>
      <c r="AC23" s="250"/>
      <c r="AD23" s="245"/>
      <c r="AE23" s="245"/>
      <c r="AF23" s="252"/>
      <c r="AG23" s="252"/>
      <c r="AH23" s="253"/>
      <c r="AI23" s="253"/>
      <c r="AJ23" s="253"/>
      <c r="AK23" s="253"/>
      <c r="AM23" s="251"/>
      <c r="AN23" s="251"/>
      <c r="AO23" s="253"/>
      <c r="AP23" s="253"/>
      <c r="AR23" s="251"/>
      <c r="AS23" s="251"/>
      <c r="AT23" s="253"/>
      <c r="AU23" s="253"/>
    </row>
    <row r="24" spans="1:47">
      <c r="B24" s="254"/>
      <c r="C24" s="254"/>
      <c r="D24" s="255"/>
      <c r="E24" s="255"/>
      <c r="F24" s="254"/>
      <c r="G24" s="187"/>
      <c r="H24" s="188"/>
      <c r="I24" s="187"/>
      <c r="J24" s="188"/>
      <c r="K24" s="189"/>
      <c r="L24" s="188"/>
      <c r="M24" s="188"/>
      <c r="N24" s="190"/>
      <c r="O24" s="191"/>
      <c r="P24" s="192"/>
      <c r="Q24" s="192"/>
      <c r="R24" s="188"/>
      <c r="S24" s="188"/>
      <c r="T24" s="188"/>
      <c r="U24" s="188"/>
      <c r="V24" s="188"/>
      <c r="W24" s="188"/>
      <c r="X24" s="192"/>
      <c r="Y24" s="193"/>
      <c r="Z24" s="194"/>
      <c r="AA24" s="193"/>
      <c r="AB24" s="194"/>
      <c r="AC24" s="193"/>
      <c r="AD24" s="188"/>
      <c r="AE24" s="188"/>
      <c r="AF24" s="195"/>
      <c r="AG24" s="195"/>
      <c r="AH24" s="196"/>
      <c r="AI24" s="196"/>
      <c r="AJ24" s="196"/>
      <c r="AK24" s="196"/>
      <c r="AM24" s="194"/>
      <c r="AN24" s="194"/>
      <c r="AO24" s="196"/>
      <c r="AP24" s="196"/>
      <c r="AR24" s="194"/>
      <c r="AS24" s="194"/>
      <c r="AT24" s="196"/>
      <c r="AU24" s="196"/>
    </row>
    <row r="25" spans="1:47">
      <c r="B25" s="254"/>
      <c r="C25" s="254"/>
      <c r="D25" s="255"/>
      <c r="E25" s="255"/>
      <c r="F25" s="254"/>
      <c r="G25" s="187"/>
      <c r="H25" s="188"/>
      <c r="I25" s="187"/>
      <c r="J25" s="188"/>
      <c r="K25" s="189"/>
      <c r="L25" s="188"/>
      <c r="M25" s="188"/>
      <c r="N25" s="190"/>
      <c r="O25" s="191"/>
      <c r="P25" s="192"/>
      <c r="Q25" s="192"/>
      <c r="R25" s="188"/>
      <c r="S25" s="188"/>
      <c r="T25" s="188"/>
      <c r="U25" s="188"/>
      <c r="V25" s="188"/>
      <c r="W25" s="188"/>
      <c r="X25" s="192"/>
      <c r="Y25" s="193"/>
      <c r="Z25" s="194"/>
      <c r="AA25" s="193"/>
      <c r="AB25" s="194"/>
      <c r="AC25" s="193"/>
      <c r="AD25" s="188"/>
      <c r="AE25" s="188"/>
      <c r="AF25" s="195"/>
      <c r="AG25" s="195"/>
      <c r="AH25" s="196"/>
      <c r="AI25" s="196"/>
      <c r="AJ25" s="196"/>
      <c r="AK25" s="196"/>
      <c r="AM25" s="194"/>
      <c r="AN25" s="194"/>
      <c r="AO25" s="196"/>
      <c r="AP25" s="196"/>
      <c r="AR25" s="194"/>
      <c r="AS25" s="194"/>
      <c r="AT25" s="196"/>
      <c r="AU25" s="196"/>
    </row>
    <row r="26" spans="1:47" s="6" customFormat="1">
      <c r="B26" s="242"/>
      <c r="C26" s="242"/>
      <c r="D26" s="243"/>
      <c r="E26" s="243"/>
      <c r="F26" s="242"/>
      <c r="G26" s="244"/>
      <c r="H26" s="245"/>
      <c r="I26" s="244"/>
      <c r="J26" s="245"/>
      <c r="K26" s="246"/>
      <c r="L26" s="245"/>
      <c r="M26" s="245"/>
      <c r="N26" s="247"/>
      <c r="O26" s="248"/>
      <c r="P26" s="249"/>
      <c r="Q26" s="249"/>
      <c r="R26" s="245"/>
      <c r="S26" s="245"/>
      <c r="T26" s="245"/>
      <c r="U26" s="245"/>
      <c r="V26" s="245"/>
      <c r="W26" s="245"/>
      <c r="X26" s="249"/>
      <c r="Y26" s="250"/>
      <c r="Z26" s="251"/>
      <c r="AA26" s="250"/>
      <c r="AB26" s="251"/>
      <c r="AC26" s="250"/>
      <c r="AD26" s="245"/>
      <c r="AE26" s="245"/>
      <c r="AF26" s="252"/>
      <c r="AG26" s="252"/>
      <c r="AH26" s="253"/>
      <c r="AI26" s="253"/>
      <c r="AJ26" s="253"/>
      <c r="AK26" s="253"/>
      <c r="AM26" s="251"/>
      <c r="AN26" s="251"/>
      <c r="AO26" s="253"/>
      <c r="AP26" s="253"/>
      <c r="AR26" s="251"/>
      <c r="AS26" s="251"/>
      <c r="AT26" s="253"/>
      <c r="AU26" s="253"/>
    </row>
    <row r="27" spans="1:47" s="6" customFormat="1">
      <c r="B27" s="186"/>
      <c r="C27" s="186"/>
      <c r="D27" s="241"/>
      <c r="E27" s="243"/>
      <c r="F27" s="242"/>
      <c r="G27" s="244"/>
      <c r="H27" s="245"/>
      <c r="I27" s="244"/>
      <c r="J27" s="245"/>
      <c r="K27" s="246"/>
      <c r="L27" s="245"/>
      <c r="M27" s="245"/>
      <c r="N27" s="247"/>
      <c r="O27" s="248"/>
      <c r="P27" s="249"/>
      <c r="Q27" s="249"/>
      <c r="R27" s="245"/>
      <c r="S27" s="245"/>
      <c r="T27" s="245"/>
      <c r="U27" s="245"/>
      <c r="V27" s="245"/>
      <c r="W27" s="245"/>
      <c r="X27" s="249"/>
      <c r="Y27" s="250"/>
      <c r="Z27" s="251"/>
      <c r="AA27" s="250"/>
      <c r="AB27" s="251"/>
      <c r="AC27" s="250"/>
      <c r="AD27" s="245"/>
      <c r="AE27" s="245"/>
      <c r="AF27" s="252"/>
      <c r="AG27" s="252"/>
      <c r="AH27" s="253"/>
      <c r="AI27" s="253"/>
      <c r="AJ27" s="253"/>
      <c r="AK27" s="253"/>
      <c r="AM27" s="251"/>
      <c r="AN27" s="251"/>
      <c r="AO27" s="253"/>
      <c r="AP27" s="253"/>
      <c r="AR27" s="251"/>
      <c r="AS27" s="251"/>
      <c r="AT27" s="253"/>
      <c r="AU27" s="253"/>
    </row>
    <row r="28" spans="1:47" s="6" customFormat="1">
      <c r="B28" s="186"/>
      <c r="C28" s="186"/>
      <c r="D28" s="241"/>
      <c r="E28" s="243"/>
      <c r="F28" s="242"/>
      <c r="G28" s="244"/>
      <c r="H28" s="245"/>
      <c r="I28" s="244"/>
      <c r="J28" s="245"/>
      <c r="K28" s="246"/>
      <c r="L28" s="245"/>
      <c r="M28" s="245"/>
      <c r="N28" s="247"/>
      <c r="O28" s="248"/>
      <c r="P28" s="249"/>
      <c r="Q28" s="249"/>
      <c r="R28" s="245"/>
      <c r="S28" s="245"/>
      <c r="T28" s="245"/>
      <c r="U28" s="245"/>
      <c r="V28" s="245"/>
      <c r="W28" s="245"/>
      <c r="X28" s="249"/>
      <c r="Y28" s="250"/>
      <c r="Z28" s="251"/>
      <c r="AA28" s="250"/>
      <c r="AB28" s="251"/>
      <c r="AC28" s="250"/>
      <c r="AD28" s="245"/>
      <c r="AE28" s="245"/>
      <c r="AF28" s="252"/>
      <c r="AG28" s="252"/>
      <c r="AH28" s="253"/>
      <c r="AI28" s="253"/>
      <c r="AJ28" s="253"/>
      <c r="AK28" s="253"/>
      <c r="AM28" s="251"/>
      <c r="AN28" s="251"/>
      <c r="AO28" s="253"/>
      <c r="AP28" s="253"/>
      <c r="AR28" s="251"/>
      <c r="AS28" s="251"/>
      <c r="AT28" s="253"/>
      <c r="AU28" s="253"/>
    </row>
    <row r="29" spans="1:47">
      <c r="A29" t="str">
        <f>"."&amp;B29&amp;C29</f>
        <v>.BPTTE</v>
      </c>
      <c r="B29" s="186" t="s">
        <v>1678</v>
      </c>
      <c r="C29" s="186" t="s">
        <v>1680</v>
      </c>
      <c r="D29" s="186"/>
      <c r="E29" s="186"/>
      <c r="F29" s="186"/>
      <c r="G29" s="187" cm="1">
        <f t="array" ref="G29">_xll.BDP(B29&amp;" Equity","LAST PRICE")</f>
        <v>37.619999999999997</v>
      </c>
      <c r="H29" s="188" cm="1">
        <f t="array" ref="H29">G29/_xll.BDP(B29&amp;" Equity", "PREV_CLOSE_VAL")-1</f>
        <v>2.3394994559303495E-2</v>
      </c>
      <c r="I29" s="187" cm="1">
        <f t="array" ref="I29">_xll.BDP(C29&amp;" Equity","LAST PRICE")</f>
        <v>71.790000000000006</v>
      </c>
      <c r="J29" s="188" cm="1">
        <f t="array" ref="J29">I29/_xll.BDP(C29&amp;" Equity", "PREV_CLOSE_VAL")-1</f>
        <v>1.974431818181821E-2</v>
      </c>
      <c r="K29" s="189">
        <f t="shared" ref="K29:K41" si="9">G29/I29</f>
        <v>0.52402841621395735</v>
      </c>
      <c r="L29" s="188" cm="1">
        <f t="array" ref="L29">K29/(_xll.BDP(B29&amp;" Equity", "PREV_CLOSE_VAL")/_xll.BDP(C29&amp;" Equity", "PREV_CLOSE_VAL"))-1</f>
        <v>3.5799918787431384E-3</v>
      </c>
      <c r="M29" s="188"/>
      <c r="N29" s="190">
        <f t="shared" ref="N29:N41" si="10">ABS(L29/O29)</f>
        <v>0.3300888928143984</v>
      </c>
      <c r="O29" s="191">
        <f>P29/15.87/100</f>
        <v>1.0845538752362952E-2</v>
      </c>
      <c r="P29" s="192" cm="1">
        <f t="array" ref="P29">_xll.BDP($A29&amp;" Index","VOLATILITY_30D")</f>
        <v>17.211870000000001</v>
      </c>
      <c r="Q29" s="192" cm="1">
        <f t="array" aca="1" ref="Q29" ca="1">(_xll.BDP(($B29&amp; " Equity"),"CORR_COEF", "BETA_OVERRIDE_REL_INDEX",($C29&amp; " Equity"),"BETA_OVERRIDE_END_DT",$Q$5,"BETA_OVERRIDE_START_DT",$Q$4))*100</f>
        <v>53.88066397935772</v>
      </c>
      <c r="R29" s="188"/>
      <c r="S29" s="188" cm="1">
        <f t="array" ref="S29">_xll.BDP($A29&amp;" Index","CHG_PCT_2D")/100</f>
        <v>-5.539642E-3</v>
      </c>
      <c r="T29" s="188" cm="1">
        <f t="array" ref="T29">_xll.BDP($A29&amp;" Index","CHG_PCT_5D")/100</f>
        <v>3.488091E-3</v>
      </c>
      <c r="U29" s="188" cm="1">
        <f t="array" ref="U29">K29/_xll.BDP($A29&amp;" Index","HIGH_52WEEK")-1</f>
        <v>-0.11632448657871319</v>
      </c>
      <c r="V29" s="188" cm="1">
        <f t="array" ref="V29">K29/_xll.BDP($A29&amp;" Index","LOW_52WEEK")-1</f>
        <v>0.11077096087915161</v>
      </c>
      <c r="W29" s="188"/>
      <c r="X29" s="192" cm="1">
        <f t="array" ref="X29">_xll.BDP($A29&amp;" Index","RSI_14D")</f>
        <v>39.81626</v>
      </c>
      <c r="Y29" s="193"/>
      <c r="Z29" s="194">
        <f t="shared" ref="Z29:Z41" si="11">Y29/K29-1</f>
        <v>-1</v>
      </c>
      <c r="AA29" s="193"/>
      <c r="AB29" s="194">
        <f t="shared" ref="AB29:AB41" si="12">AA29/K29-1</f>
        <v>-1</v>
      </c>
      <c r="AC29" s="193"/>
      <c r="AD29" s="188" t="e">
        <f t="shared" ref="AD29:AD41" si="13">K29/AC29-1</f>
        <v>#DIV/0!</v>
      </c>
      <c r="AE29" s="188"/>
      <c r="AF29" s="195">
        <f>IF(ISTEXT(B29),_xll.BDP(B29 &amp; " Equity","EXPECTED_REPORT_DT")*1,"")</f>
        <v>46064</v>
      </c>
      <c r="AG29" s="195">
        <f>IF(ISTEXT(C29),_xll.BDP(C29 &amp; " Equity","EXPECTED_REPORT_DT")*1,"")</f>
        <v>46064</v>
      </c>
      <c r="AH29" s="196" cm="1">
        <f t="array" ref="AH29">(_xll.BDP(B29&amp;" Equity","SHORT_INT")/_xll.BDP(B29&amp;" Equity","VOLUME_AVG_90D"))</f>
        <v>1.6665217587097891</v>
      </c>
      <c r="AI29" s="196" cm="1">
        <f t="array" ref="AI29">(_xll.BDP(C29&amp;" Equity","SHORT_INT")/_xll.BDP(C29&amp;" Equity","VOLUME_AVG_90D"))</f>
        <v>12.351503624448988</v>
      </c>
      <c r="AJ29" s="196" t="e" cm="1">
        <f t="array" ref="AJ29">(_xll.BDP(B29&amp;" Equity","SHORT_INT"))/((_xll.BDP(B29&amp;" Equity","EQY_FREE_FLOAT_PCT"))*(_xll.BDP(B29&amp;" Equity","EQY_SH_OUT_TOT_MULT_SH")))/100</f>
        <v>#VALUE!</v>
      </c>
      <c r="AK29" s="196" cm="1">
        <f t="array" ref="AK29">(_xll.BDP(C29&amp;" Equity","SHORT_INT"))/((_xll.BDP(C29&amp;" Equity","EQY_FREE_FLOAT_PCT"))*(_xll.BDP(C29&amp;" Equity","EQY_SH_OUT_TOT_MULT_SH")))/100</f>
        <v>0.27300859541145506</v>
      </c>
      <c r="AM29" s="194">
        <f ca="1">IF(ISTEXT(B29),AP29/_xll.BDH(B29 &amp;  " Equity","BEST_EPS",$AM$3,$AM$3,"BEST_FPERIOD_OVERRIDE=1BF","CDR=US","Fill=p")-1,"")</f>
        <v>-1.7604418363824537E-2</v>
      </c>
      <c r="AN29" s="194">
        <f ca="1">IF(ISTEXT(B29),AP29/_xll.BDH(B29 &amp;  " Equity","BEST_EPS",$AN$3,$AN$3,"BEST_FPERIOD_OVERRIDE=1BF","CDR=US","Fill=p")-1,"")</f>
        <v>-4.8951048951048071E-3</v>
      </c>
      <c r="AO29" s="196">
        <f t="shared" ref="AO29:AO41" ca="1" si="14">G29/AP29</f>
        <v>13.218552354181305</v>
      </c>
      <c r="AP29" s="196" cm="1">
        <f t="array" aca="1" ref="AP29" ca="1">IF(ISTEXT(B29),_xll.BDH(B29 &amp;  " Equity","BEST_EPS",$Q$3,$Q$3,"BEST_FPERIOD_OVERRIDE=1BF","CDR=US","Fill=p"),"")</f>
        <v>2.8460000000000001</v>
      </c>
      <c r="AR29" s="194">
        <f ca="1">IF(ISTEXT(C29),AU29/_xll.BDH(C29 &amp;  " Equity","BEST_EPS",$AM$3,$AM$3,"BEST_FPERIOD_OVERRIDE=1BF","CDR=US","Fill=p")-1,"")</f>
        <v>-1.7938538450227859E-2</v>
      </c>
      <c r="AS29" s="194">
        <f ca="1">IF(ISTEXT(C29),AU29/_xll.BDH(C29 &amp;  " Equity","BEST_EPS",$AN$3,$AN$3,"BEST_FPERIOD_OVERRIDE=1BF","CDR=US","Fill=p")-1,"")</f>
        <v>-3.7191869684301548E-2</v>
      </c>
      <c r="AT29" s="196">
        <f t="shared" ref="AT29:AT41" ca="1" si="15">I29/AU29</f>
        <v>10.74861506213505</v>
      </c>
      <c r="AU29" s="196" cm="1">
        <f t="array" aca="1" ref="AU29" ca="1">IF(ISTEXT(C29),_xll.BDH(C29 &amp;  " Equity","BEST_EPS",$Q$3,$Q$3,"BEST_FPERIOD_OVERRIDE=1BF","CDR=US","Fill=p"),"")</f>
        <v>6.6790000000000003</v>
      </c>
    </row>
    <row r="30" spans="1:47">
      <c r="A30" t="str">
        <f>"."&amp;B30&amp;C30</f>
        <v>.BPSHEL</v>
      </c>
      <c r="B30" s="186" t="s">
        <v>1678</v>
      </c>
      <c r="C30" s="186" t="s">
        <v>1679</v>
      </c>
      <c r="D30" s="186"/>
      <c r="E30" s="186"/>
      <c r="F30" s="186"/>
      <c r="G30" s="187" cm="1">
        <f t="array" ref="G30">_xll.BDP(B30&amp;" Equity","LAST PRICE")</f>
        <v>37.619999999999997</v>
      </c>
      <c r="H30" s="188" cm="1">
        <f t="array" ref="H30">G30/_xll.BDP(B30&amp;" Equity", "PREV_CLOSE_VAL")-1</f>
        <v>2.3394994559303495E-2</v>
      </c>
      <c r="I30" s="187" cm="1">
        <f t="array" ref="I30">_xll.BDP(C30&amp;" Equity","LAST PRICE")</f>
        <v>75.45</v>
      </c>
      <c r="J30" s="188" cm="1">
        <f t="array" ref="J30">I30/_xll.BDP(C30&amp;" Equity", "PREV_CLOSE_VAL")-1</f>
        <v>3.0034129692832812E-2</v>
      </c>
      <c r="K30" s="189">
        <f t="shared" si="9"/>
        <v>0.49860834990059638</v>
      </c>
      <c r="L30" s="188" cm="1">
        <f t="array" ref="L30">K30/(_xll.BDP(B30&amp;" Equity", "PREV_CLOSE_VAL")/_xll.BDP(C30&amp;" Equity", "PREV_CLOSE_VAL"))-1</f>
        <v>-6.445548688283842E-3</v>
      </c>
      <c r="M30" s="188"/>
      <c r="N30" s="190">
        <f>ABS(L30/O30)</f>
        <v>0.54002541293761319</v>
      </c>
      <c r="O30" s="191">
        <f>P30/15.87/100</f>
        <v>1.1935639571518587E-2</v>
      </c>
      <c r="P30" s="192" cm="1">
        <f t="array" ref="P30">_xll.BDP($A30&amp;" Index","VOLATILITY_30D")</f>
        <v>18.941859999999998</v>
      </c>
      <c r="Q30" s="192" cm="1">
        <f t="array" aca="1" ref="Q30" ca="1">(_xll.BDP(($B30&amp; " Equity"),"CORR_COEF", "BETA_OVERRIDE_REL_INDEX",($C30&amp; " Equity"),"BETA_OVERRIDE_END_DT",$Q$5,"BETA_OVERRIDE_START_DT",$Q$4))*100</f>
        <v>74.579881263101583</v>
      </c>
      <c r="R30" s="188"/>
      <c r="S30" s="188" cm="1">
        <f t="array" ref="S30">_xll.BDP($A30&amp;" Index","CHG_PCT_2D")/100</f>
        <v>7.9100060000000007E-3</v>
      </c>
      <c r="T30" s="188" cm="1">
        <f t="array" ref="T30">_xll.BDP($A30&amp;" Index","CHG_PCT_5D")/100</f>
        <v>3.8390759999999996E-2</v>
      </c>
      <c r="U30" s="188" cm="1">
        <f t="array" ref="U30">K30/_xll.BDP($A30&amp;" Index","HIGH_52WEEK")-1</f>
        <v>-4.3675726148689198E-2</v>
      </c>
      <c r="V30" s="188" cm="1">
        <f t="array" ref="V30">K30/_xll.BDP($A30&amp;" Index","LOW_52WEEK")-1</f>
        <v>0.18162037562053324</v>
      </c>
      <c r="W30" s="188"/>
      <c r="X30" s="192" cm="1">
        <f t="array" ref="X30">_xll.BDP($A30&amp;" Index","RSI_14D")</f>
        <v>68.231899999999996</v>
      </c>
      <c r="Y30" s="193"/>
      <c r="Z30" s="194">
        <f t="shared" si="11"/>
        <v>-1</v>
      </c>
      <c r="AA30" s="193"/>
      <c r="AB30" s="194">
        <f t="shared" si="12"/>
        <v>-1</v>
      </c>
      <c r="AC30" s="193"/>
      <c r="AD30" s="188" t="e">
        <f t="shared" si="13"/>
        <v>#DIV/0!</v>
      </c>
      <c r="AE30" s="188"/>
      <c r="AF30" s="195">
        <f>IF(ISTEXT(B30),_xll.BDP(B30 &amp; " Equity","EXPECTED_REPORT_DT")*1,"")</f>
        <v>46064</v>
      </c>
      <c r="AG30" s="195">
        <f>IF(ISTEXT(C30),_xll.BDP(C30 &amp; " Equity","EXPECTED_REPORT_DT")*1,"")</f>
        <v>46058</v>
      </c>
      <c r="AH30" s="196" cm="1">
        <f t="array" ref="AH30">(_xll.BDP(B30&amp;" Equity","SHORT_INT")/_xll.BDP(B30&amp;" Equity","VOLUME_AVG_90D"))</f>
        <v>1.6665217587097891</v>
      </c>
      <c r="AI30" s="196" cm="1">
        <f t="array" ref="AI30">(_xll.BDP(C30&amp;" Equity","SHORT_INT")/_xll.BDP(C30&amp;" Equity","VOLUME_AVG_90D"))</f>
        <v>2.8878368985471909</v>
      </c>
      <c r="AJ30" s="196" t="e" cm="1">
        <f t="array" ref="AJ30">(_xll.BDP(B30&amp;" Equity","SHORT_INT"))/((_xll.BDP(B30&amp;" Equity","EQY_FREE_FLOAT_PCT"))*(_xll.BDP(B30&amp;" Equity","EQY_SH_OUT_TOT_MULT_SH")))/100</f>
        <v>#VALUE!</v>
      </c>
      <c r="AK30" s="196" t="e" cm="1">
        <f t="array" ref="AK30">(_xll.BDP(C30&amp;" Equity","SHORT_INT"))/((_xll.BDP(C30&amp;" Equity","EQY_FREE_FLOAT_PCT"))*(_xll.BDP(C30&amp;" Equity","EQY_SH_OUT_TOT_MULT_SH")))/100</f>
        <v>#VALUE!</v>
      </c>
      <c r="AM30" s="194">
        <f ca="1">IF(ISTEXT(B30),AP30/_xll.BDH(B30 &amp;  " Equity","BEST_EPS",$AM$3,$AM$3,"BEST_FPERIOD_OVERRIDE=1BF","CDR=US","Fill=p")-1,"")</f>
        <v>-1.7604418363824537E-2</v>
      </c>
      <c r="AN30" s="194">
        <f ca="1">IF(ISTEXT(B30),AP30/_xll.BDH(B30 &amp;  " Equity","BEST_EPS",$AN$3,$AN$3,"BEST_FPERIOD_OVERRIDE=1BF","CDR=US","Fill=p")-1,"")</f>
        <v>-4.8951048951048071E-3</v>
      </c>
      <c r="AO30" s="196">
        <f t="shared" ca="1" si="14"/>
        <v>13.218552354181305</v>
      </c>
      <c r="AP30" s="196" cm="1">
        <f t="array" aca="1" ref="AP30" ca="1">IF(ISTEXT(B30),_xll.BDH(B30 &amp;  " Equity","BEST_EPS",$Q$3,$Q$3,"BEST_FPERIOD_OVERRIDE=1BF","CDR=US","Fill=p"),"")</f>
        <v>2.8460000000000001</v>
      </c>
      <c r="AR30" s="194">
        <f ca="1">IF(ISTEXT(C30),AU30/_xll.BDH(C30 &amp;  " Equity","BEST_EPS",$AM$3,$AM$3,"BEST_FPERIOD_OVERRIDE=1BF","CDR=US","Fill=p")-1,"")</f>
        <v>8.4300938444408224E-3</v>
      </c>
      <c r="AS30" s="194">
        <f ca="1">IF(ISTEXT(C30),AU30/_xll.BDH(C30 &amp;  " Equity","BEST_EPS",$AN$3,$AN$3,"BEST_FPERIOD_OVERRIDE=1BF","CDR=US","Fill=p")-1,"")</f>
        <v>-1.1383128021207001E-2</v>
      </c>
      <c r="AT30" s="196">
        <f t="shared" ca="1" si="15"/>
        <v>11.900630914826499</v>
      </c>
      <c r="AU30" s="196" cm="1">
        <f t="array" aca="1" ref="AU30" ca="1">IF(ISTEXT(C30),_xll.BDH(C30 &amp;  " Equity","BEST_EPS",$Q$3,$Q$3,"BEST_FPERIOD_OVERRIDE=1BF","CDR=US","Fill=p"),"")</f>
        <v>6.34</v>
      </c>
    </row>
    <row r="31" spans="1:47">
      <c r="A31" t="str">
        <f>"."&amp;B31&amp;C31</f>
        <v>.CRMQQQ</v>
      </c>
      <c r="B31" s="186" t="s">
        <v>134</v>
      </c>
      <c r="C31" s="186" t="s">
        <v>135</v>
      </c>
      <c r="D31" s="186"/>
      <c r="E31" s="186"/>
      <c r="F31" s="186"/>
      <c r="G31" s="187" cm="1">
        <f t="array" ref="G31">_xll.BDP(B31&amp;" Equity","LAST PRICE")</f>
        <v>228.53</v>
      </c>
      <c r="H31" s="188" cm="1">
        <f t="array" ref="H31">G31/_xll.BDP(B31&amp;" Equity", "PREV_CLOSE_VAL")-1</f>
        <v>-3.7925021795989222E-3</v>
      </c>
      <c r="I31" s="187" cm="1">
        <f t="array" ref="I31">_xll.BDP(C31&amp;" Equity","LAST PRICE")</f>
        <v>631.13</v>
      </c>
      <c r="J31" s="188" cm="1">
        <f t="array" ref="J31">I31/_xll.BDP(C31&amp;" Equity", "PREV_CLOSE_VAL")-1</f>
        <v>9.0653279186518887E-3</v>
      </c>
      <c r="K31" s="189">
        <f t="shared" si="9"/>
        <v>0.36209655696924564</v>
      </c>
      <c r="L31" s="188" cm="1">
        <f t="array" ref="L31">K31/(_xll.BDP(B31&amp;" Equity", "PREV_CLOSE_VAL")/_xll.BDP(C31&amp;" Equity", "PREV_CLOSE_VAL"))-1</f>
        <v>-1.2742316817853649E-2</v>
      </c>
      <c r="M31" s="188"/>
      <c r="N31" s="190">
        <f t="shared" si="10"/>
        <v>0.62228127483705986</v>
      </c>
      <c r="O31" s="191">
        <f>P31/15.87/100</f>
        <v>2.047678008821676E-2</v>
      </c>
      <c r="P31" s="192" cm="1">
        <f t="array" ref="P31">_xll.BDP($A31&amp;" Index","VOLATILITY_30D")</f>
        <v>32.496650000000002</v>
      </c>
      <c r="Q31" s="192" cm="1">
        <f t="array" aca="1" ref="Q31" ca="1">(_xll.BDP(($B31&amp; " Equity"),"CORR_COEF", "BETA_OVERRIDE_REL_INDEX",($C31&amp; " Equity"),"BETA_OVERRIDE_END_DT",$Q$5,"BETA_OVERRIDE_START_DT",$Q$4))*100</f>
        <v>45.663001500105125</v>
      </c>
      <c r="R31" s="188"/>
      <c r="S31" s="188" cm="1">
        <f t="array" ref="S31">_xll.BDP($A31&amp;" Index","CHG_PCT_2D")/100</f>
        <v>-1.1130040000000001E-2</v>
      </c>
      <c r="T31" s="188" cm="1">
        <f t="array" ref="T31">_xll.BDP($A31&amp;" Index","CHG_PCT_5D")/100</f>
        <v>6.0372210000000004E-4</v>
      </c>
      <c r="U31" s="188" cm="1">
        <f t="array" ref="U31">K31/_xll.BDP($A31&amp;" Index","HIGH_52WEEK")-1</f>
        <v>-0.47507783742009302</v>
      </c>
      <c r="V31" s="188" cm="1">
        <f t="array" ref="V31">K31/_xll.BDP($A31&amp;" Index","LOW_52WEEK")-1</f>
        <v>7.1106329455572492E-3</v>
      </c>
      <c r="W31" s="188"/>
      <c r="X31" s="192" cm="1">
        <f t="array" ref="X31">_xll.BDP($A31&amp;" Index","RSI_14D")</f>
        <v>32.093240000000002</v>
      </c>
      <c r="Y31" s="193"/>
      <c r="Z31" s="194">
        <f t="shared" si="11"/>
        <v>-1</v>
      </c>
      <c r="AA31" s="193"/>
      <c r="AB31" s="194">
        <f t="shared" si="12"/>
        <v>-1</v>
      </c>
      <c r="AC31" s="193"/>
      <c r="AD31" s="188" t="e">
        <f t="shared" si="13"/>
        <v>#DIV/0!</v>
      </c>
      <c r="AE31" s="188"/>
      <c r="AF31" s="195">
        <f>IF(ISTEXT(B31),_xll.BDP(B31 &amp; " Equity","EXPECTED_REPORT_DT")*1,"")</f>
        <v>46079</v>
      </c>
      <c r="AG31" s="195" t="e">
        <f>IF(ISTEXT(C31),_xll.BDP(C31 &amp; " Equity","EXPECTED_REPORT_DT")*1,"")</f>
        <v>#VALUE!</v>
      </c>
      <c r="AH31" s="196" cm="1">
        <f t="array" ref="AH31">(_xll.BDP(B31&amp;" Equity","SHORT_INT")/_xll.BDP(B31&amp;" Equity","VOLUME_AVG_90D"))</f>
        <v>2.1687468568090016</v>
      </c>
      <c r="AI31" s="196" cm="1">
        <f t="array" ref="AI31">(_xll.BDP(C31&amp;" Equity","SHORT_INT")/_xll.BDP(C31&amp;" Equity","VOLUME_AVG_90D"))</f>
        <v>0.76746875142421522</v>
      </c>
      <c r="AJ31" s="196" cm="1">
        <f t="array" ref="AJ31">(_xll.BDP(B31&amp;" Equity","SHORT_INT"))/((_xll.BDP(B31&amp;" Equity","EQY_FREE_FLOAT_PCT"))*(_xll.BDP(B31&amp;" Equity","EQY_SH_OUT_TOT_MULT_SH")))/100</f>
        <v>1.9956927649943825</v>
      </c>
      <c r="AK31" s="196" t="e" cm="1">
        <f t="array" ref="AK31">(_xll.BDP(C31&amp;" Equity","SHORT_INT"))/((_xll.BDP(C31&amp;" Equity","EQY_FREE_FLOAT_PCT"))*(_xll.BDP(C31&amp;" Equity","EQY_SH_OUT_TOT_MULT_SH")))/100</f>
        <v>#VALUE!</v>
      </c>
      <c r="AM31" s="194">
        <f ca="1">IF(ISTEXT(B31),AP31/_xll.BDH(B31 &amp;  " Equity","BEST_EPS",$AM$3,$AM$3,"BEST_FPERIOD_OVERRIDE=1BF","CDR=US","Fill=p")-1,"")</f>
        <v>1.1645724793135193E-2</v>
      </c>
      <c r="AN31" s="194">
        <f ca="1">IF(ISTEXT(B31),AP31/_xll.BDH(B31 &amp;  " Equity","BEST_EPS",$AN$3,$AN$3,"BEST_FPERIOD_OVERRIDE=1BF","CDR=US","Fill=p")-1,"")</f>
        <v>6.7162369675907385E-2</v>
      </c>
      <c r="AO31" s="196">
        <f t="shared" ca="1" si="14"/>
        <v>17.307634050287792</v>
      </c>
      <c r="AP31" s="196" cm="1">
        <f t="array" aca="1" ref="AP31" ca="1">IF(ISTEXT(B31),_xll.BDH(B31 &amp;  " Equity","BEST_EPS",$Q$3,$Q$3,"BEST_FPERIOD_OVERRIDE=1BF","CDR=US","Fill=p"),"")</f>
        <v>13.204000000000001</v>
      </c>
      <c r="AR31" s="194" t="e">
        <f ca="1">IF(ISTEXT(C31),AU31/_xll.BDH(C31 &amp;  " Equity","BEST_EPS",$AM$3,$AM$3,"BEST_FPERIOD_OVERRIDE=1BF","CDR=US","Fill=p")-1,"")</f>
        <v>#VALUE!</v>
      </c>
      <c r="AS31" s="194" t="e">
        <f ca="1">IF(ISTEXT(C31),AU31/_xll.BDH(C31 &amp;  " Equity","BEST_EPS",$AN$3,$AN$3,"BEST_FPERIOD_OVERRIDE=1BF","CDR=US","Fill=p")-1,"")</f>
        <v>#VALUE!</v>
      </c>
      <c r="AT31" s="196" t="e">
        <f t="shared" ca="1" si="15"/>
        <v>#VALUE!</v>
      </c>
      <c r="AU31" s="196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6" t="s">
        <v>134</v>
      </c>
      <c r="C32" s="186" t="s">
        <v>89</v>
      </c>
      <c r="D32" s="186"/>
      <c r="E32" s="186"/>
      <c r="F32" s="186"/>
      <c r="G32" s="187" cm="1">
        <f t="array" ref="G32">_xll.BDP(B32&amp;" Equity","LAST PRICE")</f>
        <v>228.53</v>
      </c>
      <c r="H32" s="188" cm="1">
        <f t="array" ref="H32">G32/_xll.BDP(B32&amp;" Equity", "PREV_CLOSE_VAL")-1</f>
        <v>-3.7925021795989222E-3</v>
      </c>
      <c r="I32" s="187" cm="1">
        <f t="array" ref="I32">_xll.BDP(C32&amp;" Equity","LAST PRICE")</f>
        <v>97.76</v>
      </c>
      <c r="J32" s="188" cm="1">
        <f t="array" ref="J32">I32/_xll.BDP(C32&amp;" Equity", "PREV_CLOSE_VAL")-1</f>
        <v>-1.0626454812265984E-2</v>
      </c>
      <c r="K32" s="189">
        <f t="shared" si="9"/>
        <v>2.337663666121113</v>
      </c>
      <c r="L32" s="188" cm="1">
        <f t="array" ref="L32">K32/(_xll.BDP(B32&amp;" Equity", "PREV_CLOSE_VAL")/_xll.BDP(C32&amp;" Equity", "PREV_CLOSE_VAL"))-1</f>
        <v>6.9073533104933027E-3</v>
      </c>
      <c r="M32" s="188"/>
      <c r="N32" s="190">
        <f t="shared" si="10"/>
        <v>0.47048251431807619</v>
      </c>
      <c r="O32" s="191">
        <f t="shared" ref="O32:O55" si="17">P32/15.87/100</f>
        <v>1.468142407057341E-2</v>
      </c>
      <c r="P32" s="192" cm="1">
        <f t="array" ref="P32">_xll.BDP($A32&amp;" Index","VOLATILITY_30D")</f>
        <v>23.299420000000001</v>
      </c>
      <c r="Q32" s="192" cm="1">
        <f t="array" aca="1" ref="Q32" ca="1">(_xll.BDP(($B32&amp; " Equity"),"CORR_COEF", "BETA_OVERRIDE_REL_INDEX",($C32&amp; " Equity"),"BETA_OVERRIDE_END_DT",$Q$5,"BETA_OVERRIDE_START_DT",$Q$4))*100</f>
        <v>76.739669970376937</v>
      </c>
      <c r="R32" s="188"/>
      <c r="S32" s="188" cm="1">
        <f t="array" ref="S32">_xll.BDP($A32&amp;" Index","CHG_PCT_2D")/100</f>
        <v>2.2207019999999997E-3</v>
      </c>
      <c r="T32" s="188" cm="1">
        <f t="array" ref="T32">_xll.BDP($A32&amp;" Index","CHG_PCT_5D")/100</f>
        <v>1.9642389999999999E-2</v>
      </c>
      <c r="U32" s="188" cm="1">
        <f t="array" ref="U32">K32/_xll.BDP($A32&amp;" Index","HIGH_52WEEK")-1</f>
        <v>-0.31815131573112021</v>
      </c>
      <c r="V32" s="188" cm="1">
        <f t="array" ref="V32">K32/_xll.BDP($A32&amp;" Index","LOW_52WEEK")-1</f>
        <v>0.14130916260435233</v>
      </c>
      <c r="W32" s="188"/>
      <c r="X32" s="192" cm="1">
        <f t="array" ref="X32">_xll.BDP($A32&amp;" Index","RSI_14D")</f>
        <v>41.590589999999999</v>
      </c>
      <c r="Y32" s="193"/>
      <c r="Z32" s="194">
        <f t="shared" si="11"/>
        <v>-1</v>
      </c>
      <c r="AA32" s="193"/>
      <c r="AB32" s="194">
        <f t="shared" si="12"/>
        <v>-1</v>
      </c>
      <c r="AC32" s="193"/>
      <c r="AD32" s="188" t="e">
        <f t="shared" si="13"/>
        <v>#DIV/0!</v>
      </c>
      <c r="AE32" s="188"/>
      <c r="AF32" s="195">
        <f>IF(ISTEXT(B32),_xll.BDP(B32 &amp; " Equity","EXPECTED_REPORT_DT")*1,"")</f>
        <v>46079</v>
      </c>
      <c r="AG32" s="195" t="e">
        <f>IF(ISTEXT(C32),_xll.BDP(C32 &amp; " Equity","EXPECTED_REPORT_DT")*1,"")</f>
        <v>#VALUE!</v>
      </c>
      <c r="AH32" s="196" cm="1">
        <f t="array" ref="AH32">(_xll.BDP(B32&amp;" Equity","SHORT_INT")/_xll.BDP(B32&amp;" Equity","VOLUME_AVG_90D"))</f>
        <v>2.1687468568090016</v>
      </c>
      <c r="AI32" s="196" t="e" cm="1">
        <f t="array" ref="AI32">(_xll.BDP(C32&amp;" Equity","SHORT_INT")/_xll.BDP(C32&amp;" Equity","VOLUME_AVG_90D"))</f>
        <v>#VALUE!</v>
      </c>
      <c r="AJ32" s="196" cm="1">
        <f t="array" ref="AJ32">(_xll.BDP(B32&amp;" Equity","SHORT_INT"))/((_xll.BDP(B32&amp;" Equity","EQY_FREE_FLOAT_PCT"))*(_xll.BDP(B32&amp;" Equity","EQY_SH_OUT_TOT_MULT_SH")))/100</f>
        <v>1.9956927649943825</v>
      </c>
      <c r="AK32" s="196" t="e" cm="1">
        <f t="array" ref="AK32">(_xll.BDP(C32&amp;" Equity","SHORT_INT"))/((_xll.BDP(C32&amp;" Equity","EQY_FREE_FLOAT_PCT"))*(_xll.BDP(C32&amp;" Equity","EQY_SH_OUT_TOT_MULT_SH")))/100</f>
        <v>#VALUE!</v>
      </c>
      <c r="AM32" s="194">
        <f ca="1">IF(ISTEXT(B32),AP32/_xll.BDH(B32 &amp;  " Equity","BEST_EPS",$AM$3,$AM$3,"BEST_FPERIOD_OVERRIDE=1BF","CDR=US","Fill=p")-1,"")</f>
        <v>1.1645724793135193E-2</v>
      </c>
      <c r="AN32" s="194">
        <f ca="1">IF(ISTEXT(B32),AP32/_xll.BDH(B32 &amp;  " Equity","BEST_EPS",$AN$3,$AN$3,"BEST_FPERIOD_OVERRIDE=1BF","CDR=US","Fill=p")-1,"")</f>
        <v>6.7162369675907385E-2</v>
      </c>
      <c r="AO32" s="196">
        <f t="shared" ca="1" si="14"/>
        <v>17.307634050287792</v>
      </c>
      <c r="AP32" s="196" cm="1">
        <f t="array" aca="1" ref="AP32" ca="1">IF(ISTEXT(B32),_xll.BDH(B32 &amp;  " Equity","BEST_EPS",$Q$3,$Q$3,"BEST_FPERIOD_OVERRIDE=1BF","CDR=US","Fill=p"),"")</f>
        <v>13.204000000000001</v>
      </c>
      <c r="AR32" s="194" t="e">
        <f ca="1">IF(ISTEXT(C32),AU32/_xll.BDH(C32 &amp;  " Equity","BEST_EPS",$AM$3,$AM$3,"BEST_FPERIOD_OVERRIDE=1BF","CDR=US","Fill=p")-1,"")</f>
        <v>#VALUE!</v>
      </c>
      <c r="AS32" s="194" t="e">
        <f ca="1">IF(ISTEXT(C32),AU32/_xll.BDH(C32 &amp;  " Equity","BEST_EPS",$AN$3,$AN$3,"BEST_FPERIOD_OVERRIDE=1BF","CDR=US","Fill=p")-1,"")</f>
        <v>#VALUE!</v>
      </c>
      <c r="AT32" s="196" t="e">
        <f t="shared" ca="1" si="15"/>
        <v>#VALUE!</v>
      </c>
      <c r="AU32" s="196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6" t="s">
        <v>81</v>
      </c>
      <c r="C33" s="186" t="s">
        <v>135</v>
      </c>
      <c r="D33" s="186"/>
      <c r="E33" s="186"/>
      <c r="F33" s="186"/>
      <c r="G33" s="187" cm="1">
        <f t="array" ref="G33">_xll.BDP(B33&amp;" Equity","LAST PRICE")</f>
        <v>672.97</v>
      </c>
      <c r="H33" s="188" cm="1">
        <f t="array" ref="H33">G33/_xll.BDP(B33&amp;" Equity", "PREV_CLOSE_VAL")-1</f>
        <v>9.0725206734498798E-4</v>
      </c>
      <c r="I33" s="187" cm="1">
        <f t="array" ref="I33">_xll.BDP(C33&amp;" Equity","LAST PRICE")</f>
        <v>631.13</v>
      </c>
      <c r="J33" s="188" cm="1">
        <f t="array" ref="J33">I33/_xll.BDP(C33&amp;" Equity", "PREV_CLOSE_VAL")-1</f>
        <v>9.0653279186518887E-3</v>
      </c>
      <c r="K33" s="189">
        <f t="shared" si="9"/>
        <v>1.0662937905027492</v>
      </c>
      <c r="L33" s="188" cm="1">
        <f t="array" ref="L33">K33/(_xll.BDP(B33&amp;" Equity", "PREV_CLOSE_VAL")/_xll.BDP(C33&amp;" Equity", "PREV_CLOSE_VAL"))-1</f>
        <v>-8.0847846275067248E-3</v>
      </c>
      <c r="M33" s="188"/>
      <c r="N33" s="190">
        <f t="shared" si="10"/>
        <v>0.58090946687003686</v>
      </c>
      <c r="O33" s="191">
        <f t="shared" si="17"/>
        <v>1.3917460617517328E-2</v>
      </c>
      <c r="P33" s="192" cm="1">
        <f t="array" ref="P33">_xll.BDP($A33&amp;" Index","VOLATILITY_30D")</f>
        <v>22.087009999999999</v>
      </c>
      <c r="Q33" s="192" cm="1">
        <f t="array" aca="1" ref="Q33" ca="1">(_xll.BDP(($B33&amp; " Equity"),"CORR_COEF", "BETA_OVERRIDE_REL_INDEX",($C33&amp; " Equity"),"BETA_OVERRIDE_END_DT",$Q$5,"BETA_OVERRIDE_START_DT",$Q$4))*100</f>
        <v>47.865859420394017</v>
      </c>
      <c r="R33" s="188"/>
      <c r="S33" s="188" cm="1">
        <f t="array" ref="S33">_xll.BDP($A33&amp;" Index","CHG_PCT_2D")/100</f>
        <v>9.4198269999999987E-3</v>
      </c>
      <c r="T33" s="188" cm="1">
        <f t="array" ref="T33">_xll.BDP($A33&amp;" Index","CHG_PCT_5D")/100</f>
        <v>7.4804300000000004E-2</v>
      </c>
      <c r="U33" s="188" cm="1">
        <f t="array" ref="U33">K33/_xll.BDP($A33&amp;" Index","HIGH_52WEEK")-1</f>
        <v>-0.22524610150203506</v>
      </c>
      <c r="V33" s="188" cm="1">
        <f t="array" ref="V33">K33/_xll.BDP($A33&amp;" Index","LOW_52WEEK")-1</f>
        <v>8.7422407888013254E-2</v>
      </c>
      <c r="W33" s="188"/>
      <c r="X33" s="192" cm="1">
        <f t="array" ref="X33">_xll.BDP($A33&amp;" Index","RSI_14D")</f>
        <v>61.346769999999999</v>
      </c>
      <c r="Y33" s="193"/>
      <c r="Z33" s="194">
        <f t="shared" si="11"/>
        <v>-1</v>
      </c>
      <c r="AA33" s="193"/>
      <c r="AB33" s="194">
        <f t="shared" si="12"/>
        <v>-1</v>
      </c>
      <c r="AC33" s="193"/>
      <c r="AD33" s="188" t="e">
        <f t="shared" si="13"/>
        <v>#DIV/0!</v>
      </c>
      <c r="AE33" s="188"/>
      <c r="AF33" s="195">
        <f>IF(ISTEXT(B33),_xll.BDP(B33 &amp; " Equity","EXPECTED_REPORT_DT")*1,"")</f>
        <v>46050</v>
      </c>
      <c r="AG33" s="195" t="e">
        <f>IF(ISTEXT(C33),_xll.BDP(C33 &amp; " Equity","EXPECTED_REPORT_DT")*1,"")</f>
        <v>#VALUE!</v>
      </c>
      <c r="AH33" s="196" cm="1">
        <f t="array" ref="AH33">(_xll.BDP(B33&amp;" Equity","SHORT_INT")/_xll.BDP(B33&amp;" Equity","VOLUME_AVG_90D"))</f>
        <v>1.9516890748673252</v>
      </c>
      <c r="AI33" s="196" cm="1">
        <f t="array" ref="AI33">(_xll.BDP(C33&amp;" Equity","SHORT_INT")/_xll.BDP(C33&amp;" Equity","VOLUME_AVG_90D"))</f>
        <v>0.76746875142421522</v>
      </c>
      <c r="AJ33" s="196" cm="1">
        <f t="array" ref="AJ33">(_xll.BDP(B33&amp;" Equity","SHORT_INT"))/((_xll.BDP(B33&amp;" Equity","EQY_FREE_FLOAT_PCT"))*(_xll.BDP(B33&amp;" Equity","EQY_SH_OUT_TOT_MULT_SH")))/100</f>
        <v>1.315029992310595</v>
      </c>
      <c r="AK33" s="196" t="e" cm="1">
        <f t="array" ref="AK33">(_xll.BDP(C33&amp;" Equity","SHORT_INT"))/((_xll.BDP(C33&amp;" Equity","EQY_FREE_FLOAT_PCT"))*(_xll.BDP(C33&amp;" Equity","EQY_SH_OUT_TOT_MULT_SH")))/100</f>
        <v>#VALUE!</v>
      </c>
      <c r="AM33" s="194">
        <f ca="1">IF(ISTEXT(B33),AP33/_xll.BDH(B33 &amp;  " Equity","BEST_EPS",$AM$3,$AM$3,"BEST_FPERIOD_OVERRIDE=1BF","CDR=US","Fill=p")-1,"")</f>
        <v>2.1392781061537969E-2</v>
      </c>
      <c r="AN33" s="194">
        <f ca="1">IF(ISTEXT(B33),AP33/_xll.BDH(B33 &amp;  " Equity","BEST_EPS",$AN$3,$AN$3,"BEST_FPERIOD_OVERRIDE=1BF","CDR=US","Fill=p")-1,"")</f>
        <v>-1.0637061148570104E-2</v>
      </c>
      <c r="AO33" s="196">
        <f t="shared" ca="1" si="14"/>
        <v>19.768814993243641</v>
      </c>
      <c r="AP33" s="196" cm="1">
        <f t="array" aca="1" ref="AP33" ca="1">IF(ISTEXT(B33),_xll.BDH(B33 &amp;  " Equity","BEST_EPS",$Q$3,$Q$3,"BEST_FPERIOD_OVERRIDE=1BF","CDR=US","Fill=p"),"")</f>
        <v>34.042000000000002</v>
      </c>
      <c r="AR33" s="194" t="e">
        <f ca="1">IF(ISTEXT(C33),AU33/_xll.BDH(C33 &amp;  " Equity","BEST_EPS",$AM$3,$AM$3,"BEST_FPERIOD_OVERRIDE=1BF","CDR=US","Fill=p")-1,"")</f>
        <v>#VALUE!</v>
      </c>
      <c r="AS33" s="194" t="e">
        <f ca="1">IF(ISTEXT(C33),AU33/_xll.BDH(C33 &amp;  " Equity","BEST_EPS",$AN$3,$AN$3,"BEST_FPERIOD_OVERRIDE=1BF","CDR=US","Fill=p")-1,"")</f>
        <v>#VALUE!</v>
      </c>
      <c r="AT33" s="196" t="e">
        <f t="shared" ca="1" si="15"/>
        <v>#VALUE!</v>
      </c>
      <c r="AU33" s="196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6" t="s">
        <v>96</v>
      </c>
      <c r="C34" s="186" t="s">
        <v>136</v>
      </c>
      <c r="D34" s="186"/>
      <c r="E34" s="186"/>
      <c r="F34" s="186"/>
      <c r="G34" s="187" cm="1">
        <f t="array" ref="G34">_xll.BDP(B34&amp;" Equity","LAST PRICE")</f>
        <v>338.34</v>
      </c>
      <c r="H34" s="188" cm="1">
        <f t="array" ref="H34">G34/_xll.BDP(B34&amp;" Equity", "PREV_CLOSE_VAL")-1</f>
        <v>1.6921643473295056E-2</v>
      </c>
      <c r="I34" s="187" cm="1">
        <f t="array" ref="I34">_xll.BDP(C34&amp;" Equity","LAST PRICE")</f>
        <v>407.25</v>
      </c>
      <c r="J34" s="188" cm="1">
        <f t="array" ref="J34">I34/_xll.BDP(C34&amp;" Equity", "PREV_CLOSE_VAL")-1</f>
        <v>2.1137355197833552E-2</v>
      </c>
      <c r="K34" s="189">
        <f t="shared" si="9"/>
        <v>0.83079189686924493</v>
      </c>
      <c r="L34" s="188" cm="1">
        <f t="array" ref="L34">K34/(_xll.BDP(B34&amp;" Equity", "PREV_CLOSE_VAL")/_xll.BDP(C34&amp;" Equity", "PREV_CLOSE_VAL"))-1</f>
        <v>-4.1284472682147078E-3</v>
      </c>
      <c r="M34" s="188"/>
      <c r="N34" s="190">
        <f t="shared" si="10"/>
        <v>0.2939633270619415</v>
      </c>
      <c r="O34" s="191">
        <f t="shared" si="17"/>
        <v>1.4044089477000633E-2</v>
      </c>
      <c r="P34" s="192" cm="1">
        <f t="array" ref="P34">_xll.BDP($A34&amp;" Index","VOLATILITY_30D")</f>
        <v>22.287970000000001</v>
      </c>
      <c r="Q34" s="192" cm="1">
        <f t="array" aca="1" ref="Q34" ca="1">(_xll.BDP(($B34&amp; " Equity"),"CORR_COEF", "BETA_OVERRIDE_REL_INDEX",($C34&amp; " Equity"),"BETA_OVERRIDE_END_DT",$Q$5,"BETA_OVERRIDE_START_DT",$Q$4))*100</f>
        <v>80.154284564946394</v>
      </c>
      <c r="R34" s="188"/>
      <c r="S34" s="188" cm="1">
        <f t="array" ref="S34">_xll.BDP($A34&amp;" Index","CHG_PCT_2D")/100</f>
        <v>-6.6389350000000003E-3</v>
      </c>
      <c r="T34" s="188" cm="1">
        <f t="array" ref="T34">_xll.BDP($A34&amp;" Index","CHG_PCT_5D")/100</f>
        <v>-7.8801119999999999E-3</v>
      </c>
      <c r="U34" s="188" cm="1">
        <f t="array" ref="U34">K34/_xll.BDP($A34&amp;" Index","HIGH_52WEEK")-1</f>
        <v>-6.8138393264189023E-2</v>
      </c>
      <c r="V34" s="188" cm="1">
        <f t="array" ref="V34">K34/_xll.BDP($A34&amp;" Index","LOW_52WEEK")-1</f>
        <v>0.10333859713305138</v>
      </c>
      <c r="W34" s="188"/>
      <c r="X34" s="192" cm="1">
        <f t="array" ref="X34">_xll.BDP($A34&amp;" Index","RSI_14D")</f>
        <v>50.155419999999999</v>
      </c>
      <c r="Y34" s="193"/>
      <c r="Z34" s="194">
        <f t="shared" si="11"/>
        <v>-1</v>
      </c>
      <c r="AA34" s="193"/>
      <c r="AB34" s="194">
        <f t="shared" si="12"/>
        <v>-1</v>
      </c>
      <c r="AC34" s="193"/>
      <c r="AD34" s="188" t="e">
        <f t="shared" si="13"/>
        <v>#DIV/0!</v>
      </c>
      <c r="AE34" s="188"/>
      <c r="AF34" s="195">
        <f>IF(ISTEXT(B34),_xll.BDP(B34 &amp; " Equity","EXPECTED_REPORT_DT")*1,"")</f>
        <v>46129</v>
      </c>
      <c r="AG34" s="195" t="e">
        <f>IF(ISTEXT(C34),_xll.BDP(C34 &amp; " Equity","EXPECTED_REPORT_DT")*1,"")</f>
        <v>#VALUE!</v>
      </c>
      <c r="AH34" s="196" cm="1">
        <f t="array" ref="AH34">(_xll.BDP(B34&amp;" Equity","SHORT_INT")/_xll.BDP(B34&amp;" Equity","VOLUME_AVG_90D"))</f>
        <v>1.737846584890449</v>
      </c>
      <c r="AI34" s="196" cm="1">
        <f t="array" ref="AI34">(_xll.BDP(C34&amp;" Equity","SHORT_INT")/_xll.BDP(C34&amp;" Equity","VOLUME_AVG_90D"))</f>
        <v>1.230777281979081</v>
      </c>
      <c r="AJ34" s="196" t="e" cm="1">
        <f t="array" ref="AJ34">(_xll.BDP(B34&amp;" Equity","SHORT_INT"))/((_xll.BDP(B34&amp;" Equity","EQY_FREE_FLOAT_PCT"))*(_xll.BDP(B34&amp;" Equity","EQY_SH_OUT_TOT_MULT_SH")))/100</f>
        <v>#VALUE!</v>
      </c>
      <c r="AK34" s="196" t="e" cm="1">
        <f t="array" ref="AK34">(_xll.BDP(C34&amp;" Equity","SHORT_INT"))/((_xll.BDP(C34&amp;" Equity","EQY_FREE_FLOAT_PCT"))*(_xll.BDP(C34&amp;" Equity","EQY_SH_OUT_TOT_MULT_SH")))/100</f>
        <v>#VALUE!</v>
      </c>
      <c r="AM34" s="194">
        <f ca="1">IF(ISTEXT(B34),AP34/_xll.BDH(B34 &amp;  " Equity","BEST_EPS",$AM$3,$AM$3,"BEST_FPERIOD_OVERRIDE=1BF","CDR=US","Fill=p")-1,"")</f>
        <v>0.18752977153880379</v>
      </c>
      <c r="AN34" s="194">
        <f ca="1">IF(ISTEXT(B34),AP34/_xll.BDH(B34 &amp;  " Equity","BEST_EPS",$AN$3,$AN$3,"BEST_FPERIOD_OVERRIDE=1BF","CDR=US","Fill=p")-1,"")</f>
        <v>0.22376839107736113</v>
      </c>
      <c r="AO34" s="196">
        <f t="shared" ca="1" si="14"/>
        <v>0.74981051959737077</v>
      </c>
      <c r="AP34" s="196" cm="1">
        <f t="array" aca="1" ref="AP34" ca="1">IF(ISTEXT(B34),_xll.BDH(B34 &amp;  " Equity","BEST_EPS",$Q$3,$Q$3,"BEST_FPERIOD_OVERRIDE=1BF","CDR=US","Fill=p"),"")</f>
        <v>451.23399999999998</v>
      </c>
      <c r="AR34" s="194" t="e">
        <f ca="1">IF(ISTEXT(C34),AU34/_xll.BDH(C34 &amp;  " Equity","BEST_EPS",$AM$3,$AM$3,"BEST_FPERIOD_OVERRIDE=1BF","CDR=US","Fill=p")-1,"")</f>
        <v>#VALUE!</v>
      </c>
      <c r="AS34" s="194" t="e">
        <f ca="1">IF(ISTEXT(C34),AU34/_xll.BDH(C34 &amp;  " Equity","BEST_EPS",$AN$3,$AN$3,"BEST_FPERIOD_OVERRIDE=1BF","CDR=US","Fill=p")-1,"")</f>
        <v>#VALUE!</v>
      </c>
      <c r="AT34" s="196" t="e">
        <f t="shared" ca="1" si="15"/>
        <v>#VALUE!</v>
      </c>
      <c r="AU34" s="196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6" t="s">
        <v>94</v>
      </c>
      <c r="C35" s="186" t="s">
        <v>136</v>
      </c>
      <c r="D35" s="186"/>
      <c r="E35" s="186"/>
      <c r="F35" s="186"/>
      <c r="G35" s="187" cm="1">
        <f t="array" ref="G35">_xll.BDP(B35&amp;" Equity","LAST PRICE")</f>
        <v>188.52</v>
      </c>
      <c r="H35" s="188" cm="1">
        <f t="array" ref="H35">G35/_xll.BDP(B35&amp;" Equity", "PREV_CLOSE_VAL")-1</f>
        <v>1.0993725532257193E-2</v>
      </c>
      <c r="I35" s="187" cm="1">
        <f t="array" ref="I35">_xll.BDP(C35&amp;" Equity","LAST PRICE")</f>
        <v>407.25</v>
      </c>
      <c r="J35" s="188" cm="1">
        <f t="array" ref="J35">I35/_xll.BDP(C35&amp;" Equity", "PREV_CLOSE_VAL")-1</f>
        <v>2.1137355197833552E-2</v>
      </c>
      <c r="K35" s="189">
        <f t="shared" si="9"/>
        <v>0.46290976058931865</v>
      </c>
      <c r="L35" s="188" cm="1">
        <f t="array" ref="L35">K35/(_xll.BDP(B35&amp;" Equity", "PREV_CLOSE_VAL")/_xll.BDP(C35&amp;" Equity", "PREV_CLOSE_VAL"))-1</f>
        <v>-9.9336583995706107E-3</v>
      </c>
      <c r="M35" s="188"/>
      <c r="N35" s="190">
        <f t="shared" si="10"/>
        <v>0.73864847524176047</v>
      </c>
      <c r="O35" s="191">
        <f t="shared" si="17"/>
        <v>1.3448424700693131E-2</v>
      </c>
      <c r="P35" s="192" cm="1">
        <f t="array" ref="P35">_xll.BDP($A35&amp;" Index","VOLATILITY_30D")</f>
        <v>21.342649999999999</v>
      </c>
      <c r="Q35" s="192" cm="1">
        <f t="array" aca="1" ref="Q35" ca="1">(_xll.BDP(($B35&amp; " Equity"),"CORR_COEF", "BETA_OVERRIDE_REL_INDEX",($C35&amp; " Equity"),"BETA_OVERRIDE_END_DT",$Q$5,"BETA_OVERRIDE_START_DT",$Q$4))*100</f>
        <v>57.379125779889947</v>
      </c>
      <c r="R35" s="188"/>
      <c r="S35" s="188" cm="1">
        <f t="array" ref="S35">_xll.BDP($A35&amp;" Index","CHG_PCT_2D")/100</f>
        <v>-1.1106029999999999E-2</v>
      </c>
      <c r="T35" s="188" cm="1">
        <f t="array" ref="T35">_xll.BDP($A35&amp;" Index","CHG_PCT_5D")/100</f>
        <v>1.69389E-2</v>
      </c>
      <c r="U35" s="188" cm="1">
        <f t="array" ref="U35">K35/_xll.BDP($A35&amp;" Index","HIGH_52WEEK")-1</f>
        <v>-0.26051572614687357</v>
      </c>
      <c r="V35" s="188" cm="1">
        <f t="array" ref="V35">K35/_xll.BDP($A35&amp;" Index","LOW_52WEEK")-1</f>
        <v>1.4930411289889589E-2</v>
      </c>
      <c r="W35" s="188"/>
      <c r="X35" s="192" cm="1">
        <f t="array" ref="X35">_xll.BDP($A35&amp;" Index","RSI_14D")</f>
        <v>37.245080000000002</v>
      </c>
      <c r="Y35" s="193"/>
      <c r="Z35" s="194">
        <f t="shared" si="11"/>
        <v>-1</v>
      </c>
      <c r="AA35" s="193"/>
      <c r="AB35" s="194">
        <f t="shared" si="12"/>
        <v>-1</v>
      </c>
      <c r="AC35" s="193"/>
      <c r="AD35" s="188" t="e">
        <f t="shared" si="13"/>
        <v>#DIV/0!</v>
      </c>
      <c r="AE35" s="188"/>
      <c r="AF35" s="195">
        <f>IF(ISTEXT(B35),_xll.BDP(B35 &amp; " Equity","EXPECTED_REPORT_DT")*1,"")</f>
        <v>46078</v>
      </c>
      <c r="AG35" s="195" t="e">
        <f>IF(ISTEXT(C35),_xll.BDP(C35 &amp; " Equity","EXPECTED_REPORT_DT")*1,"")</f>
        <v>#VALUE!</v>
      </c>
      <c r="AH35" s="196" cm="1">
        <f t="array" ref="AH35">(_xll.BDP(B35&amp;" Equity","SHORT_INT")/_xll.BDP(B35&amp;" Equity","VOLUME_AVG_90D"))</f>
        <v>1.4016840063478941</v>
      </c>
      <c r="AI35" s="196" cm="1">
        <f t="array" ref="AI35">(_xll.BDP(C35&amp;" Equity","SHORT_INT")/_xll.BDP(C35&amp;" Equity","VOLUME_AVG_90D"))</f>
        <v>1.230777281979081</v>
      </c>
      <c r="AJ35" s="196" cm="1">
        <f t="array" ref="AJ35">(_xll.BDP(B35&amp;" Equity","SHORT_INT"))/((_xll.BDP(B35&amp;" Equity","EQY_FREE_FLOAT_PCT"))*(_xll.BDP(B35&amp;" Equity","EQY_SH_OUT_TOT_MULT_SH")))/100</f>
        <v>1.0985492394965368</v>
      </c>
      <c r="AK35" s="196" t="e" cm="1">
        <f t="array" ref="AK35">(_xll.BDP(C35&amp;" Equity","SHORT_INT"))/((_xll.BDP(C35&amp;" Equity","EQY_FREE_FLOAT_PCT"))*(_xll.BDP(C35&amp;" Equity","EQY_SH_OUT_TOT_MULT_SH")))/100</f>
        <v>#VALUE!</v>
      </c>
      <c r="AM35" s="194">
        <f ca="1">IF(ISTEXT(B35),AP35/_xll.BDH(B35 &amp;  " Equity","BEST_EPS",$AM$3,$AM$3,"BEST_FPERIOD_OVERRIDE=1BF","CDR=US","Fill=p")-1,"")</f>
        <v>4.0968090859924366E-2</v>
      </c>
      <c r="AN35" s="194">
        <f ca="1">IF(ISTEXT(B35),AP35/_xll.BDH(B35 &amp;  " Equity","BEST_EPS",$AN$3,$AN$3,"BEST_FPERIOD_OVERRIDE=1BF","CDR=US","Fill=p")-1,"")</f>
        <v>0.29416708690536231</v>
      </c>
      <c r="AO35" s="196">
        <f t="shared" ca="1" si="14"/>
        <v>24.486296921678143</v>
      </c>
      <c r="AP35" s="196" cm="1">
        <f t="array" aca="1" ref="AP35" ca="1">IF(ISTEXT(B35),_xll.BDH(B35 &amp;  " Equity","BEST_EPS",$Q$3,$Q$3,"BEST_FPERIOD_OVERRIDE=1BF","CDR=US","Fill=p"),"")</f>
        <v>7.6989999999999998</v>
      </c>
      <c r="AR35" s="194" t="e">
        <f ca="1">IF(ISTEXT(C35),AU35/_xll.BDH(C35 &amp;  " Equity","BEST_EPS",$AM$3,$AM$3,"BEST_FPERIOD_OVERRIDE=1BF","CDR=US","Fill=p")-1,"")</f>
        <v>#VALUE!</v>
      </c>
      <c r="AS35" s="194" t="e">
        <f ca="1">IF(ISTEXT(C35),AU35/_xll.BDH(C35 &amp;  " Equity","BEST_EPS",$AN$3,$AN$3,"BEST_FPERIOD_OVERRIDE=1BF","CDR=US","Fill=p")-1,"")</f>
        <v>#VALUE!</v>
      </c>
      <c r="AT35" s="196" t="e">
        <f t="shared" ca="1" si="15"/>
        <v>#VALUE!</v>
      </c>
      <c r="AU35" s="196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6" t="s">
        <v>137</v>
      </c>
      <c r="C36" s="186" t="s">
        <v>136</v>
      </c>
      <c r="D36" s="186"/>
      <c r="E36" s="186"/>
      <c r="F36" s="186"/>
      <c r="G36" s="187" cm="1">
        <f t="array" ref="G36">_xll.BDP(B36&amp;" Equity","LAST PRICE")</f>
        <v>332.79</v>
      </c>
      <c r="H36" s="188" cm="1">
        <f t="array" ref="H36">G36/_xll.BDP(B36&amp;" Equity", "PREV_CLOSE_VAL")-1</f>
        <v>2.4442050177004848E-2</v>
      </c>
      <c r="I36" s="187" cm="1">
        <f t="array" ref="I36">_xll.BDP(C36&amp;" Equity","LAST PRICE")</f>
        <v>407.25</v>
      </c>
      <c r="J36" s="188" cm="1">
        <f t="array" ref="J36">I36/_xll.BDP(C36&amp;" Equity", "PREV_CLOSE_VAL")-1</f>
        <v>2.1137355197833552E-2</v>
      </c>
      <c r="K36" s="189">
        <f t="shared" si="9"/>
        <v>0.81716390423572749</v>
      </c>
      <c r="L36" s="188" cm="1">
        <f t="array" ref="L36">K36/(_xll.BDP(B36&amp;" Equity", "PREV_CLOSE_VAL")/_xll.BDP(C36&amp;" Equity", "PREV_CLOSE_VAL"))-1</f>
        <v>3.236288401701648E-3</v>
      </c>
      <c r="M36" s="188"/>
      <c r="N36" s="190">
        <f t="shared" si="10"/>
        <v>0.17389968086163521</v>
      </c>
      <c r="O36" s="191">
        <f t="shared" si="17"/>
        <v>1.8610088216761186E-2</v>
      </c>
      <c r="P36" s="192" cm="1">
        <f t="array" ref="P36">_xll.BDP($A36&amp;" Index","VOLATILITY_30D")</f>
        <v>29.534210000000002</v>
      </c>
      <c r="Q36" s="192" cm="1">
        <f t="array" aca="1" ref="Q36" ca="1">(_xll.BDP(($B36&amp; " Equity"),"CORR_COEF", "BETA_OVERRIDE_REL_INDEX",($C36&amp; " Equity"),"BETA_OVERRIDE_END_DT",$Q$5,"BETA_OVERRIDE_START_DT",$Q$4))*100</f>
        <v>59.437056904229543</v>
      </c>
      <c r="R36" s="188"/>
      <c r="S36" s="188" cm="1">
        <f t="array" ref="S36">_xll.BDP($A36&amp;" Index","CHG_PCT_2D")/100</f>
        <v>1.8420019999999999E-2</v>
      </c>
      <c r="T36" s="188" cm="1">
        <f t="array" ref="T36">_xll.BDP($A36&amp;" Index","CHG_PCT_5D")/100</f>
        <v>-4.3767460000000001E-2</v>
      </c>
      <c r="U36" s="188" cm="1">
        <f t="array" ref="U36">K36/_xll.BDP($A36&amp;" Index","HIGH_52WEEK")-1</f>
        <v>-0.33482791678003454</v>
      </c>
      <c r="V36" s="188" cm="1">
        <f t="array" ref="V36">K36/_xll.BDP($A36&amp;" Index","LOW_52WEEK")-1</f>
        <v>3.768162673269182E-2</v>
      </c>
      <c r="W36" s="188"/>
      <c r="X36" s="192" cm="1">
        <f t="array" ref="X36">_xll.BDP($A36&amp;" Index","RSI_14D")</f>
        <v>28.40793</v>
      </c>
      <c r="Y36" s="193"/>
      <c r="Z36" s="194">
        <f t="shared" si="11"/>
        <v>-1</v>
      </c>
      <c r="AA36" s="193"/>
      <c r="AB36" s="194">
        <f t="shared" si="12"/>
        <v>-1</v>
      </c>
      <c r="AC36" s="193"/>
      <c r="AD36" s="188" t="e">
        <f t="shared" si="13"/>
        <v>#DIV/0!</v>
      </c>
      <c r="AE36" s="188"/>
      <c r="AF36" s="195">
        <f>IF(ISTEXT(B36),_xll.BDP(B36 &amp; " Equity","EXPECTED_REPORT_DT")*1,"")</f>
        <v>46087</v>
      </c>
      <c r="AG36" s="195" t="e">
        <f>IF(ISTEXT(C36),_xll.BDP(C36 &amp; " Equity","EXPECTED_REPORT_DT")*1,"")</f>
        <v>#VALUE!</v>
      </c>
      <c r="AH36" s="196" cm="1">
        <f t="array" ref="AH36">(_xll.BDP(B36&amp;" Equity","SHORT_INT")/_xll.BDP(B36&amp;" Equity","VOLUME_AVG_90D"))</f>
        <v>2.0067427570112502</v>
      </c>
      <c r="AI36" s="196" cm="1">
        <f t="array" ref="AI36">(_xll.BDP(C36&amp;" Equity","SHORT_INT")/_xll.BDP(C36&amp;" Equity","VOLUME_AVG_90D"))</f>
        <v>1.230777281979081</v>
      </c>
      <c r="AJ36" s="196" cm="1">
        <f t="array" ref="AJ36">(_xll.BDP(B36&amp;" Equity","SHORT_INT"))/((_xll.BDP(B36&amp;" Equity","EQY_FREE_FLOAT_PCT"))*(_xll.BDP(B36&amp;" Equity","EQY_SH_OUT_TOT_MULT_SH")))/100</f>
        <v>1.1853579544365909</v>
      </c>
      <c r="AK36" s="196" t="e" cm="1">
        <f t="array" ref="AK36">(_xll.BDP(C36&amp;" Equity","SHORT_INT"))/((_xll.BDP(C36&amp;" Equity","EQY_FREE_FLOAT_PCT"))*(_xll.BDP(C36&amp;" Equity","EQY_SH_OUT_TOT_MULT_SH")))/100</f>
        <v>#VALUE!</v>
      </c>
      <c r="AM36" s="194">
        <f ca="1">IF(ISTEXT(B36),AP36/_xll.BDH(B36 &amp;  " Equity","BEST_EPS",$AM$3,$AM$3,"BEST_FPERIOD_OVERRIDE=1BF","CDR=US","Fill=p")-1,"")</f>
        <v>4.503562945368178E-2</v>
      </c>
      <c r="AN36" s="194">
        <f ca="1">IF(ISTEXT(B36),AP36/_xll.BDH(B36 &amp;  " Equity","BEST_EPS",$AN$3,$AN$3,"BEST_FPERIOD_OVERRIDE=1BF","CDR=US","Fill=p")-1,"")</f>
        <v>0.18268817204301069</v>
      </c>
      <c r="AO36" s="196">
        <f t="shared" ca="1" si="14"/>
        <v>30.256386944267661</v>
      </c>
      <c r="AP36" s="196" cm="1">
        <f t="array" aca="1" ref="AP36" ca="1">IF(ISTEXT(B36),_xll.BDH(B36 &amp;  " Equity","BEST_EPS",$Q$3,$Q$3,"BEST_FPERIOD_OVERRIDE=1BF","CDR=US","Fill=p"),"")</f>
        <v>10.999000000000001</v>
      </c>
      <c r="AR36" s="194" t="e">
        <f ca="1">IF(ISTEXT(C36),AU36/_xll.BDH(C36 &amp;  " Equity","BEST_EPS",$AM$3,$AM$3,"BEST_FPERIOD_OVERRIDE=1BF","CDR=US","Fill=p")-1,"")</f>
        <v>#VALUE!</v>
      </c>
      <c r="AS36" s="194" t="e">
        <f ca="1">IF(ISTEXT(C36),AU36/_xll.BDH(C36 &amp;  " Equity","BEST_EPS",$AN$3,$AN$3,"BEST_FPERIOD_OVERRIDE=1BF","CDR=US","Fill=p")-1,"")</f>
        <v>#VALUE!</v>
      </c>
      <c r="AT36" s="196" t="e">
        <f t="shared" ca="1" si="15"/>
        <v>#VALUE!</v>
      </c>
      <c r="AU36" s="196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6" t="s">
        <v>138</v>
      </c>
      <c r="C37" s="186" t="s">
        <v>136</v>
      </c>
      <c r="D37" s="186"/>
      <c r="E37" s="186"/>
      <c r="F37" s="186"/>
      <c r="G37" s="187" cm="1">
        <f t="array" ref="G37">_xll.BDP(B37&amp;" Equity","LAST PRICE")</f>
        <v>82.93</v>
      </c>
      <c r="H37" s="188" cm="1">
        <f t="array" ref="H37">G37/_xll.BDP(B37&amp;" Equity", "PREV_CLOSE_VAL")-1</f>
        <v>1.418613183319084E-2</v>
      </c>
      <c r="I37" s="187" cm="1">
        <f t="array" ref="I37">_xll.BDP(C37&amp;" Equity","LAST PRICE")</f>
        <v>407.25</v>
      </c>
      <c r="J37" s="188" cm="1">
        <f t="array" ref="J37">I37/_xll.BDP(C37&amp;" Equity", "PREV_CLOSE_VAL")-1</f>
        <v>2.1137355197833552E-2</v>
      </c>
      <c r="K37" s="189">
        <f t="shared" si="9"/>
        <v>0.20363413136893802</v>
      </c>
      <c r="L37" s="188" cm="1">
        <f t="array" ref="L37">K37/(_xll.BDP(B37&amp;" Equity", "PREV_CLOSE_VAL")/_xll.BDP(C37&amp;" Equity", "PREV_CLOSE_VAL"))-1</f>
        <v>-6.80733432114633E-3</v>
      </c>
      <c r="M37" s="188"/>
      <c r="N37" s="190">
        <f t="shared" si="10"/>
        <v>0.37206260513331091</v>
      </c>
      <c r="O37" s="191">
        <f t="shared" si="17"/>
        <v>1.829620667926906E-2</v>
      </c>
      <c r="P37" s="192" cm="1">
        <f t="array" ref="P37">_xll.BDP($A37&amp;" Index","VOLATILITY_30D")</f>
        <v>29.036079999999998</v>
      </c>
      <c r="Q37" s="192" cm="1">
        <f t="array" aca="1" ref="Q37" ca="1">(_xll.BDP(($B37&amp; " Equity"),"CORR_COEF", "BETA_OVERRIDE_REL_INDEX",($C37&amp; " Equity"),"BETA_OVERRIDE_END_DT",$Q$5,"BETA_OVERRIDE_START_DT",$Q$4))*100</f>
        <v>67.977814523514454</v>
      </c>
      <c r="R37" s="188"/>
      <c r="S37" s="188" cm="1">
        <f t="array" ref="S37">_xll.BDP($A37&amp;" Index","CHG_PCT_2D")/100</f>
        <v>1.391364E-2</v>
      </c>
      <c r="T37" s="188" cm="1">
        <f t="array" ref="T37">_xll.BDP($A37&amp;" Index","CHG_PCT_5D")/100</f>
        <v>-5.3372860000000001E-3</v>
      </c>
      <c r="U37" s="188" cm="1">
        <f t="array" ref="U37">K37/_xll.BDP($A37&amp;" Index","HIGH_52WEEK")-1</f>
        <v>-0.57587709293537581</v>
      </c>
      <c r="V37" s="188" cm="1">
        <f t="array" ref="V37">K37/_xll.BDP($A37&amp;" Index","LOW_52WEEK")-1</f>
        <v>1.5479635809793946E-2</v>
      </c>
      <c r="W37" s="188"/>
      <c r="X37" s="192" cm="1">
        <f t="array" ref="X37">_xll.BDP($A37&amp;" Index","RSI_14D")</f>
        <v>33.744799999999998</v>
      </c>
      <c r="Y37" s="193"/>
      <c r="Z37" s="194">
        <f t="shared" si="11"/>
        <v>-1</v>
      </c>
      <c r="AA37" s="193"/>
      <c r="AB37" s="194">
        <f t="shared" si="12"/>
        <v>-1</v>
      </c>
      <c r="AC37" s="193"/>
      <c r="AD37" s="188" t="e">
        <f t="shared" si="13"/>
        <v>#DIV/0!</v>
      </c>
      <c r="AE37" s="188"/>
      <c r="AF37" s="195">
        <f>IF(ISTEXT(B37),_xll.BDP(B37 &amp; " Equity","EXPECTED_REPORT_DT")*1,"")</f>
        <v>46086</v>
      </c>
      <c r="AG37" s="195" t="e">
        <f>IF(ISTEXT(C37),_xll.BDP(C37 &amp; " Equity","EXPECTED_REPORT_DT")*1,"")</f>
        <v>#VALUE!</v>
      </c>
      <c r="AH37" s="196" cm="1">
        <f t="array" ref="AH37">(_xll.BDP(B37&amp;" Equity","SHORT_INT")/_xll.BDP(B37&amp;" Equity","VOLUME_AVG_90D"))</f>
        <v>2.1015473872070127</v>
      </c>
      <c r="AI37" s="196" cm="1">
        <f t="array" ref="AI37">(_xll.BDP(C37&amp;" Equity","SHORT_INT")/_xll.BDP(C37&amp;" Equity","VOLUME_AVG_90D"))</f>
        <v>1.230777281979081</v>
      </c>
      <c r="AJ37" s="196" cm="1">
        <f t="array" ref="AJ37">(_xll.BDP(B37&amp;" Equity","SHORT_INT"))/((_xll.BDP(B37&amp;" Equity","EQY_FREE_FLOAT_PCT"))*(_xll.BDP(B37&amp;" Equity","EQY_SH_OUT_TOT_MULT_SH")))/100</f>
        <v>4.5786413349114348</v>
      </c>
      <c r="AK37" s="196" t="e" cm="1">
        <f t="array" ref="AK37">(_xll.BDP(C37&amp;" Equity","SHORT_INT"))/((_xll.BDP(C37&amp;" Equity","EQY_FREE_FLOAT_PCT"))*(_xll.BDP(C37&amp;" Equity","EQY_SH_OUT_TOT_MULT_SH")))/100</f>
        <v>#VALUE!</v>
      </c>
      <c r="AM37" s="194">
        <f ca="1">IF(ISTEXT(B37),AP37/_xll.BDH(B37 &amp;  " Equity","BEST_EPS",$AM$3,$AM$3,"BEST_FPERIOD_OVERRIDE=1BF","CDR=US","Fill=p")-1,"")</f>
        <v>1.9099201824401391E-2</v>
      </c>
      <c r="AN37" s="194">
        <f ca="1">IF(ISTEXT(B37),AP37/_xll.BDH(B37 &amp;  " Equity","BEST_EPS",$AN$3,$AN$3,"BEST_FPERIOD_OVERRIDE=1BF","CDR=US","Fill=p")-1,"")</f>
        <v>0.10612623762376239</v>
      </c>
      <c r="AO37" s="196">
        <f t="shared" ca="1" si="14"/>
        <v>23.197202797202799</v>
      </c>
      <c r="AP37" s="196" cm="1">
        <f t="array" aca="1" ref="AP37" ca="1">IF(ISTEXT(B37),_xll.BDH(B37 &amp;  " Equity","BEST_EPS",$Q$3,$Q$3,"BEST_FPERIOD_OVERRIDE=1BF","CDR=US","Fill=p"),"")</f>
        <v>3.5750000000000002</v>
      </c>
      <c r="AR37" s="194" t="e">
        <f ca="1">IF(ISTEXT(C37),AU37/_xll.BDH(C37 &amp;  " Equity","BEST_EPS",$AM$3,$AM$3,"BEST_FPERIOD_OVERRIDE=1BF","CDR=US","Fill=p")-1,"")</f>
        <v>#VALUE!</v>
      </c>
      <c r="AS37" s="194" t="e">
        <f ca="1">IF(ISTEXT(C37),AU37/_xll.BDH(C37 &amp;  " Equity","BEST_EPS",$AN$3,$AN$3,"BEST_FPERIOD_OVERRIDE=1BF","CDR=US","Fill=p")-1,"")</f>
        <v>#VALUE!</v>
      </c>
      <c r="AT37" s="196" t="e">
        <f t="shared" ca="1" si="15"/>
        <v>#VALUE!</v>
      </c>
      <c r="AU37" s="196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6" t="s">
        <v>86</v>
      </c>
      <c r="C38" s="186" t="s">
        <v>3</v>
      </c>
      <c r="D38" s="186"/>
      <c r="E38" s="186"/>
      <c r="F38" s="186"/>
      <c r="G38" s="187" cm="1">
        <f t="array" ref="G38">_xll.BDP(B38&amp;" Equity","LAST PRICE")</f>
        <v>520.41</v>
      </c>
      <c r="H38" s="188" cm="1">
        <f t="array" ref="H38">G38/_xll.BDP(B38&amp;" Equity", "PREV_CLOSE_VAL")-1</f>
        <v>-1.3178853155339842E-2</v>
      </c>
      <c r="I38" s="187" cm="1">
        <f t="array" ref="I38">_xll.BDP(C38&amp;" Equity","LAST PRICE")</f>
        <v>198.93</v>
      </c>
      <c r="J38" s="188" cm="1">
        <f t="array" ref="J38">I38/_xll.BDP(C38&amp;" Equity", "PREV_CLOSE_VAL")-1</f>
        <v>-1.5559124673760749E-3</v>
      </c>
      <c r="K38" s="189">
        <f t="shared" si="9"/>
        <v>2.6160458452722062</v>
      </c>
      <c r="L38" s="188" cm="1">
        <f t="array" ref="L38">K38/(_xll.BDP(B38&amp;" Equity", "PREV_CLOSE_VAL")/_xll.BDP(C38&amp;" Equity", "PREV_CLOSE_VAL"))-1</f>
        <v>-1.1641053147689595E-2</v>
      </c>
      <c r="M38" s="188"/>
      <c r="N38" s="190">
        <f t="shared" si="10"/>
        <v>1.0481449506508307</v>
      </c>
      <c r="O38" s="191">
        <f t="shared" si="17"/>
        <v>1.110633900441084E-2</v>
      </c>
      <c r="P38" s="192" cm="1">
        <f t="array" ref="P38">_xll.BDP($A38&amp;" Index","VOLATILITY_30D")</f>
        <v>17.62576</v>
      </c>
      <c r="Q38" s="192" cm="1">
        <f t="array" aca="1" ref="Q38" ca="1">(_xll.BDP(($B38&amp; " Equity"),"CORR_COEF", "BETA_OVERRIDE_REL_INDEX",($C38&amp; " Equity"),"BETA_OVERRIDE_END_DT",$Q$5,"BETA_OVERRIDE_START_DT",$Q$4))*100</f>
        <v>65.466523157854013</v>
      </c>
      <c r="R38" s="188"/>
      <c r="S38" s="188" cm="1">
        <f t="array" ref="S38">_xll.BDP($A38&amp;" Index","CHG_PCT_2D")/100</f>
        <v>-1.0138879999999999E-2</v>
      </c>
      <c r="T38" s="188" cm="1">
        <f t="array" ref="T38">_xll.BDP($A38&amp;" Index","CHG_PCT_5D")/100</f>
        <v>-3.6389150000000002E-2</v>
      </c>
      <c r="U38" s="188" cm="1">
        <f t="array" ref="U38">K38/_xll.BDP($A38&amp;" Index","HIGH_52WEEK")-1</f>
        <v>-0.21183496870527296</v>
      </c>
      <c r="V38" s="188" cm="1">
        <f t="array" ref="V38">K38/_xll.BDP($A38&amp;" Index","LOW_52WEEK")-1</f>
        <v>-9.0510218898134376E-3</v>
      </c>
      <c r="W38" s="188"/>
      <c r="X38" s="192" cm="1">
        <f t="array" ref="X38">_xll.BDP($A38&amp;" Index","RSI_14D")</f>
        <v>25.23761</v>
      </c>
      <c r="Y38" s="193"/>
      <c r="Z38" s="194">
        <f t="shared" si="11"/>
        <v>-1</v>
      </c>
      <c r="AA38" s="193"/>
      <c r="AB38" s="194">
        <f t="shared" si="12"/>
        <v>-1</v>
      </c>
      <c r="AC38" s="193"/>
      <c r="AD38" s="188" t="e">
        <f t="shared" si="13"/>
        <v>#DIV/0!</v>
      </c>
      <c r="AE38" s="188"/>
      <c r="AF38" s="195">
        <f>IF(ISTEXT(B38),_xll.BDP(B38 &amp; " Equity","EXPECTED_REPORT_DT")*1,"")</f>
        <v>46051</v>
      </c>
      <c r="AG38" s="195" t="e">
        <f>IF(ISTEXT(C38),_xll.BDP(C38 &amp; " Equity","EXPECTED_REPORT_DT")*1,"")</f>
        <v>#VALUE!</v>
      </c>
      <c r="AH38" s="196" cm="1">
        <f t="array" ref="AH38">(_xll.BDP(B38&amp;" Equity","SHORT_INT")/_xll.BDP(B38&amp;" Equity","VOLUME_AVG_90D"))</f>
        <v>2.3710653108074093</v>
      </c>
      <c r="AI38" s="196" cm="1">
        <f t="array" ref="AI38">(_xll.BDP(C38&amp;" Equity","SHORT_INT")/_xll.BDP(C38&amp;" Equity","VOLUME_AVG_90D"))</f>
        <v>2.2595100471849383</v>
      </c>
      <c r="AJ38" s="196" cm="1">
        <f t="array" ref="AJ38">(_xll.BDP(B38&amp;" Equity","SHORT_INT"))/((_xll.BDP(B38&amp;" Equity","EQY_FREE_FLOAT_PCT"))*(_xll.BDP(B38&amp;" Equity","EQY_SH_OUT_TOT_MULT_SH")))/100</f>
        <v>0.87130229232761147</v>
      </c>
      <c r="AK38" s="196" t="e" cm="1">
        <f t="array" ref="AK38">(_xll.BDP(C38&amp;" Equity","SHORT_INT"))/((_xll.BDP(C38&amp;" Equity","EQY_FREE_FLOAT_PCT"))*(_xll.BDP(C38&amp;" Equity","EQY_SH_OUT_TOT_MULT_SH")))/100</f>
        <v>#VALUE!</v>
      </c>
      <c r="AM38" s="194">
        <f ca="1">IF(ISTEXT(B38),AP38/_xll.BDH(B38 &amp;  " Equity","BEST_EPS",$AM$3,$AM$3,"BEST_FPERIOD_OVERRIDE=1BF","CDR=US","Fill=p")-1,"")</f>
        <v>1.3304698549054361E-2</v>
      </c>
      <c r="AN38" s="194">
        <f ca="1">IF(ISTEXT(B38),AP38/_xll.BDH(B38 &amp;  " Equity","BEST_EPS",$AN$3,$AN$3,"BEST_FPERIOD_OVERRIDE=1BF","CDR=US","Fill=p")-1,"")</f>
        <v>4.5280164262170963E-2</v>
      </c>
      <c r="AO38" s="196">
        <f t="shared" ca="1" si="14"/>
        <v>26.901524941845437</v>
      </c>
      <c r="AP38" s="196" cm="1">
        <f t="array" aca="1" ref="AP38" ca="1">IF(ISTEXT(B38),_xll.BDH(B38 &amp;  " Equity","BEST_EPS",$Q$3,$Q$3,"BEST_FPERIOD_OVERRIDE=1BF","CDR=US","Fill=p"),"")</f>
        <v>19.344999999999999</v>
      </c>
      <c r="AR38" s="194" t="e">
        <f ca="1">IF(ISTEXT(C38),AU38/_xll.BDH(C38 &amp;  " Equity","BEST_EPS",$AM$3,$AM$3,"BEST_FPERIOD_OVERRIDE=1BF","CDR=US","Fill=p")-1,"")</f>
        <v>#VALUE!</v>
      </c>
      <c r="AS38" s="194" t="e">
        <f ca="1">IF(ISTEXT(C38),AU38/_xll.BDH(C38 &amp;  " Equity","BEST_EPS",$AN$3,$AN$3,"BEST_FPERIOD_OVERRIDE=1BF","CDR=US","Fill=p")-1,"")</f>
        <v>#VALUE!</v>
      </c>
      <c r="AT38" s="196" t="e">
        <f t="shared" ca="1" si="15"/>
        <v>#VALUE!</v>
      </c>
      <c r="AU38" s="196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6" t="s">
        <v>87</v>
      </c>
      <c r="C39" s="186" t="s">
        <v>3</v>
      </c>
      <c r="D39" s="186"/>
      <c r="E39" s="186"/>
      <c r="F39" s="186"/>
      <c r="G39" s="187" cm="1">
        <f t="array" ref="G39">_xll.BDP(B39&amp;" Equity","LAST PRICE")</f>
        <v>325.26</v>
      </c>
      <c r="H39" s="188" cm="1">
        <f t="array" ref="H39">G39/_xll.BDP(B39&amp;" Equity", "PREV_CLOSE_VAL")-1</f>
        <v>-9.8328716247070291E-3</v>
      </c>
      <c r="I39" s="187" cm="1">
        <f t="array" ref="I39">_xll.BDP(C39&amp;" Equity","LAST PRICE")</f>
        <v>198.93</v>
      </c>
      <c r="J39" s="188" cm="1">
        <f t="array" ref="J39">I39/_xll.BDP(C39&amp;" Equity", "PREV_CLOSE_VAL")-1</f>
        <v>-1.5559124673760749E-3</v>
      </c>
      <c r="K39" s="189">
        <f t="shared" si="9"/>
        <v>1.6350475041471872</v>
      </c>
      <c r="L39" s="188" cm="1">
        <f t="array" ref="L39">K39/(_xll.BDP(B39&amp;" Equity", "PREV_CLOSE_VAL")/_xll.BDP(C39&amp;" Equity", "PREV_CLOSE_VAL"))-1</f>
        <v>-8.2898574498901922E-3</v>
      </c>
      <c r="M39" s="188"/>
      <c r="N39" s="190">
        <f t="shared" si="10"/>
        <v>0.6862991020092728</v>
      </c>
      <c r="O39" s="191">
        <f>P39/15.87/100</f>
        <v>1.2079073724007561E-2</v>
      </c>
      <c r="P39" s="192" cm="1">
        <f t="array" ref="P39">_xll.BDP($A39&amp;" Index","VOLATILITY_30D")</f>
        <v>19.16949</v>
      </c>
      <c r="Q39" s="192" cm="1">
        <f t="array" aca="1" ref="Q39" ca="1">(_xll.BDP(($B39&amp; " Equity"),"CORR_COEF", "BETA_OVERRIDE_REL_INDEX",($C39&amp; " Equity"),"BETA_OVERRIDE_END_DT",$Q$5,"BETA_OVERRIDE_START_DT",$Q$4))*100</f>
        <v>47.496716357521166</v>
      </c>
      <c r="R39" s="188"/>
      <c r="S39" s="188" cm="1">
        <f t="array" ref="S39">_xll.BDP($A39&amp;" Index","CHG_PCT_2D")/100</f>
        <v>-4.6142819999999999E-3</v>
      </c>
      <c r="T39" s="188" cm="1">
        <f t="array" ref="T39">_xll.BDP($A39&amp;" Index","CHG_PCT_5D")/100</f>
        <v>-1.7000379999999999E-2</v>
      </c>
      <c r="U39" s="188" cm="1">
        <f t="array" ref="U39">K39/_xll.BDP($A39&amp;" Index","HIGH_52WEEK")-1</f>
        <v>-0.21556753160562314</v>
      </c>
      <c r="V39" s="188" cm="1">
        <f t="array" ref="V39">K39/_xll.BDP($A39&amp;" Index","LOW_52WEEK")-1</f>
        <v>2.303394336498954E-3</v>
      </c>
      <c r="W39" s="188"/>
      <c r="X39" s="192" cm="1">
        <f t="array" ref="X39">_xll.BDP($A39&amp;" Index","RSI_14D")</f>
        <v>32.118729999999999</v>
      </c>
      <c r="Y39" s="193"/>
      <c r="Z39" s="194">
        <f t="shared" si="11"/>
        <v>-1</v>
      </c>
      <c r="AA39" s="193"/>
      <c r="AB39" s="194">
        <f t="shared" si="12"/>
        <v>-1</v>
      </c>
      <c r="AC39" s="193"/>
      <c r="AD39" s="188" t="e">
        <f t="shared" si="13"/>
        <v>#DIV/0!</v>
      </c>
      <c r="AE39" s="188"/>
      <c r="AF39" s="195">
        <f>IF(ISTEXT(B39),_xll.BDP(B39 &amp; " Equity","EXPECTED_REPORT_DT")*1,"")</f>
        <v>46051</v>
      </c>
      <c r="AG39" s="195" t="e">
        <f>IF(ISTEXT(C39),_xll.BDP(C39 &amp; " Equity","EXPECTED_REPORT_DT")*1,"")</f>
        <v>#VALUE!</v>
      </c>
      <c r="AH39" s="196" cm="1">
        <f t="array" ref="AH39">(_xll.BDP(B39&amp;" Equity","SHORT_INT")/_xll.BDP(B39&amp;" Equity","VOLUME_AVG_90D"))</f>
        <v>3.3135589593618171</v>
      </c>
      <c r="AI39" s="196" cm="1">
        <f t="array" ref="AI39">(_xll.BDP(C39&amp;" Equity","SHORT_INT")/_xll.BDP(C39&amp;" Equity","VOLUME_AVG_90D"))</f>
        <v>2.2595100471849383</v>
      </c>
      <c r="AJ39" s="196" cm="1">
        <f t="array" ref="AJ39">(_xll.BDP(B39&amp;" Equity","SHORT_INT"))/((_xll.BDP(B39&amp;" Equity","EQY_FREE_FLOAT_PCT"))*(_xll.BDP(B39&amp;" Equity","EQY_SH_OUT_TOT_MULT_SH")))/100</f>
        <v>1.219958553552164</v>
      </c>
      <c r="AK39" s="196" t="e" cm="1">
        <f t="array" ref="AK39">(_xll.BDP(C39&amp;" Equity","SHORT_INT"))/((_xll.BDP(C39&amp;" Equity","EQY_FREE_FLOAT_PCT"))*(_xll.BDP(C39&amp;" Equity","EQY_SH_OUT_TOT_MULT_SH")))/100</f>
        <v>#VALUE!</v>
      </c>
      <c r="AM39" s="194">
        <f ca="1">IF(ISTEXT(B39),AP39/_xll.BDH(B39 &amp;  " Equity","BEST_EPS",$AM$3,$AM$3,"BEST_FPERIOD_OVERRIDE=1BF","CDR=US","Fill=p")-1,"")</f>
        <v>1.1376564277588264E-2</v>
      </c>
      <c r="AN39" s="194">
        <f ca="1">IF(ISTEXT(B39),AP39/_xll.BDH(B39 &amp;  " Equity","BEST_EPS",$AN$3,$AN$3,"BEST_FPERIOD_OVERRIDE=1BF","CDR=US","Fill=p")-1,"")</f>
        <v>2.885579816372208E-2</v>
      </c>
      <c r="AO39" s="196">
        <f t="shared" ca="1" si="14"/>
        <v>24.391451068616419</v>
      </c>
      <c r="AP39" s="196" cm="1">
        <f t="array" aca="1" ref="AP39" ca="1">IF(ISTEXT(B39),_xll.BDH(B39 &amp;  " Equity","BEST_EPS",$Q$3,$Q$3,"BEST_FPERIOD_OVERRIDE=1BF","CDR=US","Fill=p"),"")</f>
        <v>13.335000000000001</v>
      </c>
      <c r="AR39" s="194" t="e">
        <f ca="1">IF(ISTEXT(C39),AU39/_xll.BDH(C39 &amp;  " Equity","BEST_EPS",$AM$3,$AM$3,"BEST_FPERIOD_OVERRIDE=1BF","CDR=US","Fill=p")-1,"")</f>
        <v>#VALUE!</v>
      </c>
      <c r="AS39" s="194" t="e">
        <f ca="1">IF(ISTEXT(C39),AU39/_xll.BDH(C39 &amp;  " Equity","BEST_EPS",$AN$3,$AN$3,"BEST_FPERIOD_OVERRIDE=1BF","CDR=US","Fill=p")-1,"")</f>
        <v>#VALUE!</v>
      </c>
      <c r="AT39" s="196" t="e">
        <f t="shared" ca="1" si="15"/>
        <v>#VALUE!</v>
      </c>
      <c r="AU39" s="196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6" t="s">
        <v>86</v>
      </c>
      <c r="C40" s="186" t="s">
        <v>87</v>
      </c>
      <c r="D40" s="186"/>
      <c r="E40" s="186"/>
      <c r="F40" s="186"/>
      <c r="G40" s="187" cm="1">
        <f t="array" ref="G40">_xll.BDP(B40&amp;" Equity","LAST PRICE")</f>
        <v>520.41</v>
      </c>
      <c r="H40" s="188" cm="1">
        <f t="array" ref="H40">G40/_xll.BDP(B40&amp;" Equity", "PREV_CLOSE_VAL")-1</f>
        <v>-1.3178853155339842E-2</v>
      </c>
      <c r="I40" s="187" cm="1">
        <f t="array" ref="I40">_xll.BDP(C40&amp;" Equity","LAST PRICE")</f>
        <v>325.26</v>
      </c>
      <c r="J40" s="188" cm="1">
        <f t="array" ref="J40">I40/_xll.BDP(C40&amp;" Equity", "PREV_CLOSE_VAL")-1</f>
        <v>-9.8328716247070291E-3</v>
      </c>
      <c r="K40" s="189">
        <f t="shared" si="9"/>
        <v>1.5999815532189632</v>
      </c>
      <c r="L40" s="188" cm="1">
        <f t="array" ref="L40">K40/(_xll.BDP(B40&amp;" Equity", "PREV_CLOSE_VAL")/_xll.BDP(C40&amp;" Equity", "PREV_CLOSE_VAL"))-1</f>
        <v>-3.3792088575219648E-3</v>
      </c>
      <c r="M40" s="188"/>
      <c r="N40" s="190">
        <f t="shared" si="10"/>
        <v>0.59563089495470778</v>
      </c>
      <c r="O40" s="191">
        <f>P40/15.87/100</f>
        <v>5.673327032136106E-3</v>
      </c>
      <c r="P40" s="192" cm="1">
        <f t="array" ref="P40">_xll.BDP($A40&amp;" Index","VOLATILITY_30D")</f>
        <v>9.0035699999999999</v>
      </c>
      <c r="Q40" s="192" cm="1">
        <f t="array" aca="1" ref="Q40" ca="1">(_xll.BDP(($B40&amp; " Equity"),"CORR_COEF", "BETA_OVERRIDE_REL_INDEX",($C40&amp; " Equity"),"BETA_OVERRIDE_END_DT",$Q$5,"BETA_OVERRIDE_START_DT",$Q$4))*100</f>
        <v>90.958614922319796</v>
      </c>
      <c r="R40" s="188"/>
      <c r="S40" s="188" cm="1">
        <f t="array" ref="S40">_xll.BDP($A40&amp;" Index","CHG_PCT_2D")/100</f>
        <v>-5.5471849999999996E-3</v>
      </c>
      <c r="T40" s="188" cm="1">
        <f t="array" ref="T40">_xll.BDP($A40&amp;" Index","CHG_PCT_5D")/100</f>
        <v>-1.9721139999999998E-2</v>
      </c>
      <c r="U40" s="188" cm="1">
        <f t="array" ref="U40">K40/_xll.BDP($A40&amp;" Index","HIGH_52WEEK")-1</f>
        <v>-7.6729534482262496E-2</v>
      </c>
      <c r="V40" s="188" cm="1">
        <f t="array" ref="V40">K40/_xll.BDP($A40&amp;" Index","LOW_52WEEK")-1</f>
        <v>4.6485112412740559E-2</v>
      </c>
      <c r="W40" s="188"/>
      <c r="X40" s="192" cm="1">
        <f t="array" ref="X40">_xll.BDP($A40&amp;" Index","RSI_14D")</f>
        <v>37.18394</v>
      </c>
      <c r="Y40" s="193">
        <v>1.67</v>
      </c>
      <c r="Z40" s="188">
        <f t="shared" si="11"/>
        <v>4.3762033781057363E-2</v>
      </c>
      <c r="AA40" s="193"/>
      <c r="AB40" s="194">
        <f t="shared" si="12"/>
        <v>-1</v>
      </c>
      <c r="AC40" s="193"/>
      <c r="AD40" s="188" t="e">
        <f t="shared" si="13"/>
        <v>#DIV/0!</v>
      </c>
      <c r="AE40" s="188"/>
      <c r="AF40" s="195">
        <f>IF(ISTEXT(B40),_xll.BDP(B40 &amp; " Equity","EXPECTED_REPORT_DT")*1,"")</f>
        <v>46051</v>
      </c>
      <c r="AG40" s="195">
        <f>IF(ISTEXT(C40),_xll.BDP(C40 &amp; " Equity","EXPECTED_REPORT_DT")*1,"")</f>
        <v>46051</v>
      </c>
      <c r="AH40" s="196" cm="1">
        <f t="array" ref="AH40">(_xll.BDP(B40&amp;" Equity","SHORT_INT")/_xll.BDP(B40&amp;" Equity","VOLUME_AVG_90D"))</f>
        <v>2.3710653108074093</v>
      </c>
      <c r="AI40" s="196" cm="1">
        <f t="array" ref="AI40">(_xll.BDP(C40&amp;" Equity","SHORT_INT")/_xll.BDP(C40&amp;" Equity","VOLUME_AVG_90D"))</f>
        <v>3.3135589593618171</v>
      </c>
      <c r="AJ40" s="196" cm="1">
        <f t="array" ref="AJ40">(_xll.BDP(B40&amp;" Equity","SHORT_INT"))/((_xll.BDP(B40&amp;" Equity","EQY_FREE_FLOAT_PCT"))*(_xll.BDP(B40&amp;" Equity","EQY_SH_OUT_TOT_MULT_SH")))/100</f>
        <v>0.87130229232761147</v>
      </c>
      <c r="AK40" s="196" cm="1">
        <f t="array" ref="AK40">(_xll.BDP(C40&amp;" Equity","SHORT_INT"))/((_xll.BDP(C40&amp;" Equity","EQY_FREE_FLOAT_PCT"))*(_xll.BDP(C40&amp;" Equity","EQY_SH_OUT_TOT_MULT_SH")))/100</f>
        <v>1.219958553552164</v>
      </c>
      <c r="AM40" s="194">
        <f ca="1">IF(ISTEXT(B40),AP40/_xll.BDH(B40 &amp;  " Equity","BEST_EPS",$AM$3,$AM$3,"BEST_FPERIOD_OVERRIDE=1BF","CDR=US","Fill=p")-1,"")</f>
        <v>1.3304698549054361E-2</v>
      </c>
      <c r="AN40" s="194">
        <f ca="1">IF(ISTEXT(B40),AP40/_xll.BDH(B40 &amp;  " Equity","BEST_EPS",$AN$3,$AN$3,"BEST_FPERIOD_OVERRIDE=1BF","CDR=US","Fill=p")-1,"")</f>
        <v>4.5280164262170963E-2</v>
      </c>
      <c r="AO40" s="196">
        <f t="shared" ca="1" si="14"/>
        <v>26.901524941845437</v>
      </c>
      <c r="AP40" s="196" cm="1">
        <f t="array" aca="1" ref="AP40" ca="1">IF(ISTEXT(B40),_xll.BDH(B40 &amp;  " Equity","BEST_EPS",$Q$3,$Q$3,"BEST_FPERIOD_OVERRIDE=1BF","CDR=US","Fill=p"),"")</f>
        <v>19.344999999999999</v>
      </c>
      <c r="AR40" s="194">
        <f ca="1">IF(ISTEXT(C40),AU40/_xll.BDH(C40 &amp;  " Equity","BEST_EPS",$AM$3,$AM$3,"BEST_FPERIOD_OVERRIDE=1BF","CDR=US","Fill=p")-1,"")</f>
        <v>1.1376564277588264E-2</v>
      </c>
      <c r="AS40" s="194">
        <f ca="1">IF(ISTEXT(C40),AU40/_xll.BDH(C40 &amp;  " Equity","BEST_EPS",$AN$3,$AN$3,"BEST_FPERIOD_OVERRIDE=1BF","CDR=US","Fill=p")-1,"")</f>
        <v>2.885579816372208E-2</v>
      </c>
      <c r="AT40" s="196">
        <f t="shared" ca="1" si="15"/>
        <v>24.391451068616419</v>
      </c>
      <c r="AU40" s="196" cm="1">
        <f t="array" aca="1" ref="AU40" ca="1">IF(ISTEXT(C40),_xll.BDH(C40 &amp;  " Equity","BEST_EPS",$Q$3,$Q$3,"BEST_FPERIOD_OVERRIDE=1BF","CDR=US","Fill=p"),"")</f>
        <v>13.335000000000001</v>
      </c>
    </row>
    <row r="41" spans="1:47">
      <c r="A41" t="s">
        <v>139</v>
      </c>
      <c r="B41" s="186" t="s">
        <v>140</v>
      </c>
      <c r="C41" s="186" t="s">
        <v>135</v>
      </c>
      <c r="D41" s="186"/>
      <c r="E41" s="186"/>
      <c r="F41" s="186"/>
      <c r="G41" s="187" cm="1">
        <f t="array" ref="G41">_xll.BDP(B41&amp;" Equity","LAST PRICE")</f>
        <v>221.2</v>
      </c>
      <c r="H41" s="188" cm="1">
        <f t="array" ref="H41">G41/_xll.BDP(B41&amp;" Equity", "PREV_CLOSE_VAL")-1</f>
        <v>2.0483484037645328E-2</v>
      </c>
      <c r="I41" s="187" cm="1">
        <f t="array" ref="I41">_xll.BDP(C41&amp;" Equity","LAST PRICE")</f>
        <v>631.13</v>
      </c>
      <c r="J41" s="188" cm="1">
        <f t="array" ref="J41">I41/_xll.BDP(C41&amp;" Equity", "PREV_CLOSE_VAL")-1</f>
        <v>9.0653279186518887E-3</v>
      </c>
      <c r="K41" s="189">
        <f t="shared" si="9"/>
        <v>0.35048246795430416</v>
      </c>
      <c r="L41" s="188" cm="1">
        <f t="array" ref="L41">K41/(_xll.BDP(B41&amp;" Equity", "PREV_CLOSE_VAL")/_xll.BDP(C41&amp;" Equity", "PREV_CLOSE_VAL"))-1</f>
        <v>1.1315576705568819E-2</v>
      </c>
      <c r="M41" s="188"/>
      <c r="N41" s="190">
        <f t="shared" si="10"/>
        <v>0.96095461944241356</v>
      </c>
      <c r="O41" s="191">
        <f t="shared" si="17"/>
        <v>1.1775349716446126E-2</v>
      </c>
      <c r="P41" s="192" cm="1">
        <f t="array" ref="P41">_xll.BDP($A41&amp;" Index","VOLATILITY_30D")</f>
        <v>18.687480000000001</v>
      </c>
      <c r="Q41" s="192" cm="1">
        <f t="array" aca="1" ref="Q41" ca="1">(_xll.BDP(($B41&amp; " Equity"),"CORR_COEF", "BETA_OVERRIDE_REL_INDEX",($C41&amp; " Equity"),"BETA_OVERRIDE_END_DT",$Q$5,"BETA_OVERRIDE_START_DT",$Q$4))*100</f>
        <v>55.505559999999996</v>
      </c>
      <c r="R41" s="188"/>
      <c r="S41" s="188" cm="1">
        <f t="array" ref="S41">_xll.BDP($A41&amp;" Index","CHG_PCT_2D")/100</f>
        <v>6.0891240000000004E-3</v>
      </c>
      <c r="T41" s="188" cm="1">
        <f t="array" ref="T41">_xll.BDP($A41&amp;" Index","CHG_PCT_5D")/100</f>
        <v>-1.500786E-2</v>
      </c>
      <c r="U41" s="188" cm="1">
        <f t="array" ref="U41">K41/_xll.BDP($A41&amp;" Index","HIGH_52WEEK")-1</f>
        <v>-6.3331904553145191E-2</v>
      </c>
      <c r="V41" s="188" cm="1">
        <f t="array" ref="V41">K41/_xll.BDP($A41&amp;" Index","LOW_52WEEK")-1</f>
        <v>0.29803513927004266</v>
      </c>
      <c r="W41" s="188"/>
      <c r="X41" s="192" cm="1">
        <f t="array" ref="X41">_xll.BDP($A41&amp;" Index","RSI_14D")</f>
        <v>53.255560000000003</v>
      </c>
      <c r="Y41" s="193"/>
      <c r="Z41" s="194">
        <f t="shared" si="11"/>
        <v>-1</v>
      </c>
      <c r="AA41" s="193"/>
      <c r="AB41" s="194">
        <f t="shared" si="12"/>
        <v>-1</v>
      </c>
      <c r="AC41" s="193"/>
      <c r="AD41" s="188" t="e">
        <f t="shared" si="13"/>
        <v>#DIV/0!</v>
      </c>
      <c r="AE41" s="188"/>
      <c r="AF41" s="195" t="e">
        <f>IF(ISTEXT(B41),_xll.BDP(B41 &amp; " Equity","EXPECTED_REPORT_DT")*1,"")</f>
        <v>#VALUE!</v>
      </c>
      <c r="AG41" s="195" t="e">
        <f>IF(ISTEXT(C41),_xll.BDP(C41 &amp; " Equity","EXPECTED_REPORT_DT")*1,"")</f>
        <v>#VALUE!</v>
      </c>
      <c r="AH41" s="196" t="e" cm="1">
        <f t="array" ref="AH41">(_xll.BDP(B41&amp;" Equity","SHORT_INT")/_xll.BDP(B41&amp;" Equity","VOLUME_AVG_90D"))</f>
        <v>#VALUE!</v>
      </c>
      <c r="AI41" s="196" cm="1">
        <f t="array" ref="AI41">(_xll.BDP(C41&amp;" Equity","SHORT_INT")/_xll.BDP(C41&amp;" Equity","VOLUME_AVG_90D"))</f>
        <v>0.76746875142421522</v>
      </c>
      <c r="AJ41" s="196" t="e" cm="1">
        <f t="array" ref="AJ41">(_xll.BDP(B41&amp;" Equity","SHORT_INT"))/((_xll.BDP(B41&amp;" Equity","EQY_FREE_FLOAT_PCT"))*(_xll.BDP(B41&amp;" Equity","EQY_SH_OUT_TOT_MULT_SH")))/100</f>
        <v>#VALUE!</v>
      </c>
      <c r="AK41" s="196" t="e" cm="1">
        <f t="array" ref="AK41">(_xll.BDP(C41&amp;" Equity","SHORT_INT"))/((_xll.BDP(C41&amp;" Equity","EQY_FREE_FLOAT_PCT"))*(_xll.BDP(C41&amp;" Equity","EQY_SH_OUT_TOT_MULT_SH")))/100</f>
        <v>#VALUE!</v>
      </c>
      <c r="AM41" s="194">
        <f ca="1">IF(ISTEXT(B41),AP41/_xll.BDH(B41 &amp;  " Equity","BEST_EPS",$AM$3,$AM$3,"BEST_FPERIOD_OVERRIDE=1BF","CDR=US","Fill=p")-1,"")</f>
        <v>-4.5850066934404188E-3</v>
      </c>
      <c r="AN41" s="194">
        <f ca="1">IF(ISTEXT(B41),AP41/_xll.BDH(B41 &amp;  " Equity","BEST_EPS",$AN$3,$AN$3,"BEST_FPERIOD_OVERRIDE=1BF","CDR=US","Fill=p")-1,"")</f>
        <v>4.4004773716478818E-2</v>
      </c>
      <c r="AO41" s="196">
        <f t="shared" ca="1" si="14"/>
        <v>24.79014670118459</v>
      </c>
      <c r="AP41" s="196" cm="1">
        <f t="array" aca="1" ref="AP41" ca="1">IF(ISTEXT(B41),_xll.BDH(B41 &amp;  " Equity","BEST_EPS",$Q$3,$Q$3,"BEST_FPERIOD_OVERRIDE=1BF","CDR=US","Fill=p"),"")</f>
        <v>8.9229000000000003</v>
      </c>
      <c r="AR41" s="194" t="e">
        <f ca="1">IF(ISTEXT(C41),AU41/_xll.BDH(C41 &amp;  " Equity","BEST_EPS",$AM$3,$AM$3,"BEST_FPERIOD_OVERRIDE=1BF","CDR=US","Fill=p")-1,"")</f>
        <v>#VALUE!</v>
      </c>
      <c r="AS41" s="194" t="e">
        <f ca="1">IF(ISTEXT(C41),AU41/_xll.BDH(C41 &amp;  " Equity","BEST_EPS",$AN$3,$AN$3,"BEST_FPERIOD_OVERRIDE=1BF","CDR=US","Fill=p")-1,"")</f>
        <v>#VALUE!</v>
      </c>
      <c r="AT41" s="196" t="e">
        <f t="shared" ca="1" si="15"/>
        <v>#VALUE!</v>
      </c>
      <c r="AU41" s="196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6" t="s">
        <v>140</v>
      </c>
      <c r="C42" s="186" t="s">
        <v>142</v>
      </c>
      <c r="D42" s="186"/>
      <c r="E42" s="186"/>
      <c r="F42" s="186"/>
      <c r="G42" s="187" cm="1">
        <f t="array" ref="G42">_xll.BDP(B42&amp;" Equity","LAST PRICE")</f>
        <v>221.2</v>
      </c>
      <c r="H42" s="188" cm="1">
        <f t="array" ref="H42">G42/_xll.BDP(B42&amp;" Equity", "PREV_CLOSE_VAL")-1</f>
        <v>2.0483484037645328E-2</v>
      </c>
      <c r="I42" s="187" cm="1">
        <f t="array" ref="I42">_xll.BDP(C42&amp;" Equity","LAST PRICE")</f>
        <v>43.43</v>
      </c>
      <c r="J42" s="188" cm="1">
        <f t="array" ref="J42">I42/_xll.BDP(C42&amp;" Equity", "PREV_CLOSE_VAL")-1</f>
        <v>1.3062747842313982E-2</v>
      </c>
      <c r="K42" s="189">
        <f t="shared" ref="K42:K55" si="18">G42/I42</f>
        <v>5.0932535113976511</v>
      </c>
      <c r="L42" s="188" cm="1">
        <f t="array" ref="L42">K42/(_xll.BDP(B42&amp;" Equity", "PREV_CLOSE_VAL")/_xll.BDP(C42&amp;" Equity", "PREV_CLOSE_VAL"))-1</f>
        <v>7.3250509024604948E-3</v>
      </c>
      <c r="M42" s="188"/>
      <c r="N42" s="190">
        <f t="shared" ref="N42:N55" si="19">ABS(L42/O42)</f>
        <v>0.68814102432200563</v>
      </c>
      <c r="O42" s="191">
        <f t="shared" si="17"/>
        <v>1.0644694391934469E-2</v>
      </c>
      <c r="P42" s="192" cm="1">
        <f t="array" ref="P42">_xll.BDP($A42&amp;" Index","VOLATILITY_30D")</f>
        <v>16.893129999999999</v>
      </c>
      <c r="Q42" s="192" cm="1">
        <f t="array" aca="1" ref="Q42" ca="1">(_xll.BDP(($B42&amp; " Equity"),"CORR_COEF", "BETA_OVERRIDE_REL_INDEX",($C42&amp; " Equity"),"BETA_OVERRIDE_END_DT",$Q$5,"BETA_OVERRIDE_START_DT",$Q$4))*100</f>
        <v>62.516559999999998</v>
      </c>
      <c r="R42" s="188"/>
      <c r="S42" s="188" cm="1">
        <f t="array" ref="S42">_xll.BDP($A42&amp;" Index","CHG_PCT_2D")/100</f>
        <v>-7.2179160000000004E-4</v>
      </c>
      <c r="T42" s="188" cm="1">
        <f t="array" ref="T42">_xll.BDP($A42&amp;" Index","CHG_PCT_5D")/100</f>
        <v>1.1327139999999999E-2</v>
      </c>
      <c r="U42" s="188" cm="1">
        <f t="array" ref="U42">K42/_xll.BDP($A42&amp;" Index","HIGH_52WEEK")-1</f>
        <v>-4.6990578239206604E-3</v>
      </c>
      <c r="V42" s="188" cm="1">
        <f t="array" ref="V42">K42/_xll.BDP($A42&amp;" Index","LOW_52WEEK")-1</f>
        <v>0.55624683339474434</v>
      </c>
      <c r="W42" s="188"/>
      <c r="X42" s="192" cm="1">
        <f t="array" ref="X42">_xll.BDP($A42&amp;" Index","RSI_14D")</f>
        <v>58.738480000000003</v>
      </c>
      <c r="Y42" s="193"/>
      <c r="Z42" s="194">
        <f t="shared" ref="Z42:Z55" si="20">Y42/K42-1</f>
        <v>-1</v>
      </c>
      <c r="AA42" s="193"/>
      <c r="AB42" s="194">
        <f t="shared" ref="AB42:AB55" si="21">AA42/K42-1</f>
        <v>-1</v>
      </c>
      <c r="AC42" s="193"/>
      <c r="AD42" s="188" t="e">
        <f t="shared" ref="AD42:AD55" si="22">K42/AC42-1</f>
        <v>#DIV/0!</v>
      </c>
      <c r="AE42" s="188"/>
      <c r="AF42" s="195" t="e">
        <f>IF(ISTEXT(B42),_xll.BDP(B42 &amp; " Equity","EXPECTED_REPORT_DT")*1,"")</f>
        <v>#VALUE!</v>
      </c>
      <c r="AG42" s="195" t="e">
        <f>IF(ISTEXT(C42),_xll.BDP(C42 &amp; " Equity","EXPECTED_REPORT_DT")*1,"")</f>
        <v>#VALUE!</v>
      </c>
      <c r="AH42" s="196" t="e" cm="1">
        <f t="array" ref="AH42">(_xll.BDP(B42&amp;" Equity","SHORT_INT")/_xll.BDP(B42&amp;" Equity","VOLUME_AVG_90D"))</f>
        <v>#VALUE!</v>
      </c>
      <c r="AI42" s="196" cm="1">
        <f t="array" ref="AI42">(_xll.BDP(C42&amp;" Equity","SHORT_INT")/_xll.BDP(C42&amp;" Equity","VOLUME_AVG_90D"))</f>
        <v>1.0978472748683927</v>
      </c>
      <c r="AJ42" s="196" t="e" cm="1">
        <f t="array" ref="AJ42">(_xll.BDP(B42&amp;" Equity","SHORT_INT"))/((_xll.BDP(B42&amp;" Equity","EQY_FREE_FLOAT_PCT"))*(_xll.BDP(B42&amp;" Equity","EQY_SH_OUT_TOT_MULT_SH")))/100</f>
        <v>#VALUE!</v>
      </c>
      <c r="AK42" s="196" t="e" cm="1">
        <f t="array" ref="AK42">(_xll.BDP(C42&amp;" Equity","SHORT_INT"))/((_xll.BDP(C42&amp;" Equity","EQY_FREE_FLOAT_PCT"))*(_xll.BDP(C42&amp;" Equity","EQY_SH_OUT_TOT_MULT_SH")))/100</f>
        <v>#VALUE!</v>
      </c>
      <c r="AM42" s="194">
        <f ca="1">IF(ISTEXT(B42),AP42/_xll.BDH(B42 &amp;  " Equity","BEST_EPS",$AM$3,$AM$3,"BEST_FPERIOD_OVERRIDE=1BF","CDR=US","Fill=p")-1,"")</f>
        <v>-4.5850066934404188E-3</v>
      </c>
      <c r="AN42" s="194">
        <f ca="1">IF(ISTEXT(B42),AP42/_xll.BDH(B42 &amp;  " Equity","BEST_EPS",$AN$3,$AN$3,"BEST_FPERIOD_OVERRIDE=1BF","CDR=US","Fill=p")-1,"")</f>
        <v>4.4004773716478818E-2</v>
      </c>
      <c r="AO42" s="196">
        <f t="shared" ref="AO42:AO55" ca="1" si="23">G42/AP42</f>
        <v>24.79014670118459</v>
      </c>
      <c r="AP42" s="196" cm="1">
        <f t="array" aca="1" ref="AP42" ca="1">IF(ISTEXT(B42),_xll.BDH(B42 &amp;  " Equity","BEST_EPS",$Q$3,$Q$3,"BEST_FPERIOD_OVERRIDE=1BF","CDR=US","Fill=p"),"")</f>
        <v>8.9229000000000003</v>
      </c>
      <c r="AR42" s="194" t="e">
        <f ca="1">IF(ISTEXT(C42),AU42/_xll.BDH(C42 &amp;  " Equity","BEST_EPS",$AM$3,$AM$3,"BEST_FPERIOD_OVERRIDE=1BF","CDR=US","Fill=p")-1,"")</f>
        <v>#VALUE!</v>
      </c>
      <c r="AS42" s="194" t="e">
        <f ca="1">IF(ISTEXT(C42),AU42/_xll.BDH(C42 &amp;  " Equity","BEST_EPS",$AN$3,$AN$3,"BEST_FPERIOD_OVERRIDE=1BF","CDR=US","Fill=p")-1,"")</f>
        <v>#VALUE!</v>
      </c>
      <c r="AT42" s="196" t="e">
        <f t="shared" ref="AT42:AT55" ca="1" si="24">I42/AU42</f>
        <v>#VALUE!</v>
      </c>
      <c r="AU42" s="196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6"/>
      <c r="C43" s="186"/>
      <c r="D43" s="186"/>
      <c r="E43" s="186"/>
      <c r="F43" s="186"/>
      <c r="G43" s="187"/>
      <c r="H43" s="188"/>
      <c r="I43" s="187"/>
      <c r="J43" s="188"/>
      <c r="K43" s="189"/>
      <c r="L43" s="188"/>
      <c r="M43" s="188"/>
      <c r="N43" s="190"/>
      <c r="O43" s="191"/>
      <c r="P43" s="192"/>
      <c r="Q43" s="192"/>
      <c r="R43" s="188"/>
      <c r="S43" s="188"/>
      <c r="T43" s="188"/>
      <c r="U43" s="188"/>
      <c r="V43" s="188"/>
      <c r="W43" s="188"/>
      <c r="X43" s="192"/>
      <c r="Y43" s="193"/>
      <c r="Z43" s="194"/>
      <c r="AA43" s="193"/>
      <c r="AB43" s="194"/>
      <c r="AC43" s="193"/>
      <c r="AD43" s="188"/>
      <c r="AE43" s="188"/>
      <c r="AF43" s="195"/>
      <c r="AG43" s="195"/>
      <c r="AH43" s="196"/>
      <c r="AI43" s="196"/>
      <c r="AJ43" s="196"/>
      <c r="AK43" s="196"/>
      <c r="AM43" s="194"/>
      <c r="AN43" s="194"/>
      <c r="AO43" s="196"/>
      <c r="AP43" s="196"/>
      <c r="AR43" s="194"/>
      <c r="AS43" s="194"/>
      <c r="AT43" s="196"/>
      <c r="AU43" s="196"/>
    </row>
    <row r="44" spans="1:47">
      <c r="A44" t="str">
        <f t="shared" ref="A44:A53" si="25">"."&amp;B44&amp;C44</f>
        <v>.SPYRSP</v>
      </c>
      <c r="B44" s="186" t="s">
        <v>0</v>
      </c>
      <c r="C44" s="186" t="s">
        <v>3</v>
      </c>
      <c r="D44" s="186"/>
      <c r="E44" s="186"/>
      <c r="F44" s="186" t="s">
        <v>78</v>
      </c>
      <c r="G44" s="187" cm="1">
        <f t="array" ref="G44">_xll.BDP(B44&amp;" Equity","LAST PRICE")</f>
        <v>695.49</v>
      </c>
      <c r="H44" s="188" cm="1">
        <f t="array" ref="H44">G44/_xll.BDP(B44&amp;" Equity", "PREV_CLOSE_VAL")-1</f>
        <v>3.9842362825344146E-3</v>
      </c>
      <c r="I44" s="187" cm="1">
        <f t="array" ref="I44">_xll.BDP(C44&amp;" Equity","LAST PRICE")</f>
        <v>198.93</v>
      </c>
      <c r="J44" s="188" cm="1">
        <f t="array" ref="J44">I44/_xll.BDP(C44&amp;" Equity", "PREV_CLOSE_VAL")-1</f>
        <v>-1.5559124673760749E-3</v>
      </c>
      <c r="K44" s="189">
        <f t="shared" si="18"/>
        <v>3.4961544261800634</v>
      </c>
      <c r="L44" s="188" cm="1">
        <f t="array" ref="L44">K44/(_xll.BDP(B44&amp;" Equity", "PREV_CLOSE_VAL")/_xll.BDP(C44&amp;" Equity", "PREV_CLOSE_VAL"))-1</f>
        <v>5.548782169266353E-3</v>
      </c>
      <c r="M44" s="188"/>
      <c r="N44" s="190">
        <f t="shared" si="19"/>
        <v>1.148779616005223</v>
      </c>
      <c r="O44" s="191">
        <f t="shared" si="17"/>
        <v>4.8301537492123512E-3</v>
      </c>
      <c r="P44" s="192" cm="1">
        <f t="array" ref="P44">_xll.BDP($A44&amp;" Index","VOLATILITY_30D")</f>
        <v>7.6654540000000004</v>
      </c>
      <c r="Q44" s="192" cm="1">
        <f t="array" aca="1" ref="Q44" ca="1">(_xll.BDP(($B44&amp; " Equity"),"CORR_COEF", "BETA_OVERRIDE_REL_INDEX",($C44&amp; " Equity"),"BETA_OVERRIDE_END_DT",$Q$5,"BETA_OVERRIDE_START_DT",$Q$4))*100</f>
        <v>75.334773420394939</v>
      </c>
      <c r="R44" s="188"/>
      <c r="S44" s="188" cm="1">
        <f t="array" ref="S44">_xll.BDP($A44&amp;" Index","CHG_PCT_2D")/100</f>
        <v>8.2783579999999996E-3</v>
      </c>
      <c r="T44" s="188" cm="1">
        <f t="array" ref="T44">_xll.BDP($A44&amp;" Index","CHG_PCT_5D")/100</f>
        <v>1.1734469999999999E-2</v>
      </c>
      <c r="U44" s="188" cm="1">
        <f t="array" ref="U44">K44/_xll.BDP($A44&amp;" Index","HIGH_52WEEK")-1</f>
        <v>-4.2128477835113198E-2</v>
      </c>
      <c r="V44" s="188" cm="1">
        <f t="array" ref="V44">K44/_xll.BDP($A44&amp;" Index","LOW_52WEEK")-1</f>
        <v>8.7565847144041253E-2</v>
      </c>
      <c r="W44" s="188"/>
      <c r="X44" s="192" cm="1">
        <f t="array" ref="X44">_xll.BDP($A44&amp;" Index","RSI_14D")</f>
        <v>42.01784</v>
      </c>
      <c r="Y44" s="193"/>
      <c r="Z44" s="194">
        <f t="shared" si="20"/>
        <v>-1</v>
      </c>
      <c r="AA44" s="193"/>
      <c r="AB44" s="194">
        <f t="shared" si="21"/>
        <v>-1</v>
      </c>
      <c r="AC44" s="193"/>
      <c r="AD44" s="188" t="e">
        <f t="shared" si="22"/>
        <v>#DIV/0!</v>
      </c>
      <c r="AE44" s="188"/>
      <c r="AF44" s="195" t="e">
        <f>IF(ISTEXT(B44),_xll.BDP(B44 &amp; " Equity","EXPECTED_REPORT_DT")*1,"")</f>
        <v>#VALUE!</v>
      </c>
      <c r="AG44" s="195" t="e">
        <f>IF(ISTEXT(C44),_xll.BDP(C44 &amp; " Equity","EXPECTED_REPORT_DT")*1,"")</f>
        <v>#VALUE!</v>
      </c>
      <c r="AH44" s="196" cm="1">
        <f t="array" ref="AH44">(_xll.BDP(B44&amp;" Equity","SHORT_INT")/_xll.BDP(B44&amp;" Equity","VOLUME_AVG_90D"))</f>
        <v>1.3396166022917124</v>
      </c>
      <c r="AI44" s="196" cm="1">
        <f t="array" ref="AI44">(_xll.BDP(C44&amp;" Equity","SHORT_INT")/_xll.BDP(C44&amp;" Equity","VOLUME_AVG_90D"))</f>
        <v>2.2595100471849383</v>
      </c>
      <c r="AJ44" s="196" t="e" cm="1">
        <f t="array" ref="AJ44">(_xll.BDP(B44&amp;" Equity","SHORT_INT"))/((_xll.BDP(B44&amp;" Equity","EQY_FREE_FLOAT_PCT"))*(_xll.BDP(B44&amp;" Equity","EQY_SH_OUT_TOT_MULT_SH")))/100</f>
        <v>#VALUE!</v>
      </c>
      <c r="AK44" s="196" t="e" cm="1">
        <f t="array" ref="AK44">(_xll.BDP(C44&amp;" Equity","SHORT_INT"))/((_xll.BDP(C44&amp;" Equity","EQY_FREE_FLOAT_PCT"))*(_xll.BDP(C44&amp;" Equity","EQY_SH_OUT_TOT_MULT_SH")))/100</f>
        <v>#VALUE!</v>
      </c>
      <c r="AM44" s="194" t="e">
        <f ca="1">IF(ISTEXT(B44),AP44/_xll.BDH(B44 &amp;  " Equity","BEST_EPS",$AM$3,$AM$3,"BEST_FPERIOD_OVERRIDE=1BF","CDR=US","Fill=p")-1,"")</f>
        <v>#VALUE!</v>
      </c>
      <c r="AN44" s="194" t="e">
        <f ca="1">IF(ISTEXT(B44),AP44/_xll.BDH(B44 &amp;  " Equity","BEST_EPS",$AN$3,$AN$3,"BEST_FPERIOD_OVERRIDE=1BF","CDR=US","Fill=p")-1,"")</f>
        <v>#VALUE!</v>
      </c>
      <c r="AO44" s="196" t="e">
        <f t="shared" ca="1" si="23"/>
        <v>#VALUE!</v>
      </c>
      <c r="AP44" s="196" t="str" cm="1">
        <f t="array" aca="1" ref="AP44" ca="1">IF(ISTEXT(B44),_xll.BDH(B44 &amp;  " Equity","BEST_EPS",$Q$3,$Q$3,"BEST_FPERIOD_OVERRIDE=1BF","CDR=US","Fill=p"),"")</f>
        <v>#N/A N/A</v>
      </c>
      <c r="AR44" s="194" t="e">
        <f ca="1">IF(ISTEXT(C44),AU44/_xll.BDH(C44 &amp;  " Equity","BEST_EPS",$AM$3,$AM$3,"BEST_FPERIOD_OVERRIDE=1BF","CDR=US","Fill=p")-1,"")</f>
        <v>#VALUE!</v>
      </c>
      <c r="AS44" s="194" t="e">
        <f ca="1">IF(ISTEXT(C44),AU44/_xll.BDH(C44 &amp;  " Equity","BEST_EPS",$AN$3,$AN$3,"BEST_FPERIOD_OVERRIDE=1BF","CDR=US","Fill=p")-1,"")</f>
        <v>#VALUE!</v>
      </c>
      <c r="AT44" s="196" t="e">
        <f t="shared" ca="1" si="24"/>
        <v>#VALUE!</v>
      </c>
      <c r="AU44" s="196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6" t="s">
        <v>135</v>
      </c>
      <c r="C45" s="186" t="s">
        <v>143</v>
      </c>
      <c r="D45" s="186"/>
      <c r="E45" s="186"/>
      <c r="F45" s="186" t="s">
        <v>78</v>
      </c>
      <c r="G45" s="187" cm="1">
        <f t="array" ref="G45">_xll.BDP(B45&amp;" Equity","LAST PRICE")</f>
        <v>631.13</v>
      </c>
      <c r="H45" s="188" cm="1">
        <f t="array" ref="H45">G45/_xll.BDP(B45&amp;" Equity", "PREV_CLOSE_VAL")-1</f>
        <v>9.0653279186518887E-3</v>
      </c>
      <c r="I45" s="187" cm="1">
        <f t="array" ref="I45">_xll.BDP(C45&amp;" Equity","LAST PRICE")</f>
        <v>105.94</v>
      </c>
      <c r="J45" s="188" cm="1">
        <f t="array" ref="J45">I45/_xll.BDP(C45&amp;" Equity", "PREV_CLOSE_VAL")-1</f>
        <v>4.1706161137440301E-3</v>
      </c>
      <c r="K45" s="189">
        <f t="shared" si="18"/>
        <v>5.9574287332452336</v>
      </c>
      <c r="L45" s="188" cm="1">
        <f t="array" ref="L45">K45/(_xll.BDP(B45&amp;" Equity", "PREV_CLOSE_VAL")/_xll.BDP(C45&amp;" Equity", "PREV_CLOSE_VAL"))-1</f>
        <v>4.8743826261825607E-3</v>
      </c>
      <c r="M45" s="188"/>
      <c r="N45" s="190">
        <f t="shared" si="19"/>
        <v>1.131817126447259</v>
      </c>
      <c r="O45" s="191">
        <f t="shared" si="17"/>
        <v>4.3066874606175172E-3</v>
      </c>
      <c r="P45" s="192" cm="1">
        <f t="array" ref="P45">_xll.BDP($A45&amp;" Index","VOLATILITY_30D")</f>
        <v>6.8347129999999998</v>
      </c>
      <c r="Q45" s="192" cm="1">
        <f t="array" aca="1" ref="Q45" ca="1">(_xll.BDP(($B45&amp; " Equity"),"CORR_COEF", "BETA_OVERRIDE_REL_INDEX",($C45&amp; " Equity"),"BETA_OVERRIDE_END_DT",$Q$5,"BETA_OVERRIDE_START_DT",$Q$4))*100</f>
        <v>90.003491170510074</v>
      </c>
      <c r="R45" s="188"/>
      <c r="S45" s="188" cm="1">
        <f t="array" ref="S45">_xll.BDP($A45&amp;" Index","CHG_PCT_2D")/100</f>
        <v>3.8820999999999999E-3</v>
      </c>
      <c r="T45" s="188" cm="1">
        <f t="array" ref="T45">_xll.BDP($A45&amp;" Index","CHG_PCT_5D")/100</f>
        <v>7.5078250000000001E-3</v>
      </c>
      <c r="U45" s="188" cm="1">
        <f t="array" ref="U45">K45/_xll.BDP($A45&amp;" Index","HIGH_52WEEK")-1</f>
        <v>-2.5476351345499415E-2</v>
      </c>
      <c r="V45" s="188" cm="1">
        <f t="array" ref="V45">K45/_xll.BDP($A45&amp;" Index","LOW_52WEEK")-1</f>
        <v>0.11292233329694845</v>
      </c>
      <c r="W45" s="188"/>
      <c r="X45" s="192" cm="1">
        <f t="array" ref="X45">_xll.BDP($A45&amp;" Index","RSI_14D")</f>
        <v>44.343299999999999</v>
      </c>
      <c r="Y45" s="193"/>
      <c r="Z45" s="194">
        <f t="shared" si="20"/>
        <v>-1</v>
      </c>
      <c r="AA45" s="193"/>
      <c r="AB45" s="194">
        <f t="shared" si="21"/>
        <v>-1</v>
      </c>
      <c r="AC45" s="193"/>
      <c r="AD45" s="188" t="e">
        <f t="shared" si="22"/>
        <v>#DIV/0!</v>
      </c>
      <c r="AE45" s="188"/>
      <c r="AF45" s="195" t="e">
        <f>IF(ISTEXT(B45),_xll.BDP(B45 &amp; " Equity","EXPECTED_REPORT_DT")*1,"")</f>
        <v>#VALUE!</v>
      </c>
      <c r="AG45" s="195" t="e">
        <f>IF(ISTEXT(C45),_xll.BDP(C45 &amp; " Equity","EXPECTED_REPORT_DT")*1,"")</f>
        <v>#VALUE!</v>
      </c>
      <c r="AH45" s="196" cm="1">
        <f t="array" ref="AH45">(_xll.BDP(B45&amp;" Equity","SHORT_INT")/_xll.BDP(B45&amp;" Equity","VOLUME_AVG_90D"))</f>
        <v>0.76746875142421522</v>
      </c>
      <c r="AI45" s="196" cm="1">
        <f t="array" ref="AI45">(_xll.BDP(C45&amp;" Equity","SHORT_INT")/_xll.BDP(C45&amp;" Equity","VOLUME_AVG_90D"))</f>
        <v>4.2387508020666669</v>
      </c>
      <c r="AJ45" s="196" t="e" cm="1">
        <f t="array" ref="AJ45">(_xll.BDP(B45&amp;" Equity","SHORT_INT"))/((_xll.BDP(B45&amp;" Equity","EQY_FREE_FLOAT_PCT"))*(_xll.BDP(B45&amp;" Equity","EQY_SH_OUT_TOT_MULT_SH")))/100</f>
        <v>#VALUE!</v>
      </c>
      <c r="AK45" s="196" t="e" cm="1">
        <f t="array" ref="AK45">(_xll.BDP(C45&amp;" Equity","SHORT_INT"))/((_xll.BDP(C45&amp;" Equity","EQY_FREE_FLOAT_PCT"))*(_xll.BDP(C45&amp;" Equity","EQY_SH_OUT_TOT_MULT_SH")))/100</f>
        <v>#VALUE!</v>
      </c>
      <c r="AM45" s="194" t="e">
        <f ca="1">IF(ISTEXT(B45),AP45/_xll.BDH(B45 &amp;  " Equity","BEST_EPS",$AM$3,$AM$3,"BEST_FPERIOD_OVERRIDE=1BF","CDR=US","Fill=p")-1,"")</f>
        <v>#VALUE!</v>
      </c>
      <c r="AN45" s="194" t="e">
        <f ca="1">IF(ISTEXT(B45),AP45/_xll.BDH(B45 &amp;  " Equity","BEST_EPS",$AN$3,$AN$3,"BEST_FPERIOD_OVERRIDE=1BF","CDR=US","Fill=p")-1,"")</f>
        <v>#VALUE!</v>
      </c>
      <c r="AO45" s="196" t="e">
        <f t="shared" ca="1" si="23"/>
        <v>#VALUE!</v>
      </c>
      <c r="AP45" s="196" t="str" cm="1">
        <f t="array" aca="1" ref="AP45" ca="1">IF(ISTEXT(B45),_xll.BDH(B45 &amp;  " Equity","BEST_EPS",$Q$3,$Q$3,"BEST_FPERIOD_OVERRIDE=1BF","CDR=US","Fill=p"),"")</f>
        <v>#N/A N/A</v>
      </c>
      <c r="AR45" s="194" t="e">
        <f ca="1">IF(ISTEXT(C45),AU45/_xll.BDH(C45 &amp;  " Equity","BEST_EPS",$AM$3,$AM$3,"BEST_FPERIOD_OVERRIDE=1BF","CDR=US","Fill=p")-1,"")</f>
        <v>#VALUE!</v>
      </c>
      <c r="AS45" s="194" t="e">
        <f ca="1">IF(ISTEXT(C45),AU45/_xll.BDH(C45 &amp;  " Equity","BEST_EPS",$AN$3,$AN$3,"BEST_FPERIOD_OVERRIDE=1BF","CDR=US","Fill=p")-1,"")</f>
        <v>#VALUE!</v>
      </c>
      <c r="AT45" s="196" t="e">
        <f t="shared" ca="1" si="24"/>
        <v>#VALUE!</v>
      </c>
      <c r="AU45" s="196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6" t="s">
        <v>135</v>
      </c>
      <c r="C46" s="186" t="s">
        <v>89</v>
      </c>
      <c r="D46" s="186"/>
      <c r="E46" s="186"/>
      <c r="F46" s="186" t="s">
        <v>78</v>
      </c>
      <c r="G46" s="187" cm="1">
        <f t="array" ref="G46">_xll.BDP(B46&amp;" Equity","LAST PRICE")</f>
        <v>631.13</v>
      </c>
      <c r="H46" s="188" cm="1">
        <f t="array" ref="H46">G46/_xll.BDP(B46&amp;" Equity", "PREV_CLOSE_VAL")-1</f>
        <v>9.0653279186518887E-3</v>
      </c>
      <c r="I46" s="187" cm="1">
        <f t="array" ref="I46">_xll.BDP(C46&amp;" Equity","LAST PRICE")</f>
        <v>97.76</v>
      </c>
      <c r="J46" s="188" cm="1">
        <f t="array" ref="J46">I46/_xll.BDP(C46&amp;" Equity", "PREV_CLOSE_VAL")-1</f>
        <v>-1.0626454812265984E-2</v>
      </c>
      <c r="K46" s="189">
        <f>G46/I46</f>
        <v>6.4559124386252043</v>
      </c>
      <c r="L46" s="188" cm="1">
        <f t="array" ref="L46">K46/(_xll.BDP(B46&amp;" Equity", "PREV_CLOSE_VAL")/_xll.BDP(C46&amp;" Equity", "PREV_CLOSE_VAL"))-1</f>
        <v>1.990328407980746E-2</v>
      </c>
      <c r="M46" s="188"/>
      <c r="N46" s="190">
        <f>ABS(L46/O46)</f>
        <v>1.8897896911419823</v>
      </c>
      <c r="O46" s="191">
        <f>P46/15.87/100</f>
        <v>1.0532010081915566E-2</v>
      </c>
      <c r="P46" s="192" cm="1">
        <f t="array" ref="P46">_xll.BDP($A46&amp;" Index","VOLATILITY_30D")</f>
        <v>16.714300000000001</v>
      </c>
      <c r="Q46" s="192" cm="1">
        <f t="array" aca="1" ref="Q46" ca="1">(_xll.BDP(($B46&amp; " Equity"),"CORR_COEF", "BETA_OVERRIDE_REL_INDEX",($C46&amp; " Equity"),"BETA_OVERRIDE_END_DT",$Q$5,"BETA_OVERRIDE_START_DT",$Q$4))*100</f>
        <v>79.516245778410351</v>
      </c>
      <c r="R46" s="188"/>
      <c r="S46" s="188" cm="1">
        <f t="array" ref="S46">_xll.BDP($A46&amp;" Index","CHG_PCT_2D")/100</f>
        <v>1.355453E-2</v>
      </c>
      <c r="T46" s="188" cm="1">
        <f t="array" ref="T46">_xll.BDP($A46&amp;" Index","CHG_PCT_5D")/100</f>
        <v>1.9081560000000001E-2</v>
      </c>
      <c r="U46" s="188" cm="1">
        <f t="array" ref="U46">K46/_xll.BDP($A46&amp;" Index","HIGH_52WEEK")-1</f>
        <v>-6.2656136799543738E-4</v>
      </c>
      <c r="V46" s="188" cm="1">
        <f t="array" ref="V46">K46/_xll.BDP($A46&amp;" Index","LOW_52WEEK")-1</f>
        <v>0.32756848475521161</v>
      </c>
      <c r="W46" s="188"/>
      <c r="X46" s="192" cm="1">
        <f t="array" ref="X46">_xll.BDP($A46&amp;" Index","RSI_14D")</f>
        <v>70.039159999999995</v>
      </c>
      <c r="Y46" s="193"/>
      <c r="Z46" s="194">
        <f>Y46/K46-1</f>
        <v>-1</v>
      </c>
      <c r="AA46" s="193"/>
      <c r="AB46" s="194">
        <f>AA46/K46-1</f>
        <v>-1</v>
      </c>
      <c r="AC46" s="193"/>
      <c r="AD46" s="188" t="e">
        <f>K46/AC46-1</f>
        <v>#DIV/0!</v>
      </c>
      <c r="AE46" s="188"/>
      <c r="AF46" s="195" t="e">
        <f>IF(ISTEXT(B46),_xll.BDP(B46 &amp; " Equity","EXPECTED_REPORT_DT")*1,"")</f>
        <v>#VALUE!</v>
      </c>
      <c r="AG46" s="195" t="e">
        <f>IF(ISTEXT(C46),_xll.BDP(C46 &amp; " Equity","EXPECTED_REPORT_DT")*1,"")</f>
        <v>#VALUE!</v>
      </c>
      <c r="AH46" s="196" cm="1">
        <f t="array" ref="AH46">(_xll.BDP(B46&amp;" Equity","SHORT_INT")/_xll.BDP(B46&amp;" Equity","VOLUME_AVG_90D"))</f>
        <v>0.76746875142421522</v>
      </c>
      <c r="AI46" s="196" t="e" cm="1">
        <f t="array" ref="AI46">(_xll.BDP(C46&amp;" Equity","SHORT_INT")/_xll.BDP(C46&amp;" Equity","VOLUME_AVG_90D"))</f>
        <v>#VALUE!</v>
      </c>
      <c r="AJ46" s="196" t="e" cm="1">
        <f t="array" ref="AJ46">(_xll.BDP(B46&amp;" Equity","SHORT_INT"))/((_xll.BDP(B46&amp;" Equity","EQY_FREE_FLOAT_PCT"))*(_xll.BDP(B46&amp;" Equity","EQY_SH_OUT_TOT_MULT_SH")))/100</f>
        <v>#VALUE!</v>
      </c>
      <c r="AK46" s="196" t="e" cm="1">
        <f t="array" ref="AK46">(_xll.BDP(C46&amp;" Equity","SHORT_INT"))/((_xll.BDP(C46&amp;" Equity","EQY_FREE_FLOAT_PCT"))*(_xll.BDP(C46&amp;" Equity","EQY_SH_OUT_TOT_MULT_SH")))/100</f>
        <v>#VALUE!</v>
      </c>
      <c r="AM46" s="194" t="e">
        <f ca="1">IF(ISTEXT(B46),AP46/_xll.BDH(B46 &amp;  " Equity","BEST_EPS",$AM$3,$AM$3,"BEST_FPERIOD_OVERRIDE=1BF","CDR=US","Fill=p")-1,"")</f>
        <v>#VALUE!</v>
      </c>
      <c r="AN46" s="194" t="e">
        <f ca="1">IF(ISTEXT(B46),AP46/_xll.BDH(B46 &amp;  " Equity","BEST_EPS",$AN$3,$AN$3,"BEST_FPERIOD_OVERRIDE=1BF","CDR=US","Fill=p")-1,"")</f>
        <v>#VALUE!</v>
      </c>
      <c r="AO46" s="196" t="e">
        <f ca="1">G46/AP46</f>
        <v>#VALUE!</v>
      </c>
      <c r="AP46" s="196" t="str" cm="1">
        <f t="array" aca="1" ref="AP46" ca="1">IF(ISTEXT(B46),_xll.BDH(B46 &amp;  " Equity","BEST_EPS",$Q$3,$Q$3,"BEST_FPERIOD_OVERRIDE=1BF","CDR=US","Fill=p"),"")</f>
        <v>#N/A N/A</v>
      </c>
      <c r="AR46" s="194" t="e">
        <f ca="1">IF(ISTEXT(C46),AU46/_xll.BDH(C46 &amp;  " Equity","BEST_EPS",$AM$3,$AM$3,"BEST_FPERIOD_OVERRIDE=1BF","CDR=US","Fill=p")-1,"")</f>
        <v>#VALUE!</v>
      </c>
      <c r="AS46" s="194" t="e">
        <f ca="1">IF(ISTEXT(C46),AU46/_xll.BDH(C46 &amp;  " Equity","BEST_EPS",$AN$3,$AN$3,"BEST_FPERIOD_OVERRIDE=1BF","CDR=US","Fill=p")-1,"")</f>
        <v>#VALUE!</v>
      </c>
      <c r="AT46" s="196" t="e">
        <f ca="1">I46/AU46</f>
        <v>#VALUE!</v>
      </c>
      <c r="AU46" s="196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6" t="s">
        <v>0</v>
      </c>
      <c r="C47" s="186" t="s">
        <v>135</v>
      </c>
      <c r="D47" s="186"/>
      <c r="E47" s="186"/>
      <c r="F47" s="186" t="s">
        <v>78</v>
      </c>
      <c r="G47" s="187" cm="1">
        <f t="array" ref="G47">_xll.BDP(B47&amp;" Equity","LAST PRICE")</f>
        <v>695.49</v>
      </c>
      <c r="H47" s="188" cm="1">
        <f t="array" ref="H47">G47/_xll.BDP(B47&amp;" Equity", "PREV_CLOSE_VAL")-1</f>
        <v>3.9842362825344146E-3</v>
      </c>
      <c r="I47" s="187" cm="1">
        <f t="array" ref="I47">_xll.BDP(C47&amp;" Equity","LAST PRICE")</f>
        <v>631.13</v>
      </c>
      <c r="J47" s="188" cm="1">
        <f t="array" ref="J47">I47/_xll.BDP(C47&amp;" Equity", "PREV_CLOSE_VAL")-1</f>
        <v>9.0653279186518887E-3</v>
      </c>
      <c r="K47" s="189">
        <f t="shared" si="18"/>
        <v>1.1019758211461981</v>
      </c>
      <c r="L47" s="188" cm="1">
        <f t="array" ref="L47">K47/(_xll.BDP(B47&amp;" Equity", "PREV_CLOSE_VAL")/_xll.BDP(C47&amp;" Equity", "PREV_CLOSE_VAL"))-1</f>
        <v>-5.0354436878710107E-3</v>
      </c>
      <c r="M47" s="188"/>
      <c r="N47" s="190">
        <f t="shared" si="19"/>
        <v>0.16419405510410195</v>
      </c>
      <c r="O47" s="191">
        <f t="shared" si="17"/>
        <v>3.0667637051039698E-2</v>
      </c>
      <c r="P47" s="192" cm="1">
        <f t="array" ref="P47">_xll.BDP($A47&amp;" Index","VOLATILITY_30D")</f>
        <v>48.669539999999998</v>
      </c>
      <c r="Q47" s="192" cm="1">
        <f t="array" aca="1" ref="Q47" ca="1">(_xll.BDP(($B47&amp; " Equity"),"CORR_COEF", "BETA_OVERRIDE_REL_INDEX",($C47&amp; " Equity"),"BETA_OVERRIDE_END_DT",$Q$5,"BETA_OVERRIDE_START_DT",$Q$4))*100</f>
        <v>93.814520868009126</v>
      </c>
      <c r="R47" s="188"/>
      <c r="S47" s="188" cm="1">
        <f t="array" ref="S47">_xll.BDP($A47&amp;" Index","CHG_PCT_2D")/100</f>
        <v>-2.7995179999999998E-2</v>
      </c>
      <c r="T47" s="188" cm="1">
        <f t="array" ref="T47">_xll.BDP($A47&amp;" Index","CHG_PCT_5D")/100</f>
        <v>-6.3786599999999999E-2</v>
      </c>
      <c r="U47" s="188" cm="1">
        <f t="array" ref="U47">K47/_xll.BDP($A47&amp;" Index","HIGH_52WEEK")-1</f>
        <v>-0.98779379905686537</v>
      </c>
      <c r="V47" s="188" cm="1">
        <f t="array" ref="V47">K47/_xll.BDP($A47&amp;" Index","LOW_52WEEK")-1</f>
        <v>-0.9784475685283357</v>
      </c>
      <c r="W47" s="188"/>
      <c r="X47" s="192" cm="1">
        <f t="array" ref="X47">_xll.BDP($A47&amp;" Index","RSI_14D")</f>
        <v>49.147030000000001</v>
      </c>
      <c r="Y47" s="193"/>
      <c r="Z47" s="194">
        <f t="shared" si="20"/>
        <v>-1</v>
      </c>
      <c r="AA47" s="193"/>
      <c r="AB47" s="194">
        <f t="shared" si="21"/>
        <v>-1</v>
      </c>
      <c r="AC47" s="193"/>
      <c r="AD47" s="188" t="e">
        <f t="shared" si="22"/>
        <v>#DIV/0!</v>
      </c>
      <c r="AE47" s="188"/>
      <c r="AF47" s="195" t="e">
        <f>IF(ISTEXT(B47),_xll.BDP(B47 &amp; " Equity","EXPECTED_REPORT_DT")*1,"")</f>
        <v>#VALUE!</v>
      </c>
      <c r="AG47" s="195" t="e">
        <f>IF(ISTEXT(C47),_xll.BDP(C47 &amp; " Equity","EXPECTED_REPORT_DT")*1,"")</f>
        <v>#VALUE!</v>
      </c>
      <c r="AH47" s="196" cm="1">
        <f t="array" ref="AH47">(_xll.BDP(B47&amp;" Equity","SHORT_INT")/_xll.BDP(B47&amp;" Equity","VOLUME_AVG_90D"))</f>
        <v>1.3396166022917124</v>
      </c>
      <c r="AI47" s="196" cm="1">
        <f t="array" ref="AI47">(_xll.BDP(C47&amp;" Equity","SHORT_INT")/_xll.BDP(C47&amp;" Equity","VOLUME_AVG_90D"))</f>
        <v>0.76746875142421522</v>
      </c>
      <c r="AJ47" s="196" t="e" cm="1">
        <f t="array" ref="AJ47">(_xll.BDP(B47&amp;" Equity","SHORT_INT"))/((_xll.BDP(B47&amp;" Equity","EQY_FREE_FLOAT_PCT"))*(_xll.BDP(B47&amp;" Equity","EQY_SH_OUT_TOT_MULT_SH")))/100</f>
        <v>#VALUE!</v>
      </c>
      <c r="AK47" s="196" t="e" cm="1">
        <f t="array" ref="AK47">(_xll.BDP(C47&amp;" Equity","SHORT_INT"))/((_xll.BDP(C47&amp;" Equity","EQY_FREE_FLOAT_PCT"))*(_xll.BDP(C47&amp;" Equity","EQY_SH_OUT_TOT_MULT_SH")))/100</f>
        <v>#VALUE!</v>
      </c>
      <c r="AM47" s="194" t="e">
        <f ca="1">IF(ISTEXT(B47),AP47/_xll.BDH(B47 &amp;  " Equity","BEST_EPS",$AM$3,$AM$3,"BEST_FPERIOD_OVERRIDE=1BF","CDR=US","Fill=p")-1,"")</f>
        <v>#VALUE!</v>
      </c>
      <c r="AN47" s="194" t="e">
        <f ca="1">IF(ISTEXT(B47),AP47/_xll.BDH(B47 &amp;  " Equity","BEST_EPS",$AN$3,$AN$3,"BEST_FPERIOD_OVERRIDE=1BF","CDR=US","Fill=p")-1,"")</f>
        <v>#VALUE!</v>
      </c>
      <c r="AO47" s="196" t="e">
        <f t="shared" ca="1" si="23"/>
        <v>#VALUE!</v>
      </c>
      <c r="AP47" s="196" t="str" cm="1">
        <f t="array" aca="1" ref="AP47" ca="1">IF(ISTEXT(B47),_xll.BDH(B47 &amp;  " Equity","BEST_EPS",$Q$3,$Q$3,"BEST_FPERIOD_OVERRIDE=1BF","CDR=US","Fill=p"),"")</f>
        <v>#N/A N/A</v>
      </c>
      <c r="AR47" s="194" t="e">
        <f ca="1">IF(ISTEXT(C47),AU47/_xll.BDH(C47 &amp;  " Equity","BEST_EPS",$AM$3,$AM$3,"BEST_FPERIOD_OVERRIDE=1BF","CDR=US","Fill=p")-1,"")</f>
        <v>#VALUE!</v>
      </c>
      <c r="AS47" s="194" t="e">
        <f ca="1">IF(ISTEXT(C47),AU47/_xll.BDH(C47 &amp;  " Equity","BEST_EPS",$AN$3,$AN$3,"BEST_FPERIOD_OVERRIDE=1BF","CDR=US","Fill=p")-1,"")</f>
        <v>#VALUE!</v>
      </c>
      <c r="AT47" s="196" t="e">
        <f t="shared" ca="1" si="24"/>
        <v>#VALUE!</v>
      </c>
      <c r="AU47" s="196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6" t="s">
        <v>0</v>
      </c>
      <c r="C48" s="186" t="s">
        <v>144</v>
      </c>
      <c r="D48" s="186"/>
      <c r="E48" s="186"/>
      <c r="F48" s="186" t="s">
        <v>78</v>
      </c>
      <c r="G48" s="187" cm="1">
        <f t="array" ref="G48">_xll.BDP(B48&amp;" Equity","LAST PRICE")</f>
        <v>695.49</v>
      </c>
      <c r="H48" s="188" cm="1">
        <f t="array" ref="H48">G48/_xll.BDP(B48&amp;" Equity", "PREV_CLOSE_VAL")-1</f>
        <v>3.9842362825344146E-3</v>
      </c>
      <c r="I48" s="187" cm="1">
        <f t="array" ref="I48">_xll.BDP(C48&amp;" Equity","LAST PRICE")</f>
        <v>264.73</v>
      </c>
      <c r="J48" s="188" cm="1">
        <f t="array" ref="J48">I48/_xll.BDP(C48&amp;" Equity", "PREV_CLOSE_VAL")-1</f>
        <v>2.8411243276005305E-3</v>
      </c>
      <c r="K48" s="189">
        <f t="shared" si="18"/>
        <v>2.6271673025346578</v>
      </c>
      <c r="L48" s="188" cm="1">
        <f t="array" ref="L48">K48/(_xll.BDP(B48&amp;" Equity", "PREV_CLOSE_VAL")/_xll.BDP(C48&amp;" Equity", "PREV_CLOSE_VAL"))-1</f>
        <v>1.1398734327934257E-3</v>
      </c>
      <c r="M48" s="188"/>
      <c r="N48" s="190">
        <f t="shared" si="19"/>
        <v>0.16033794006741242</v>
      </c>
      <c r="O48" s="191">
        <f t="shared" si="17"/>
        <v>7.1091934467548837E-3</v>
      </c>
      <c r="P48" s="192" cm="1">
        <f t="array" ref="P48">_xll.BDP($A48&amp;" Index","VOLATILITY_30D")</f>
        <v>11.28229</v>
      </c>
      <c r="Q48" s="192" cm="1">
        <f t="array" aca="1" ref="Q48" ca="1">(_xll.BDP(($B48&amp; " Equity"),"CORR_COEF", "BETA_OVERRIDE_REL_INDEX",($C48&amp; " Equity"),"BETA_OVERRIDE_END_DT",$Q$5,"BETA_OVERRIDE_START_DT",$Q$4))*100</f>
        <v>75.624573609497475</v>
      </c>
      <c r="R48" s="188"/>
      <c r="S48" s="188" cm="1">
        <f t="array" ref="S48">_xll.BDP($A48&amp;" Index","CHG_PCT_2D")/100</f>
        <v>1.056812E-2</v>
      </c>
      <c r="T48" s="188" cm="1">
        <f t="array" ref="T48">_xll.BDP($A48&amp;" Index","CHG_PCT_5D")/100</f>
        <v>1.9286790000000002E-2</v>
      </c>
      <c r="U48" s="188" cm="1">
        <f t="array" ref="U48">K48/_xll.BDP($A48&amp;" Index","HIGH_52WEEK")-1</f>
        <v>-9.2885351554579665E-2</v>
      </c>
      <c r="V48" s="188" cm="1">
        <f t="array" ref="V48">K48/_xll.BDP($A48&amp;" Index","LOW_52WEEK")-1</f>
        <v>2.8744792985502921E-2</v>
      </c>
      <c r="W48" s="188"/>
      <c r="X48" s="192" cm="1">
        <f t="array" ref="X48">_xll.BDP($A48&amp;" Index","RSI_14D")</f>
        <v>41.703879999999998</v>
      </c>
      <c r="Y48" s="193"/>
      <c r="Z48" s="194">
        <f t="shared" si="20"/>
        <v>-1</v>
      </c>
      <c r="AA48" s="193"/>
      <c r="AB48" s="194">
        <f t="shared" si="21"/>
        <v>-1</v>
      </c>
      <c r="AC48" s="193"/>
      <c r="AD48" s="188" t="e">
        <f t="shared" si="22"/>
        <v>#DIV/0!</v>
      </c>
      <c r="AE48" s="188"/>
      <c r="AF48" s="195" t="e">
        <f>IF(ISTEXT(B48),_xll.BDP(B48 &amp; " Equity","EXPECTED_REPORT_DT")*1,"")</f>
        <v>#VALUE!</v>
      </c>
      <c r="AG48" s="195" t="e">
        <f>IF(ISTEXT(C48),_xll.BDP(C48 &amp; " Equity","EXPECTED_REPORT_DT")*1,"")</f>
        <v>#VALUE!</v>
      </c>
      <c r="AH48" s="196" cm="1">
        <f t="array" ref="AH48">(_xll.BDP(B48&amp;" Equity","SHORT_INT")/_xll.BDP(B48&amp;" Equity","VOLUME_AVG_90D"))</f>
        <v>1.3396166022917124</v>
      </c>
      <c r="AI48" s="196" cm="1">
        <f t="array" ref="AI48">(_xll.BDP(C48&amp;" Equity","SHORT_INT")/_xll.BDP(C48&amp;" Equity","VOLUME_AVG_90D"))</f>
        <v>1.9998620637844922</v>
      </c>
      <c r="AJ48" s="196" t="e" cm="1">
        <f t="array" ref="AJ48">(_xll.BDP(B48&amp;" Equity","SHORT_INT"))/((_xll.BDP(B48&amp;" Equity","EQY_FREE_FLOAT_PCT"))*(_xll.BDP(B48&amp;" Equity","EQY_SH_OUT_TOT_MULT_SH")))/100</f>
        <v>#VALUE!</v>
      </c>
      <c r="AK48" s="196" t="e" cm="1">
        <f t="array" ref="AK48">(_xll.BDP(C48&amp;" Equity","SHORT_INT"))/((_xll.BDP(C48&amp;" Equity","EQY_FREE_FLOAT_PCT"))*(_xll.BDP(C48&amp;" Equity","EQY_SH_OUT_TOT_MULT_SH")))/100</f>
        <v>#VALUE!</v>
      </c>
      <c r="AM48" s="194" t="e">
        <f ca="1">IF(ISTEXT(B48),AP48/_xll.BDH(B48 &amp;  " Equity","BEST_EPS",$AM$3,$AM$3,"BEST_FPERIOD_OVERRIDE=1BF","CDR=US","Fill=p")-1,"")</f>
        <v>#VALUE!</v>
      </c>
      <c r="AN48" s="194" t="e">
        <f ca="1">IF(ISTEXT(B48),AP48/_xll.BDH(B48 &amp;  " Equity","BEST_EPS",$AN$3,$AN$3,"BEST_FPERIOD_OVERRIDE=1BF","CDR=US","Fill=p")-1,"")</f>
        <v>#VALUE!</v>
      </c>
      <c r="AO48" s="196" t="e">
        <f t="shared" ca="1" si="23"/>
        <v>#VALUE!</v>
      </c>
      <c r="AP48" s="196" t="str" cm="1">
        <f t="array" aca="1" ref="AP48" ca="1">IF(ISTEXT(B48),_xll.BDH(B48 &amp;  " Equity","BEST_EPS",$Q$3,$Q$3,"BEST_FPERIOD_OVERRIDE=1BF","CDR=US","Fill=p"),"")</f>
        <v>#N/A N/A</v>
      </c>
      <c r="AR48" s="194" t="e">
        <f ca="1">IF(ISTEXT(C48),AU48/_xll.BDH(C48 &amp;  " Equity","BEST_EPS",$AM$3,$AM$3,"BEST_FPERIOD_OVERRIDE=1BF","CDR=US","Fill=p")-1,"")</f>
        <v>#VALUE!</v>
      </c>
      <c r="AS48" s="194" t="e">
        <f ca="1">IF(ISTEXT(C48),AU48/_xll.BDH(C48 &amp;  " Equity","BEST_EPS",$AN$3,$AN$3,"BEST_FPERIOD_OVERRIDE=1BF","CDR=US","Fill=p")-1,"")</f>
        <v>#VALUE!</v>
      </c>
      <c r="AT48" s="196" t="e">
        <f t="shared" ca="1" si="24"/>
        <v>#VALUE!</v>
      </c>
      <c r="AU48" s="196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6" t="s">
        <v>135</v>
      </c>
      <c r="C49" s="186" t="s">
        <v>144</v>
      </c>
      <c r="D49" s="186"/>
      <c r="E49" s="186"/>
      <c r="F49" s="186" t="s">
        <v>78</v>
      </c>
      <c r="G49" s="187" cm="1">
        <f t="array" ref="G49">_xll.BDP(B49&amp;" Equity","LAST PRICE")</f>
        <v>631.13</v>
      </c>
      <c r="H49" s="188" cm="1">
        <f t="array" ref="H49">G49/_xll.BDP(B49&amp;" Equity", "PREV_CLOSE_VAL")-1</f>
        <v>9.0653279186518887E-3</v>
      </c>
      <c r="I49" s="187" cm="1">
        <f t="array" ref="I49">_xll.BDP(C49&amp;" Equity","LAST PRICE")</f>
        <v>264.73</v>
      </c>
      <c r="J49" s="188" cm="1">
        <f t="array" ref="J49">I49/_xll.BDP(C49&amp;" Equity", "PREV_CLOSE_VAL")-1</f>
        <v>2.8411243276005305E-3</v>
      </c>
      <c r="K49" s="189">
        <f t="shared" si="18"/>
        <v>2.3840516752918064</v>
      </c>
      <c r="L49" s="188" cm="1">
        <f t="array" ref="L49">K49/(_xll.BDP(B49&amp;" Equity", "PREV_CLOSE_VAL")/_xll.BDP(C49&amp;" Equity", "PREV_CLOSE_VAL"))-1</f>
        <v>6.2065699541635766E-3</v>
      </c>
      <c r="M49" s="188"/>
      <c r="N49" s="190">
        <f t="shared" si="19"/>
        <v>0.7080175244437541</v>
      </c>
      <c r="O49" s="191">
        <f t="shared" si="17"/>
        <v>8.7661247637051045E-3</v>
      </c>
      <c r="P49" s="192" cm="1">
        <f t="array" ref="P49">_xll.BDP($A49&amp;" Index","VOLATILITY_30D")</f>
        <v>13.91184</v>
      </c>
      <c r="Q49" s="192" cm="1">
        <f t="array" aca="1" ref="Q49" ca="1">(_xll.BDP(($B49&amp; " Equity"),"CORR_COEF", "BETA_OVERRIDE_REL_INDEX",($C49&amp; " Equity"),"BETA_OVERRIDE_END_DT",$Q$5,"BETA_OVERRIDE_START_DT",$Q$4))*100</f>
        <v>62.253938818587919</v>
      </c>
      <c r="R49" s="188"/>
      <c r="S49" s="188" cm="1">
        <f t="array" ref="S49">_xll.BDP($A49&amp;" Index","CHG_PCT_2D")/100</f>
        <v>1.4767559999999999E-2</v>
      </c>
      <c r="T49" s="188" cm="1">
        <f t="array" ref="T49">_xll.BDP($A49&amp;" Index","CHG_PCT_5D")/100</f>
        <v>3.0481760000000004E-2</v>
      </c>
      <c r="U49" s="188" cm="1">
        <f t="array" ref="U49">K49/_xll.BDP($A49&amp;" Index","HIGH_52WEEK")-1</f>
        <v>-8.5799649017636925E-2</v>
      </c>
      <c r="V49" s="188" cm="1">
        <f t="array" ref="V49">K49/_xll.BDP($A49&amp;" Index","LOW_52WEEK")-1</f>
        <v>5.0132001590936115E-2</v>
      </c>
      <c r="W49" s="188"/>
      <c r="X49" s="192" cm="1">
        <f t="array" ref="X49">_xll.BDP($A49&amp;" Index","RSI_14D")</f>
        <v>43.23807</v>
      </c>
      <c r="Y49" s="193"/>
      <c r="Z49" s="194">
        <f t="shared" si="20"/>
        <v>-1</v>
      </c>
      <c r="AA49" s="193"/>
      <c r="AB49" s="194">
        <f t="shared" si="21"/>
        <v>-1</v>
      </c>
      <c r="AC49" s="193"/>
      <c r="AD49" s="188" t="e">
        <f t="shared" si="22"/>
        <v>#DIV/0!</v>
      </c>
      <c r="AE49" s="188"/>
      <c r="AF49" s="195" t="e">
        <f>IF(ISTEXT(B49),_xll.BDP(B49 &amp; " Equity","EXPECTED_REPORT_DT")*1,"")</f>
        <v>#VALUE!</v>
      </c>
      <c r="AG49" s="195" t="e">
        <f>IF(ISTEXT(C49),_xll.BDP(C49 &amp; " Equity","EXPECTED_REPORT_DT")*1,"")</f>
        <v>#VALUE!</v>
      </c>
      <c r="AH49" s="196" cm="1">
        <f t="array" ref="AH49">(_xll.BDP(B49&amp;" Equity","SHORT_INT")/_xll.BDP(B49&amp;" Equity","VOLUME_AVG_90D"))</f>
        <v>0.76746875142421522</v>
      </c>
      <c r="AI49" s="196" cm="1">
        <f t="array" ref="AI49">(_xll.BDP(C49&amp;" Equity","SHORT_INT")/_xll.BDP(C49&amp;" Equity","VOLUME_AVG_90D"))</f>
        <v>1.9998620637844922</v>
      </c>
      <c r="AJ49" s="196" t="e" cm="1">
        <f t="array" ref="AJ49">(_xll.BDP(B49&amp;" Equity","SHORT_INT"))/((_xll.BDP(B49&amp;" Equity","EQY_FREE_FLOAT_PCT"))*(_xll.BDP(B49&amp;" Equity","EQY_SH_OUT_TOT_MULT_SH")))/100</f>
        <v>#VALUE!</v>
      </c>
      <c r="AK49" s="196" t="e" cm="1">
        <f t="array" ref="AK49">(_xll.BDP(C49&amp;" Equity","SHORT_INT"))/((_xll.BDP(C49&amp;" Equity","EQY_FREE_FLOAT_PCT"))*(_xll.BDP(C49&amp;" Equity","EQY_SH_OUT_TOT_MULT_SH")))/100</f>
        <v>#VALUE!</v>
      </c>
      <c r="AM49" s="194" t="e">
        <f ca="1">IF(ISTEXT(B49),AP49/_xll.BDH(B49 &amp;  " Equity","BEST_EPS",$AM$3,$AM$3,"BEST_FPERIOD_OVERRIDE=1BF","CDR=US","Fill=p")-1,"")</f>
        <v>#VALUE!</v>
      </c>
      <c r="AN49" s="194" t="e">
        <f ca="1">IF(ISTEXT(B49),AP49/_xll.BDH(B49 &amp;  " Equity","BEST_EPS",$AN$3,$AN$3,"BEST_FPERIOD_OVERRIDE=1BF","CDR=US","Fill=p")-1,"")</f>
        <v>#VALUE!</v>
      </c>
      <c r="AO49" s="196" t="e">
        <f t="shared" ca="1" si="23"/>
        <v>#VALUE!</v>
      </c>
      <c r="AP49" s="196" t="str" cm="1">
        <f t="array" aca="1" ref="AP49" ca="1">IF(ISTEXT(B49),_xll.BDH(B49 &amp;  " Equity","BEST_EPS",$Q$3,$Q$3,"BEST_FPERIOD_OVERRIDE=1BF","CDR=US","Fill=p"),"")</f>
        <v>#N/A N/A</v>
      </c>
      <c r="AR49" s="194" t="e">
        <f ca="1">IF(ISTEXT(C49),AU49/_xll.BDH(C49 &amp;  " Equity","BEST_EPS",$AM$3,$AM$3,"BEST_FPERIOD_OVERRIDE=1BF","CDR=US","Fill=p")-1,"")</f>
        <v>#VALUE!</v>
      </c>
      <c r="AS49" s="194" t="e">
        <f ca="1">IF(ISTEXT(C49),AU49/_xll.BDH(C49 &amp;  " Equity","BEST_EPS",$AN$3,$AN$3,"BEST_FPERIOD_OVERRIDE=1BF","CDR=US","Fill=p")-1,"")</f>
        <v>#VALUE!</v>
      </c>
      <c r="AT49" s="196" t="e">
        <f t="shared" ca="1" si="24"/>
        <v>#VALUE!</v>
      </c>
      <c r="AU49" s="196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6" t="s">
        <v>136</v>
      </c>
      <c r="C50" s="186" t="s">
        <v>89</v>
      </c>
      <c r="D50" s="186"/>
      <c r="E50" s="186"/>
      <c r="F50" s="186" t="s">
        <v>78</v>
      </c>
      <c r="G50" s="187" cm="1">
        <f t="array" ref="G50">_xll.BDP(B50&amp;" Equity","LAST PRICE")</f>
        <v>407.25</v>
      </c>
      <c r="H50" s="188" cm="1">
        <f t="array" ref="H50">G50/_xll.BDP(B50&amp;" Equity", "PREV_CLOSE_VAL")-1</f>
        <v>2.1137355197833552E-2</v>
      </c>
      <c r="I50" s="187" cm="1">
        <f t="array" ref="I50">_xll.BDP(C50&amp;" Equity","LAST PRICE")</f>
        <v>97.76</v>
      </c>
      <c r="J50" s="188" cm="1">
        <f t="array" ref="J50">I50/_xll.BDP(C50&amp;" Equity", "PREV_CLOSE_VAL")-1</f>
        <v>-1.0626454812265984E-2</v>
      </c>
      <c r="K50" s="189">
        <f>G50/I50</f>
        <v>4.165814238952537</v>
      </c>
      <c r="L50" s="188" cm="1">
        <f t="array" ref="L50">K50/(_xll.BDP(B50&amp;" Equity", "PREV_CLOSE_VAL")/_xll.BDP(C50&amp;" Equity", "PREV_CLOSE_VAL"))-1</f>
        <v>3.2104972044782576E-2</v>
      </c>
      <c r="M50" s="188"/>
      <c r="N50" s="190">
        <f>ABS(L50/O50)</f>
        <v>1.6595315984856238</v>
      </c>
      <c r="O50" s="191">
        <f>P50/15.87/100</f>
        <v>1.9345803402646505E-2</v>
      </c>
      <c r="P50" s="192" cm="1">
        <f t="array" ref="P50">_xll.BDP($A50&amp;" Index","VOLATILITY_30D")</f>
        <v>30.701789999999999</v>
      </c>
      <c r="Q50" s="192" cm="1">
        <f t="array" aca="1" ref="Q50" ca="1">(_xll.BDP(($B50&amp; " Equity"),"CORR_COEF", "BETA_OVERRIDE_REL_INDEX",($C50&amp; " Equity"),"BETA_OVERRIDE_END_DT",$Q$5,"BETA_OVERRIDE_START_DT",$Q$4))*100</f>
        <v>60.48828654525191</v>
      </c>
      <c r="R50" s="188"/>
      <c r="S50" s="188" cm="1">
        <f t="array" ref="S50">_xll.BDP($A50&amp;" Index","CHG_PCT_2D")/100</f>
        <v>1.8016600000000001E-2</v>
      </c>
      <c r="T50" s="188" cm="1">
        <f t="array" ref="T50">_xll.BDP($A50&amp;" Index","CHG_PCT_5D")/100</f>
        <v>2.430502E-2</v>
      </c>
      <c r="U50" s="188" cm="1">
        <f t="array" ref="U50">K50/_xll.BDP($A50&amp;" Index","HIGH_52WEEK")-1</f>
        <v>-1.1223507879581041E-2</v>
      </c>
      <c r="V50" s="188" cm="1">
        <f t="array" ref="V50">K50/_xll.BDP($A50&amp;" Index","LOW_52WEEK")-1</f>
        <v>0.90372821946063375</v>
      </c>
      <c r="W50" s="188"/>
      <c r="X50" s="192" cm="1">
        <f t="array" ref="X50">_xll.BDP($A50&amp;" Index","RSI_14D")</f>
        <v>69.459109999999995</v>
      </c>
      <c r="Y50" s="193"/>
      <c r="Z50" s="194">
        <f>Y50/K50-1</f>
        <v>-1</v>
      </c>
      <c r="AA50" s="193"/>
      <c r="AB50" s="194">
        <f>AA50/K50-1</f>
        <v>-1</v>
      </c>
      <c r="AC50" s="193"/>
      <c r="AD50" s="188" t="e">
        <f>K50/AC50-1</f>
        <v>#DIV/0!</v>
      </c>
      <c r="AE50" s="188"/>
      <c r="AF50" s="195" t="e">
        <f>IF(ISTEXT(B50),_xll.BDP(B50 &amp; " Equity","EXPECTED_REPORT_DT")*1,"")</f>
        <v>#VALUE!</v>
      </c>
      <c r="AG50" s="195" t="e">
        <f>IF(ISTEXT(C50),_xll.BDP(C50 &amp; " Equity","EXPECTED_REPORT_DT")*1,"")</f>
        <v>#VALUE!</v>
      </c>
      <c r="AH50" s="196" cm="1">
        <f t="array" ref="AH50">(_xll.BDP(B50&amp;" Equity","SHORT_INT")/_xll.BDP(B50&amp;" Equity","VOLUME_AVG_90D"))</f>
        <v>1.230777281979081</v>
      </c>
      <c r="AI50" s="196" t="e" cm="1">
        <f t="array" ref="AI50">(_xll.BDP(C50&amp;" Equity","SHORT_INT")/_xll.BDP(C50&amp;" Equity","VOLUME_AVG_90D"))</f>
        <v>#VALUE!</v>
      </c>
      <c r="AJ50" s="196" t="e" cm="1">
        <f t="array" ref="AJ50">(_xll.BDP(B50&amp;" Equity","SHORT_INT"))/((_xll.BDP(B50&amp;" Equity","EQY_FREE_FLOAT_PCT"))*(_xll.BDP(B50&amp;" Equity","EQY_SH_OUT_TOT_MULT_SH")))/100</f>
        <v>#VALUE!</v>
      </c>
      <c r="AK50" s="196" t="e" cm="1">
        <f t="array" ref="AK50">(_xll.BDP(C50&amp;" Equity","SHORT_INT"))/((_xll.BDP(C50&amp;" Equity","EQY_FREE_FLOAT_PCT"))*(_xll.BDP(C50&amp;" Equity","EQY_SH_OUT_TOT_MULT_SH")))/100</f>
        <v>#VALUE!</v>
      </c>
      <c r="AM50" s="194" t="e">
        <f ca="1">IF(ISTEXT(B50),AP50/_xll.BDH(B50 &amp;  " Equity","BEST_EPS",$AM$3,$AM$3,"BEST_FPERIOD_OVERRIDE=1BF","CDR=US","Fill=p")-1,"")</f>
        <v>#VALUE!</v>
      </c>
      <c r="AN50" s="194" t="e">
        <f ca="1">IF(ISTEXT(B50),AP50/_xll.BDH(B50 &amp;  " Equity","BEST_EPS",$AN$3,$AN$3,"BEST_FPERIOD_OVERRIDE=1BF","CDR=US","Fill=p")-1,"")</f>
        <v>#VALUE!</v>
      </c>
      <c r="AO50" s="196" t="e">
        <f ca="1">G50/AP50</f>
        <v>#VALUE!</v>
      </c>
      <c r="AP50" s="196" t="str" cm="1">
        <f t="array" aca="1" ref="AP50" ca="1">IF(ISTEXT(B50),_xll.BDH(B50 &amp;  " Equity","BEST_EPS",$Q$3,$Q$3,"BEST_FPERIOD_OVERRIDE=1BF","CDR=US","Fill=p"),"")</f>
        <v>#N/A N/A</v>
      </c>
      <c r="AR50" s="194" t="e">
        <f ca="1">IF(ISTEXT(C50),AU50/_xll.BDH(C50 &amp;  " Equity","BEST_EPS",$AM$3,$AM$3,"BEST_FPERIOD_OVERRIDE=1BF","CDR=US","Fill=p")-1,"")</f>
        <v>#VALUE!</v>
      </c>
      <c r="AS50" s="194" t="e">
        <f ca="1">IF(ISTEXT(C50),AU50/_xll.BDH(C50 &amp;  " Equity","BEST_EPS",$AN$3,$AN$3,"BEST_FPERIOD_OVERRIDE=1BF","CDR=US","Fill=p")-1,"")</f>
        <v>#VALUE!</v>
      </c>
      <c r="AT50" s="196" t="e">
        <f ca="1">I50/AU50</f>
        <v>#VALUE!</v>
      </c>
      <c r="AU50" s="196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6" t="s">
        <v>136</v>
      </c>
      <c r="C51" s="186" t="s">
        <v>135</v>
      </c>
      <c r="D51" s="186"/>
      <c r="E51" s="186"/>
      <c r="F51" s="186" t="s">
        <v>78</v>
      </c>
      <c r="G51" s="187" cm="1">
        <f t="array" ref="G51">_xll.BDP(B51&amp;" Equity","LAST PRICE")</f>
        <v>407.25</v>
      </c>
      <c r="H51" s="188" cm="1">
        <f t="array" ref="H51">G51/_xll.BDP(B51&amp;" Equity", "PREV_CLOSE_VAL")-1</f>
        <v>2.1137355197833552E-2</v>
      </c>
      <c r="I51" s="187" cm="1">
        <f t="array" ref="I51">_xll.BDP(C51&amp;" Equity","LAST PRICE")</f>
        <v>631.13</v>
      </c>
      <c r="J51" s="188" cm="1">
        <f t="array" ref="J51">I51/_xll.BDP(C51&amp;" Equity", "PREV_CLOSE_VAL")-1</f>
        <v>9.0653279186518887E-3</v>
      </c>
      <c r="K51" s="189">
        <f>G51/I51</f>
        <v>0.64527118026397101</v>
      </c>
      <c r="L51" s="188" cm="1">
        <f t="array" ref="L51">K51/(_xll.BDP(B51&amp;" Equity", "PREV_CLOSE_VAL")/_xll.BDP(C51&amp;" Equity", "PREV_CLOSE_VAL"))-1</f>
        <v>1.1963573561765584E-2</v>
      </c>
      <c r="M51" s="188"/>
      <c r="N51" s="190">
        <f>ABS(L51/O51)</f>
        <v>1.0600119054743085</v>
      </c>
      <c r="O51" s="191">
        <f>P51/15.87/100</f>
        <v>1.1286263390044109E-2</v>
      </c>
      <c r="P51" s="192" cm="1">
        <f t="array" ref="P51">_xll.BDP($A51&amp;" Index","VOLATILITY_30D")</f>
        <v>17.911300000000001</v>
      </c>
      <c r="Q51" s="192" cm="1">
        <f t="array" aca="1" ref="Q51" ca="1">(_xll.BDP(($B51&amp; " Equity"),"CORR_COEF", "BETA_OVERRIDE_REL_INDEX",($C51&amp; " Equity"),"BETA_OVERRIDE_END_DT",$Q$5,"BETA_OVERRIDE_START_DT",$Q$4))*100</f>
        <v>88.45984648370947</v>
      </c>
      <c r="R51" s="188"/>
      <c r="S51" s="188" cm="1">
        <f t="array" ref="S51">_xll.BDP($A51&amp;" Index","CHG_PCT_2D")/100</f>
        <v>4.4237419999999996E-3</v>
      </c>
      <c r="T51" s="188" cm="1">
        <f t="array" ref="T51">_xll.BDP($A51&amp;" Index","CHG_PCT_5D")/100</f>
        <v>5.1469920000000004E-3</v>
      </c>
      <c r="U51" s="188" cm="1">
        <f t="array" ref="U51">K51/_xll.BDP($A51&amp;" Index","HIGH_52WEEK")-1</f>
        <v>-1.0608595249894992E-2</v>
      </c>
      <c r="V51" s="188" cm="1">
        <f t="array" ref="V51">K51/_xll.BDP($A51&amp;" Index","LOW_52WEEK")-1</f>
        <v>0.50848882612673241</v>
      </c>
      <c r="W51" s="188"/>
      <c r="X51" s="192" cm="1">
        <f t="array" ref="X51">_xll.BDP($A51&amp;" Index","RSI_14D")</f>
        <v>64.71602</v>
      </c>
      <c r="Y51" s="193"/>
      <c r="Z51" s="194">
        <f>Y51/K51-1</f>
        <v>-1</v>
      </c>
      <c r="AA51" s="193"/>
      <c r="AB51" s="194">
        <f>AA51/K51-1</f>
        <v>-1</v>
      </c>
      <c r="AC51" s="193"/>
      <c r="AD51" s="188" t="e">
        <f>K51/AC51-1</f>
        <v>#DIV/0!</v>
      </c>
      <c r="AE51" s="188"/>
      <c r="AF51" s="195" t="e">
        <f>IF(ISTEXT(B51),_xll.BDP(B51 &amp; " Equity","EXPECTED_REPORT_DT")*1,"")</f>
        <v>#VALUE!</v>
      </c>
      <c r="AG51" s="195" t="e">
        <f>IF(ISTEXT(C51),_xll.BDP(C51 &amp; " Equity","EXPECTED_REPORT_DT")*1,"")</f>
        <v>#VALUE!</v>
      </c>
      <c r="AH51" s="196" cm="1">
        <f t="array" ref="AH51">(_xll.BDP(B51&amp;" Equity","SHORT_INT")/_xll.BDP(B51&amp;" Equity","VOLUME_AVG_90D"))</f>
        <v>1.230777281979081</v>
      </c>
      <c r="AI51" s="196" cm="1">
        <f t="array" ref="AI51">(_xll.BDP(C51&amp;" Equity","SHORT_INT")/_xll.BDP(C51&amp;" Equity","VOLUME_AVG_90D"))</f>
        <v>0.76746875142421522</v>
      </c>
      <c r="AJ51" s="196" t="e" cm="1">
        <f t="array" ref="AJ51">(_xll.BDP(B51&amp;" Equity","SHORT_INT"))/((_xll.BDP(B51&amp;" Equity","EQY_FREE_FLOAT_PCT"))*(_xll.BDP(B51&amp;" Equity","EQY_SH_OUT_TOT_MULT_SH")))/100</f>
        <v>#VALUE!</v>
      </c>
      <c r="AK51" s="196" t="e" cm="1">
        <f t="array" ref="AK51">(_xll.BDP(C51&amp;" Equity","SHORT_INT"))/((_xll.BDP(C51&amp;" Equity","EQY_FREE_FLOAT_PCT"))*(_xll.BDP(C51&amp;" Equity","EQY_SH_OUT_TOT_MULT_SH")))/100</f>
        <v>#VALUE!</v>
      </c>
      <c r="AM51" s="194" t="e">
        <f ca="1">IF(ISTEXT(B51),AP51/_xll.BDH(B51 &amp;  " Equity","BEST_EPS",$AM$3,$AM$3,"BEST_FPERIOD_OVERRIDE=1BF","CDR=US","Fill=p")-1,"")</f>
        <v>#VALUE!</v>
      </c>
      <c r="AN51" s="194" t="e">
        <f ca="1">IF(ISTEXT(B51),AP51/_xll.BDH(B51 &amp;  " Equity","BEST_EPS",$AN$3,$AN$3,"BEST_FPERIOD_OVERRIDE=1BF","CDR=US","Fill=p")-1,"")</f>
        <v>#VALUE!</v>
      </c>
      <c r="AO51" s="196" t="e">
        <f ca="1">G51/AP51</f>
        <v>#VALUE!</v>
      </c>
      <c r="AP51" s="196" t="str" cm="1">
        <f t="array" aca="1" ref="AP51" ca="1">IF(ISTEXT(B51),_xll.BDH(B51 &amp;  " Equity","BEST_EPS",$Q$3,$Q$3,"BEST_FPERIOD_OVERRIDE=1BF","CDR=US","Fill=p"),"")</f>
        <v>#N/A N/A</v>
      </c>
      <c r="AR51" s="194" t="e">
        <f ca="1">IF(ISTEXT(C51),AU51/_xll.BDH(C51 &amp;  " Equity","BEST_EPS",$AM$3,$AM$3,"BEST_FPERIOD_OVERRIDE=1BF","CDR=US","Fill=p")-1,"")</f>
        <v>#VALUE!</v>
      </c>
      <c r="AS51" s="194" t="e">
        <f ca="1">IF(ISTEXT(C51),AU51/_xll.BDH(C51 &amp;  " Equity","BEST_EPS",$AN$3,$AN$3,"BEST_FPERIOD_OVERRIDE=1BF","CDR=US","Fill=p")-1,"")</f>
        <v>#VALUE!</v>
      </c>
      <c r="AT51" s="196" t="e">
        <f ca="1">I51/AU51</f>
        <v>#VALUE!</v>
      </c>
      <c r="AU51" s="196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6" t="s">
        <v>6</v>
      </c>
      <c r="C52" s="186" t="s">
        <v>3</v>
      </c>
      <c r="D52" s="186"/>
      <c r="E52" s="186"/>
      <c r="F52" s="186" t="s">
        <v>78</v>
      </c>
      <c r="G52" s="187" cm="1">
        <f t="array" ref="G52">_xll.BDP(B52&amp;" Equity","LAST PRICE")</f>
        <v>85.49</v>
      </c>
      <c r="H52" s="188" cm="1">
        <f t="array" ref="H52">G52/_xll.BDP(B52&amp;" Equity", "PREV_CLOSE_VAL")-1</f>
        <v>4.2288265006460435E-3</v>
      </c>
      <c r="I52" s="187" cm="1">
        <f t="array" ref="I52">_xll.BDP(C52&amp;" Equity","LAST PRICE")</f>
        <v>198.93</v>
      </c>
      <c r="J52" s="188" cm="1">
        <f t="array" ref="J52">I52/_xll.BDP(C52&amp;" Equity", "PREV_CLOSE_VAL")-1</f>
        <v>-1.5559124673760749E-3</v>
      </c>
      <c r="K52" s="189">
        <f>G52/I52</f>
        <v>0.42974915799527469</v>
      </c>
      <c r="L52" s="188" cm="1">
        <f t="array" ref="L52">K52/(_xll.BDP(B52&amp;" Equity", "PREV_CLOSE_VAL")/_xll.BDP(C52&amp;" Equity", "PREV_CLOSE_VAL"))-1</f>
        <v>5.793753541390112E-3</v>
      </c>
      <c r="M52" s="188"/>
      <c r="N52" s="190">
        <f>ABS(L52/O52)</f>
        <v>0.762317031064636</v>
      </c>
      <c r="O52" s="191">
        <f>P52/15.87/100</f>
        <v>7.6001890359168245E-3</v>
      </c>
      <c r="P52" s="192" cm="1">
        <f t="array" ref="P52">_xll.BDP($A52&amp;" Index","VOLATILITY_30D")</f>
        <v>12.061500000000001</v>
      </c>
      <c r="Q52" s="192" cm="1">
        <f t="array" aca="1" ref="Q52" ca="1">(_xll.BDP(($B52&amp; " Equity"),"CORR_COEF", "BETA_OVERRIDE_REL_INDEX",($C52&amp; " Equity"),"BETA_OVERRIDE_END_DT",$Q$5,"BETA_OVERRIDE_START_DT",$Q$4))*100</f>
        <v>65.50842526143532</v>
      </c>
      <c r="R52" s="188"/>
      <c r="S52" s="188" cm="1">
        <f t="array" ref="S52">_xll.BDP($A52&amp;" Index","CHG_PCT_2D")/100</f>
        <v>1.1911359999999999E-2</v>
      </c>
      <c r="T52" s="188" cm="1">
        <f t="array" ref="T52">_xll.BDP($A52&amp;" Index","CHG_PCT_5D")/100</f>
        <v>-5.2006350000000003E-3</v>
      </c>
      <c r="U52" s="188" cm="1">
        <f t="array" ref="U52">K52/_xll.BDP($A52&amp;" Index","HIGH_52WEEK")-1</f>
        <v>-4.7795005771349208E-2</v>
      </c>
      <c r="V52" s="188" cm="1">
        <f t="array" ref="V52">K52/_xll.BDP($A52&amp;" Index","LOW_52WEEK")-1</f>
        <v>0.2625941122756843</v>
      </c>
      <c r="W52" s="188"/>
      <c r="X52" s="192" cm="1">
        <f t="array" ref="X52">_xll.BDP($A52&amp;" Index","RSI_14D")</f>
        <v>39.817390000000003</v>
      </c>
      <c r="Y52" s="193"/>
      <c r="Z52" s="194">
        <f>Y52/K52-1</f>
        <v>-1</v>
      </c>
      <c r="AA52" s="193"/>
      <c r="AB52" s="194">
        <f>AA52/K52-1</f>
        <v>-1</v>
      </c>
      <c r="AC52" s="193"/>
      <c r="AD52" s="188" t="e">
        <f>K52/AC52-1</f>
        <v>#DIV/0!</v>
      </c>
      <c r="AE52" s="188"/>
      <c r="AF52" s="195" t="e">
        <f>IF(ISTEXT(B52),_xll.BDP(B52 &amp; " Equity","EXPECTED_REPORT_DT")*1,"")</f>
        <v>#VALUE!</v>
      </c>
      <c r="AG52" s="195" t="e">
        <f>IF(ISTEXT(C52),_xll.BDP(C52 &amp; " Equity","EXPECTED_REPORT_DT")*1,"")</f>
        <v>#VALUE!</v>
      </c>
      <c r="AH52" s="196" cm="1">
        <f t="array" ref="AH52">(_xll.BDP(B52&amp;" Equity","SHORT_INT")/_xll.BDP(B52&amp;" Equity","VOLUME_AVG_90D"))</f>
        <v>1.6365077954627367</v>
      </c>
      <c r="AI52" s="196" cm="1">
        <f t="array" ref="AI52">(_xll.BDP(C52&amp;" Equity","SHORT_INT")/_xll.BDP(C52&amp;" Equity","VOLUME_AVG_90D"))</f>
        <v>2.2595100471849383</v>
      </c>
      <c r="AJ52" s="196" t="e" cm="1">
        <f t="array" ref="AJ52">(_xll.BDP(B52&amp;" Equity","SHORT_INT"))/((_xll.BDP(B52&amp;" Equity","EQY_FREE_FLOAT_PCT"))*(_xll.BDP(B52&amp;" Equity","EQY_SH_OUT_TOT_MULT_SH")))/100</f>
        <v>#VALUE!</v>
      </c>
      <c r="AK52" s="196" t="e" cm="1">
        <f t="array" ref="AK52">(_xll.BDP(C52&amp;" Equity","SHORT_INT"))/((_xll.BDP(C52&amp;" Equity","EQY_FREE_FLOAT_PCT"))*(_xll.BDP(C52&amp;" Equity","EQY_SH_OUT_TOT_MULT_SH")))/100</f>
        <v>#VALUE!</v>
      </c>
      <c r="AM52" s="194" t="e">
        <f ca="1">IF(ISTEXT(B52),AP52/_xll.BDH(B52 &amp;  " Equity","BEST_EPS",$AM$3,$AM$3,"BEST_FPERIOD_OVERRIDE=1BF","CDR=US","Fill=p")-1,"")</f>
        <v>#VALUE!</v>
      </c>
      <c r="AN52" s="194" t="e">
        <f ca="1">IF(ISTEXT(B52),AP52/_xll.BDH(B52 &amp;  " Equity","BEST_EPS",$AN$3,$AN$3,"BEST_FPERIOD_OVERRIDE=1BF","CDR=US","Fill=p")-1,"")</f>
        <v>#VALUE!</v>
      </c>
      <c r="AO52" s="196" t="e">
        <f ca="1">G52/AP52</f>
        <v>#VALUE!</v>
      </c>
      <c r="AP52" s="196" t="str" cm="1">
        <f t="array" aca="1" ref="AP52" ca="1">IF(ISTEXT(B52),_xll.BDH(B52 &amp;  " Equity","BEST_EPS",$Q$3,$Q$3,"BEST_FPERIOD_OVERRIDE=1BF","CDR=US","Fill=p"),"")</f>
        <v>#N/A N/A</v>
      </c>
      <c r="AR52" s="194" t="e">
        <f ca="1">IF(ISTEXT(C52),AU52/_xll.BDH(C52 &amp;  " Equity","BEST_EPS",$AM$3,$AM$3,"BEST_FPERIOD_OVERRIDE=1BF","CDR=US","Fill=p")-1,"")</f>
        <v>#VALUE!</v>
      </c>
      <c r="AS52" s="194" t="e">
        <f ca="1">IF(ISTEXT(C52),AU52/_xll.BDH(C52 &amp;  " Equity","BEST_EPS",$AN$3,$AN$3,"BEST_FPERIOD_OVERRIDE=1BF","CDR=US","Fill=p")-1,"")</f>
        <v>#VALUE!</v>
      </c>
      <c r="AT52" s="196" t="e">
        <f ca="1">I52/AU52</f>
        <v>#VALUE!</v>
      </c>
      <c r="AU52" s="196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6" t="s">
        <v>6</v>
      </c>
      <c r="C53" s="186" t="s">
        <v>0</v>
      </c>
      <c r="D53" s="186"/>
      <c r="E53" s="186"/>
      <c r="F53" s="186" t="s">
        <v>78</v>
      </c>
      <c r="G53" s="187" cm="1">
        <f t="array" ref="G53">_xll.BDP(B53&amp;" Equity","LAST PRICE")</f>
        <v>85.49</v>
      </c>
      <c r="H53" s="188" cm="1">
        <f t="array" ref="H53">G53/_xll.BDP(B53&amp;" Equity", "PREV_CLOSE_VAL")-1</f>
        <v>4.2288265006460435E-3</v>
      </c>
      <c r="I53" s="187" cm="1">
        <f t="array" ref="I53">_xll.BDP(C53&amp;" Equity","LAST PRICE")</f>
        <v>695.49</v>
      </c>
      <c r="J53" s="188" cm="1">
        <f t="array" ref="J53">I53/_xll.BDP(C53&amp;" Equity", "PREV_CLOSE_VAL")-1</f>
        <v>3.9842362825344146E-3</v>
      </c>
      <c r="K53" s="189">
        <f>G53/I53</f>
        <v>0.12292053084875411</v>
      </c>
      <c r="L53" s="188" cm="1">
        <f t="array" ref="L53">K53/(_xll.BDP(B53&amp;" Equity", "PREV_CLOSE_VAL")/_xll.BDP(C53&amp;" Equity", "PREV_CLOSE_VAL"))-1</f>
        <v>2.4361958014140761E-4</v>
      </c>
      <c r="M53" s="188"/>
      <c r="N53" s="190">
        <f>ABS(L53/O53)</f>
        <v>2.6671376544625792E-2</v>
      </c>
      <c r="O53" s="191">
        <f>P53/15.87/100</f>
        <v>9.1341209829867692E-3</v>
      </c>
      <c r="P53" s="192" cm="1">
        <f t="array" ref="P53">_xll.BDP($A53&amp;" Index","VOLATILITY_30D")</f>
        <v>14.495850000000001</v>
      </c>
      <c r="Q53" s="192" cm="1">
        <f t="array" aca="1" ref="Q53" ca="1">(_xll.BDP(($B53&amp; " Equity"),"CORR_COEF", "BETA_OVERRIDE_REL_INDEX",($C53&amp; " Equity"),"BETA_OVERRIDE_END_DT",$Q$5,"BETA_OVERRIDE_START_DT",$Q$4))*100</f>
        <v>59.565590587705522</v>
      </c>
      <c r="R53" s="188"/>
      <c r="S53" s="188" cm="1">
        <f t="array" ref="S53">_xll.BDP($A53&amp;" Index","CHG_PCT_2D")/100</f>
        <v>3.5927170000000005E-3</v>
      </c>
      <c r="T53" s="188" cm="1">
        <f t="array" ref="T53">_xll.BDP($A53&amp;" Index","CHG_PCT_5D")/100</f>
        <v>-1.6749099999999999E-2</v>
      </c>
      <c r="U53" s="188" cm="1">
        <f t="array" ref="U53">K53/_xll.BDP($A53&amp;" Index","HIGH_52WEEK")-1</f>
        <v>-4.050791625357808E-2</v>
      </c>
      <c r="V53" s="188" cm="1">
        <f t="array" ref="V53">K53/_xll.BDP($A53&amp;" Index","LOW_52WEEK")-1</f>
        <v>0.17830263466980556</v>
      </c>
      <c r="W53" s="188"/>
      <c r="X53" s="192" cm="1">
        <f t="array" ref="X53">_xll.BDP($A53&amp;" Index","RSI_14D")</f>
        <v>45.729680000000002</v>
      </c>
      <c r="Y53" s="193"/>
      <c r="Z53" s="194">
        <f>Y53/K53-1</f>
        <v>-1</v>
      </c>
      <c r="AA53" s="193"/>
      <c r="AB53" s="194">
        <f>AA53/K53-1</f>
        <v>-1</v>
      </c>
      <c r="AC53" s="193"/>
      <c r="AD53" s="188" t="e">
        <f>K53/AC53-1</f>
        <v>#DIV/0!</v>
      </c>
      <c r="AE53" s="188"/>
      <c r="AF53" s="195" t="e">
        <f>IF(ISTEXT(B53),_xll.BDP(B53 &amp; " Equity","EXPECTED_REPORT_DT")*1,"")</f>
        <v>#VALUE!</v>
      </c>
      <c r="AG53" s="195" t="e">
        <f>IF(ISTEXT(C53),_xll.BDP(C53 &amp; " Equity","EXPECTED_REPORT_DT")*1,"")</f>
        <v>#VALUE!</v>
      </c>
      <c r="AH53" s="196" cm="1">
        <f t="array" ref="AH53">(_xll.BDP(B53&amp;" Equity","SHORT_INT")/_xll.BDP(B53&amp;" Equity","VOLUME_AVG_90D"))</f>
        <v>1.6365077954627367</v>
      </c>
      <c r="AI53" s="196" cm="1">
        <f t="array" ref="AI53">(_xll.BDP(C53&amp;" Equity","SHORT_INT")/_xll.BDP(C53&amp;" Equity","VOLUME_AVG_90D"))</f>
        <v>1.3396166022917124</v>
      </c>
      <c r="AJ53" s="196" t="e" cm="1">
        <f t="array" ref="AJ53">(_xll.BDP(B53&amp;" Equity","SHORT_INT"))/((_xll.BDP(B53&amp;" Equity","EQY_FREE_FLOAT_PCT"))*(_xll.BDP(B53&amp;" Equity","EQY_SH_OUT_TOT_MULT_SH")))/100</f>
        <v>#VALUE!</v>
      </c>
      <c r="AK53" s="196" t="e" cm="1">
        <f t="array" ref="AK53">(_xll.BDP(C53&amp;" Equity","SHORT_INT"))/((_xll.BDP(C53&amp;" Equity","EQY_FREE_FLOAT_PCT"))*(_xll.BDP(C53&amp;" Equity","EQY_SH_OUT_TOT_MULT_SH")))/100</f>
        <v>#VALUE!</v>
      </c>
      <c r="AM53" s="194" t="e">
        <f ca="1">IF(ISTEXT(B53),AP53/_xll.BDH(B53 &amp;  " Equity","BEST_EPS",$AM$3,$AM$3,"BEST_FPERIOD_OVERRIDE=1BF","CDR=US","Fill=p")-1,"")</f>
        <v>#VALUE!</v>
      </c>
      <c r="AN53" s="194" t="e">
        <f ca="1">IF(ISTEXT(B53),AP53/_xll.BDH(B53 &amp;  " Equity","BEST_EPS",$AN$3,$AN$3,"BEST_FPERIOD_OVERRIDE=1BF","CDR=US","Fill=p")-1,"")</f>
        <v>#VALUE!</v>
      </c>
      <c r="AO53" s="196" t="e">
        <f ca="1">G53/AP53</f>
        <v>#VALUE!</v>
      </c>
      <c r="AP53" s="196" t="str" cm="1">
        <f t="array" aca="1" ref="AP53" ca="1">IF(ISTEXT(B53),_xll.BDH(B53 &amp;  " Equity","BEST_EPS",$Q$3,$Q$3,"BEST_FPERIOD_OVERRIDE=1BF","CDR=US","Fill=p"),"")</f>
        <v>#N/A N/A</v>
      </c>
      <c r="AR53" s="194" t="e">
        <f ca="1">IF(ISTEXT(C53),AU53/_xll.BDH(C53 &amp;  " Equity","BEST_EPS",$AM$3,$AM$3,"BEST_FPERIOD_OVERRIDE=1BF","CDR=US","Fill=p")-1,"")</f>
        <v>#VALUE!</v>
      </c>
      <c r="AS53" s="194" t="e">
        <f ca="1">IF(ISTEXT(C53),AU53/_xll.BDH(C53 &amp;  " Equity","BEST_EPS",$AN$3,$AN$3,"BEST_FPERIOD_OVERRIDE=1BF","CDR=US","Fill=p")-1,"")</f>
        <v>#VALUE!</v>
      </c>
      <c r="AT53" s="196" t="e">
        <f ca="1">I53/AU53</f>
        <v>#VALUE!</v>
      </c>
      <c r="AU53" s="196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6" t="s">
        <v>6</v>
      </c>
      <c r="C54" s="186" t="s">
        <v>71</v>
      </c>
      <c r="D54" s="186"/>
      <c r="E54" s="186"/>
      <c r="F54" s="186" t="s">
        <v>78</v>
      </c>
      <c r="G54" s="187" cm="1">
        <f t="array" ref="G54">_xll.BDP(B54&amp;" Equity","LAST PRICE")</f>
        <v>85.49</v>
      </c>
      <c r="H54" s="188" cm="1">
        <f t="array" ref="H54">G54/_xll.BDP(B54&amp;" Equity", "PREV_CLOSE_VAL")-1</f>
        <v>4.2288265006460435E-3</v>
      </c>
      <c r="I54" s="187" cm="1">
        <f t="array" ref="I54">_xll.BDP(C54&amp;" Equity","LAST PRICE")</f>
        <v>68.260000000000005</v>
      </c>
      <c r="J54" s="188" cm="1">
        <f t="array" ref="J54">I54/_xll.BDP(C54&amp;" Equity", "PREV_CLOSE_VAL")-1</f>
        <v>4.8579419991168216E-3</v>
      </c>
      <c r="K54" s="189">
        <f>G54/I54</f>
        <v>1.2524172282449457</v>
      </c>
      <c r="L54" s="188" cm="1">
        <f t="array" ref="L54">K54/(_xll.BDP(B54&amp;" Equity", "PREV_CLOSE_VAL")/_xll.BDP(C54&amp;" Equity", "PREV_CLOSE_VAL"))-1</f>
        <v>-6.2607406696613133E-4</v>
      </c>
      <c r="M54" s="188"/>
      <c r="N54" s="190">
        <f>ABS(L54/O54)</f>
        <v>7.0988779474792998E-2</v>
      </c>
      <c r="O54" s="191">
        <f>P54/15.87/100</f>
        <v>8.8193383742911149E-3</v>
      </c>
      <c r="P54" s="192" cm="1">
        <f t="array" ref="P54">_xll.BDP($A54&amp;" Index","VOLATILITY_30D")</f>
        <v>13.99629</v>
      </c>
      <c r="Q54" s="192" cm="1">
        <f t="array" aca="1" ref="Q54" ca="1">(_xll.BDP(($B54&amp; " Equity"),"CORR_COEF", "BETA_OVERRIDE_REL_INDEX",($C54&amp; " Equity"),"BETA_OVERRIDE_END_DT",$Q$5,"BETA_OVERRIDE_START_DT",$Q$4))*100</f>
        <v>76.583526593960073</v>
      </c>
      <c r="R54" s="188"/>
      <c r="S54" s="188" cm="1">
        <f t="array" ref="S54">_xll.BDP($A54&amp;" Index","CHG_PCT_2D")/100</f>
        <v>4.1057790000000004E-3</v>
      </c>
      <c r="T54" s="188" cm="1">
        <f t="array" ref="T54">_xll.BDP($A54&amp;" Index","CHG_PCT_5D")/100</f>
        <v>-8.9522460000000005E-3</v>
      </c>
      <c r="U54" s="188" cm="1">
        <f t="array" ref="U54">K54/_xll.BDP($A54&amp;" Index","HIGH_52WEEK")-1</f>
        <v>-5.1098428435632837E-2</v>
      </c>
      <c r="V54" s="188" cm="1">
        <f t="array" ref="V54">K54/_xll.BDP($A54&amp;" Index","LOW_52WEEK")-1</f>
        <v>0.15316437084621204</v>
      </c>
      <c r="W54" s="188"/>
      <c r="X54" s="192" cm="1">
        <f t="array" ref="X54">_xll.BDP($A54&amp;" Index","RSI_14D")</f>
        <v>41.955359999999999</v>
      </c>
      <c r="Y54" s="193"/>
      <c r="Z54" s="194">
        <f>Y54/K54-1</f>
        <v>-1</v>
      </c>
      <c r="AA54" s="193"/>
      <c r="AB54" s="194">
        <f>AA54/K54-1</f>
        <v>-1</v>
      </c>
      <c r="AC54" s="193"/>
      <c r="AD54" s="188" t="e">
        <f>K54/AC54-1</f>
        <v>#DIV/0!</v>
      </c>
      <c r="AE54" s="188"/>
      <c r="AF54" s="195" t="e">
        <f>IF(ISTEXT(B54),_xll.BDP(B54 &amp; " Equity","EXPECTED_REPORT_DT")*1,"")</f>
        <v>#VALUE!</v>
      </c>
      <c r="AG54" s="195" t="e">
        <f>IF(ISTEXT(C54),_xll.BDP(C54 &amp; " Equity","EXPECTED_REPORT_DT")*1,"")</f>
        <v>#VALUE!</v>
      </c>
      <c r="AH54" s="196" cm="1">
        <f t="array" ref="AH54">(_xll.BDP(B54&amp;" Equity","SHORT_INT")/_xll.BDP(B54&amp;" Equity","VOLUME_AVG_90D"))</f>
        <v>1.6365077954627367</v>
      </c>
      <c r="AI54" s="196" cm="1">
        <f t="array" ref="AI54">(_xll.BDP(C54&amp;" Equity","SHORT_INT")/_xll.BDP(C54&amp;" Equity","VOLUME_AVG_90D"))</f>
        <v>2.531316146837598</v>
      </c>
      <c r="AJ54" s="196" t="e" cm="1">
        <f t="array" ref="AJ54">(_xll.BDP(B54&amp;" Equity","SHORT_INT"))/((_xll.BDP(B54&amp;" Equity","EQY_FREE_FLOAT_PCT"))*(_xll.BDP(B54&amp;" Equity","EQY_SH_OUT_TOT_MULT_SH")))/100</f>
        <v>#VALUE!</v>
      </c>
      <c r="AK54" s="196" t="e" cm="1">
        <f t="array" ref="AK54">(_xll.BDP(C54&amp;" Equity","SHORT_INT"))/((_xll.BDP(C54&amp;" Equity","EQY_FREE_FLOAT_PCT"))*(_xll.BDP(C54&amp;" Equity","EQY_SH_OUT_TOT_MULT_SH")))/100</f>
        <v>#VALUE!</v>
      </c>
      <c r="AM54" s="194" t="e">
        <f ca="1">IF(ISTEXT(B54),AP54/_xll.BDH(B54 &amp;  " Equity","BEST_EPS",$AM$3,$AM$3,"BEST_FPERIOD_OVERRIDE=1BF","CDR=US","Fill=p")-1,"")</f>
        <v>#VALUE!</v>
      </c>
      <c r="AN54" s="194" t="e">
        <f ca="1">IF(ISTEXT(B54),AP54/_xll.BDH(B54 &amp;  " Equity","BEST_EPS",$AN$3,$AN$3,"BEST_FPERIOD_OVERRIDE=1BF","CDR=US","Fill=p")-1,"")</f>
        <v>#VALUE!</v>
      </c>
      <c r="AO54" s="196" t="e">
        <f ca="1">G54/AP54</f>
        <v>#VALUE!</v>
      </c>
      <c r="AP54" s="196" t="str" cm="1">
        <f t="array" aca="1" ref="AP54" ca="1">IF(ISTEXT(B54),_xll.BDH(B54 &amp;  " Equity","BEST_EPS",$Q$3,$Q$3,"BEST_FPERIOD_OVERRIDE=1BF","CDR=US","Fill=p"),"")</f>
        <v>#N/A N/A</v>
      </c>
      <c r="AR54" s="194" t="e">
        <f ca="1">IF(ISTEXT(C54),AU54/_xll.BDH(C54 &amp;  " Equity","BEST_EPS",$AM$3,$AM$3,"BEST_FPERIOD_OVERRIDE=1BF","CDR=US","Fill=p")-1,"")</f>
        <v>#VALUE!</v>
      </c>
      <c r="AS54" s="194" t="e">
        <f ca="1">IF(ISTEXT(C54),AU54/_xll.BDH(C54 &amp;  " Equity","BEST_EPS",$AN$3,$AN$3,"BEST_FPERIOD_OVERRIDE=1BF","CDR=US","Fill=p")-1,"")</f>
        <v>#VALUE!</v>
      </c>
      <c r="AT54" s="196" t="e">
        <f ca="1">I54/AU54</f>
        <v>#VALUE!</v>
      </c>
      <c r="AU54" s="196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6"/>
      <c r="C55" s="186"/>
      <c r="D55" s="186"/>
      <c r="E55" s="186"/>
      <c r="F55" s="186"/>
      <c r="G55" s="187" t="str" cm="1">
        <f t="array" ref="G55">_xll.BDP(B55&amp;" Equity","LAST PRICE")</f>
        <v>#N/A Invalid Security</v>
      </c>
      <c r="H55" s="188" t="e" cm="1">
        <f t="array" ref="H55">G55/_xll.BDP(B55&amp;" Equity", "PREV_CLOSE_VAL")-1</f>
        <v>#VALUE!</v>
      </c>
      <c r="I55" s="187" t="str" cm="1">
        <f t="array" ref="I55">_xll.BDP(C55&amp;" Equity","LAST PRICE")</f>
        <v>#N/A Invalid Security</v>
      </c>
      <c r="J55" s="188" t="e" cm="1">
        <f t="array" ref="J55">I55/_xll.BDP(C55&amp;" Equity", "PREV_CLOSE_VAL")-1</f>
        <v>#VALUE!</v>
      </c>
      <c r="K55" s="189" t="e">
        <f t="shared" si="18"/>
        <v>#VALUE!</v>
      </c>
      <c r="L55" s="188" t="e" cm="1">
        <f t="array" ref="L55">K55/(_xll.BDP(B55&amp;" Equity", "PREV_CLOSE_VAL")/_xll.BDP(C55&amp;" Equity", "PREV_CLOSE_VAL"))-1</f>
        <v>#VALUE!</v>
      </c>
      <c r="M55" s="188"/>
      <c r="N55" s="190" t="e">
        <f t="shared" si="19"/>
        <v>#VALUE!</v>
      </c>
      <c r="O55" s="191" t="e">
        <f t="shared" si="17"/>
        <v>#VALUE!</v>
      </c>
      <c r="P55" s="192" t="str" cm="1">
        <f t="array" ref="P55">_xll.BDP($A55&amp;" Index","VOLATILITY_30D")</f>
        <v>#N/A Invalid Security</v>
      </c>
      <c r="Q55" s="192" t="e" cm="1">
        <f t="array" aca="1" ref="Q55" ca="1">(_xll.BDP(($B55&amp; " Equity"),"CORR_COEF", "BETA_OVERRIDE_REL_INDEX",($C55&amp; " Equity"),"BETA_OVERRIDE_END_DT",$Q$5,"BETA_OVERRIDE_START_DT",$Q$4))*100</f>
        <v>#VALUE!</v>
      </c>
      <c r="R55" s="188"/>
      <c r="S55" s="188" t="e" cm="1">
        <f t="array" ref="S55">_xll.BDP($A55&amp;" Index","CHG_PCT_2D")/100</f>
        <v>#VALUE!</v>
      </c>
      <c r="T55" s="188" t="e" cm="1">
        <f t="array" ref="T55">_xll.BDP($A55&amp;" Index","CHG_PCT_5D")/100</f>
        <v>#VALUE!</v>
      </c>
      <c r="U55" s="188" t="e" cm="1">
        <f t="array" ref="U55">K55/_xll.BDP($A55&amp;" Index","HIGH_52WEEK")-1</f>
        <v>#VALUE!</v>
      </c>
      <c r="V55" s="188" t="e" cm="1">
        <f t="array" ref="V55">K55/_xll.BDP($A55&amp;" Index","LOW_52WEEK")-1</f>
        <v>#VALUE!</v>
      </c>
      <c r="W55" s="188"/>
      <c r="X55" s="192" t="str" cm="1">
        <f t="array" ref="X55">_xll.BDP($A55&amp;" Index","RSI_14D")</f>
        <v>#N/A Invalid Security</v>
      </c>
      <c r="Y55" s="193"/>
      <c r="Z55" s="194" t="e">
        <f t="shared" si="20"/>
        <v>#VALUE!</v>
      </c>
      <c r="AA55" s="193"/>
      <c r="AB55" s="194" t="e">
        <f t="shared" si="21"/>
        <v>#VALUE!</v>
      </c>
      <c r="AC55" s="193"/>
      <c r="AD55" s="188" t="e">
        <f t="shared" si="22"/>
        <v>#VALUE!</v>
      </c>
      <c r="AE55" s="188"/>
      <c r="AF55" s="195" t="str">
        <f>IF(ISTEXT(B55),_xll.BDP(B55 &amp; " Equity","EXPECTED_REPORT_DT")*1,"")</f>
        <v/>
      </c>
      <c r="AG55" s="195" t="str">
        <f>IF(ISTEXT(C55),_xll.BDP(C55 &amp; " Equity","EXPECTED_REPORT_DT")*1,"")</f>
        <v/>
      </c>
      <c r="AH55" s="196" t="e" cm="1">
        <f t="array" ref="AH55">(_xll.BDP(B55&amp;" Equity","SHORT_INT")/_xll.BDP(B55&amp;" Equity","VOLUME_AVG_90D"))</f>
        <v>#VALUE!</v>
      </c>
      <c r="AI55" s="196" t="e" cm="1">
        <f t="array" ref="AI55">(_xll.BDP(C55&amp;" Equity","SHORT_INT")/_xll.BDP(C55&amp;" Equity","VOLUME_AVG_90D"))</f>
        <v>#VALUE!</v>
      </c>
      <c r="AJ55" s="196" t="e" cm="1">
        <f t="array" ref="AJ55">(_xll.BDP(B55&amp;" Equity","SHORT_INT"))/((_xll.BDP(B55&amp;" Equity","EQY_FREE_FLOAT_PCT"))*(_xll.BDP(B55&amp;" Equity","EQY_SH_OUT_TOT_MULT_SH")))/100</f>
        <v>#VALUE!</v>
      </c>
      <c r="AK55" s="196" t="e" cm="1">
        <f t="array" ref="AK55">(_xll.BDP(C55&amp;" Equity","SHORT_INT"))/((_xll.BDP(C55&amp;" Equity","EQY_FREE_FLOAT_PCT"))*(_xll.BDP(C55&amp;" Equity","EQY_SH_OUT_TOT_MULT_SH")))/100</f>
        <v>#VALUE!</v>
      </c>
      <c r="AM55" s="194" t="str">
        <f>IF(ISTEXT(B55),AP55/_xll.BDH(B55 &amp;  " Equity","BEST_EPS",$AM$3,$AM$3,"BEST_FPERIOD_OVERRIDE=1BF","CDR=US","Fill=p")-1,"")</f>
        <v/>
      </c>
      <c r="AN55" s="194" t="str">
        <f>IF(ISTEXT(B55),AP55/_xll.BDH(B55 &amp;  " Equity","BEST_EPS",$AN$3,$AN$3,"BEST_FPERIOD_OVERRIDE=1BF","CDR=US","Fill=p")-1,"")</f>
        <v/>
      </c>
      <c r="AO55" s="196" t="e">
        <f t="shared" si="23"/>
        <v>#VALUE!</v>
      </c>
      <c r="AP55" s="196" t="str">
        <f>IF(ISTEXT(B55),_xll.BDH(B55 &amp;  " Equity","BEST_EPS",$Q$3,$Q$3,"BEST_FPERIOD_OVERRIDE=1BF","CDR=US","Fill=p"),"")</f>
        <v/>
      </c>
      <c r="AR55" s="194" t="str">
        <f>IF(ISTEXT(C55),AU55/_xll.BDH(C55 &amp;  " Equity","BEST_EPS",$AM$3,$AM$3,"BEST_FPERIOD_OVERRIDE=1BF","CDR=US","Fill=p")-1,"")</f>
        <v/>
      </c>
      <c r="AS55" s="194" t="str">
        <f>IF(ISTEXT(C55),AU55/_xll.BDH(C55 &amp;  " Equity","BEST_EPS",$AN$3,$AN$3,"BEST_FPERIOD_OVERRIDE=1BF","CDR=US","Fill=p")-1,"")</f>
        <v/>
      </c>
      <c r="AT55" s="196" t="e">
        <f t="shared" si="24"/>
        <v>#VALUE!</v>
      </c>
      <c r="AU55" s="196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38 R40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0 W38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38 Z40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0 AE38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0 AI38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AI40 AI38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5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429</v>
      </c>
      <c r="Z2" s="128">
        <v>0.02</v>
      </c>
      <c r="AA2" s="128">
        <v>1.2500000000000001E-2</v>
      </c>
      <c r="AB2" s="128">
        <f>Z2+AA2</f>
        <v>3.2500000000000001E-2</v>
      </c>
      <c r="AG2" t="s">
        <v>429</v>
      </c>
      <c r="AH2" t="s">
        <v>1891</v>
      </c>
      <c r="AI2" t="s">
        <v>1892</v>
      </c>
    </row>
    <row r="3" spans="3:37">
      <c r="T3" s="40"/>
      <c r="U3" s="40"/>
      <c r="V3" t="s">
        <v>1888</v>
      </c>
      <c r="W3" t="s">
        <v>1889</v>
      </c>
      <c r="X3" t="s">
        <v>169</v>
      </c>
      <c r="Z3" t="s">
        <v>1888</v>
      </c>
      <c r="AA3" t="s">
        <v>1889</v>
      </c>
      <c r="AB3" t="s">
        <v>169</v>
      </c>
      <c r="AD3" t="s">
        <v>1890</v>
      </c>
      <c r="AE3" t="s">
        <v>1905</v>
      </c>
    </row>
    <row r="4" spans="3:37">
      <c r="D4" t="s">
        <v>1694</v>
      </c>
      <c r="F4" s="177" t="s">
        <v>150</v>
      </c>
      <c r="G4" s="177" t="s">
        <v>147</v>
      </c>
      <c r="K4" t="s">
        <v>146</v>
      </c>
      <c r="S4" s="36" t="s">
        <v>1770</v>
      </c>
      <c r="T4" t="s">
        <v>90</v>
      </c>
      <c r="U4" t="s">
        <v>1893</v>
      </c>
      <c r="V4" s="360">
        <v>0.27500000000000002</v>
      </c>
      <c r="W4" s="360">
        <v>0.5</v>
      </c>
      <c r="X4" s="360">
        <f t="shared" ref="X4:X13" si="0">AB4/$AB$14</f>
        <v>0.36153846153846153</v>
      </c>
      <c r="Z4" s="71">
        <f>V4*$Z$2</f>
        <v>5.5000000000000005E-3</v>
      </c>
      <c r="AA4" s="71">
        <f>W4*$AA$2</f>
        <v>6.2500000000000003E-3</v>
      </c>
      <c r="AB4" s="71">
        <f>Z4+AA4</f>
        <v>1.175E-2</v>
      </c>
      <c r="AC4" s="45" t="s">
        <v>1770</v>
      </c>
      <c r="AD4" s="71">
        <v>1.34E-2</v>
      </c>
      <c r="AE4" s="276">
        <f>(AB4-AD4)*10000</f>
        <v>-16.500000000000004</v>
      </c>
      <c r="AG4" s="359">
        <f>X4</f>
        <v>0.36153846153846153</v>
      </c>
      <c r="AH4" s="358">
        <v>0.2</v>
      </c>
      <c r="AI4" s="358">
        <v>0.15</v>
      </c>
      <c r="AK4" s="21"/>
    </row>
    <row r="5" spans="3:37">
      <c r="C5" t="s">
        <v>131</v>
      </c>
      <c r="D5" s="276">
        <v>2.4</v>
      </c>
      <c r="F5" s="153" cm="1">
        <f t="array" ref="F5">_xll.BDP($C5&amp;" Equity","volatility_10d")/100</f>
        <v>0.3413505574140005</v>
      </c>
      <c r="G5" s="153" cm="1">
        <f t="array" ref="G5">_xll.BDP($C5&amp;" Equity","volatility_30d")/100</f>
        <v>0.35148003368772829</v>
      </c>
      <c r="J5" t="s">
        <v>1740</v>
      </c>
      <c r="K5" s="276">
        <v>70</v>
      </c>
      <c r="L5" cm="1">
        <f t="array" ref="L5">_xll.BDP(J5&amp;" Equity","LAST PRICE")</f>
        <v>105.24</v>
      </c>
      <c r="M5" s="279">
        <f>L5/K5-1</f>
        <v>0.50342857142857134</v>
      </c>
      <c r="S5" s="36" t="s">
        <v>1770</v>
      </c>
      <c r="T5" t="s">
        <v>1887</v>
      </c>
      <c r="U5" t="s">
        <v>1893</v>
      </c>
      <c r="V5" s="360"/>
      <c r="W5" s="360">
        <v>0.1</v>
      </c>
      <c r="X5" s="360">
        <f t="shared" si="0"/>
        <v>3.8461538461538471E-2</v>
      </c>
      <c r="Z5" s="71">
        <f t="shared" ref="Z5:Z13" si="1">V5*$Z$2</f>
        <v>0</v>
      </c>
      <c r="AA5" s="71">
        <f t="shared" ref="AA5:AA13" si="2">W5*$AA$2</f>
        <v>1.2500000000000002E-3</v>
      </c>
      <c r="AB5" s="71">
        <f t="shared" ref="AB5:AB13" si="3">Z5+AA5</f>
        <v>1.2500000000000002E-3</v>
      </c>
      <c r="AC5" s="45" t="s">
        <v>1770</v>
      </c>
      <c r="AD5" s="71">
        <v>1.1999999999999999E-3</v>
      </c>
      <c r="AE5" s="276">
        <f t="shared" ref="AE5:AE13" si="4">(AB5-AD5)*10000</f>
        <v>0.50000000000000344</v>
      </c>
      <c r="AG5" s="359">
        <f t="shared" ref="AG5:AG13" si="5">X5</f>
        <v>3.8461538461538471E-2</v>
      </c>
      <c r="AH5" s="358"/>
      <c r="AI5" s="358"/>
      <c r="AK5" s="21"/>
    </row>
    <row r="6" spans="3:37">
      <c r="C6" t="s">
        <v>131</v>
      </c>
      <c r="D6" s="276">
        <v>2.4</v>
      </c>
      <c r="F6" s="153" cm="1">
        <f t="array" ref="F6">_xll.BDP($C6&amp;" Equity","volatility_10d")/100</f>
        <v>0.3413505574140005</v>
      </c>
      <c r="G6" s="153" cm="1">
        <f t="array" ref="G6">_xll.BDP($C6&amp;" Equity","volatility_30d")/100</f>
        <v>0.35148003368772829</v>
      </c>
      <c r="J6" t="s">
        <v>1740</v>
      </c>
      <c r="K6" s="276">
        <v>70</v>
      </c>
      <c r="L6" cm="1">
        <f t="array" ref="L6">_xll.BDP(J6&amp;" Equity","LAST PRICE")</f>
        <v>105.24</v>
      </c>
      <c r="M6" s="279">
        <f>L6/K6-1</f>
        <v>0.50342857142857134</v>
      </c>
      <c r="S6" s="36" t="s">
        <v>1770</v>
      </c>
      <c r="T6" t="s">
        <v>1903</v>
      </c>
      <c r="U6" t="s">
        <v>1900</v>
      </c>
      <c r="V6" s="360"/>
      <c r="W6" s="360"/>
      <c r="X6" s="360"/>
      <c r="Z6" s="71">
        <f>V6*$Z$2</f>
        <v>0</v>
      </c>
      <c r="AA6" s="71">
        <f>W6*$AA$2</f>
        <v>0</v>
      </c>
      <c r="AB6" s="71">
        <f>Z6+AA6</f>
        <v>0</v>
      </c>
      <c r="AD6" s="71"/>
      <c r="AE6" s="276"/>
      <c r="AG6" s="359">
        <f>X6</f>
        <v>0</v>
      </c>
      <c r="AH6" s="358"/>
      <c r="AI6" s="358"/>
      <c r="AK6" s="21"/>
    </row>
    <row r="7" spans="3:37">
      <c r="C7" t="s">
        <v>1693</v>
      </c>
      <c r="D7" s="276">
        <v>1.2</v>
      </c>
      <c r="F7" s="153" cm="1">
        <f t="array" ref="F7">_xll.BDP($C7&amp;" Equity","volatility_10d")/100</f>
        <v>0.21432567528357077</v>
      </c>
      <c r="G7" s="153" cm="1">
        <f t="array" ref="G7">_xll.BDP($C7&amp;" Equity","volatility_30d")/100</f>
        <v>0.2387002174832635</v>
      </c>
      <c r="J7" t="s">
        <v>1743</v>
      </c>
      <c r="K7" s="276">
        <v>28.5</v>
      </c>
      <c r="L7" cm="1">
        <f t="array" ref="L7">_xll.BDP(J7&amp;" Equity","LAST PRICE")</f>
        <v>20.09</v>
      </c>
      <c r="M7" s="279">
        <f t="shared" ref="M7:M13" si="6">L7/K7-1</f>
        <v>-0.29508771929824562</v>
      </c>
      <c r="S7" s="36" t="s">
        <v>1770</v>
      </c>
      <c r="T7" t="s">
        <v>81</v>
      </c>
      <c r="U7" t="s">
        <v>1879</v>
      </c>
      <c r="V7" s="360">
        <v>0.2</v>
      </c>
      <c r="W7" s="360"/>
      <c r="X7" s="360">
        <f t="shared" si="0"/>
        <v>0.12307692307692307</v>
      </c>
      <c r="Z7" s="71">
        <f t="shared" si="1"/>
        <v>4.0000000000000001E-3</v>
      </c>
      <c r="AA7" s="71">
        <f t="shared" si="2"/>
        <v>0</v>
      </c>
      <c r="AB7" s="71">
        <f t="shared" si="3"/>
        <v>4.0000000000000001E-3</v>
      </c>
      <c r="AD7" s="71">
        <v>3.0999999999999999E-3</v>
      </c>
      <c r="AE7" s="276">
        <f t="shared" si="4"/>
        <v>9.0000000000000018</v>
      </c>
      <c r="AG7" s="359">
        <f t="shared" si="5"/>
        <v>0.12307692307692307</v>
      </c>
      <c r="AH7" s="358">
        <v>0.3</v>
      </c>
      <c r="AI7" s="358">
        <v>0.25</v>
      </c>
      <c r="AK7" s="21"/>
    </row>
    <row r="8" spans="3:37">
      <c r="C8" t="s">
        <v>132</v>
      </c>
      <c r="D8" s="276">
        <v>2</v>
      </c>
      <c r="F8" s="153" cm="1">
        <f t="array" ref="F8">_xll.BDP($C8&amp;" Equity","volatility_10d")/100</f>
        <v>0.24244902658143441</v>
      </c>
      <c r="G8" s="153" cm="1">
        <f t="array" ref="G8">_xll.BDP($C8&amp;" Equity","volatility_30d")/100</f>
        <v>0.34691855504508057</v>
      </c>
      <c r="J8" t="s">
        <v>400</v>
      </c>
      <c r="K8" s="276">
        <v>318.75</v>
      </c>
      <c r="L8" cm="1">
        <f t="array" ref="L8">_xll.BDP(J8&amp;" Equity","LAST PRICE")</f>
        <v>275.8</v>
      </c>
      <c r="M8" s="279">
        <f t="shared" si="6"/>
        <v>-0.13474509803921564</v>
      </c>
      <c r="S8" s="36" t="s">
        <v>1770</v>
      </c>
      <c r="T8" t="s">
        <v>83</v>
      </c>
      <c r="U8" t="s">
        <v>1879</v>
      </c>
      <c r="V8" s="360">
        <v>0.05</v>
      </c>
      <c r="W8" s="360">
        <v>0.05</v>
      </c>
      <c r="X8" s="360">
        <f t="shared" si="0"/>
        <v>0.05</v>
      </c>
      <c r="Z8" s="71">
        <f t="shared" si="1"/>
        <v>1E-3</v>
      </c>
      <c r="AA8" s="71">
        <f t="shared" si="2"/>
        <v>6.2500000000000012E-4</v>
      </c>
      <c r="AB8" s="71">
        <f t="shared" si="3"/>
        <v>1.6250000000000001E-3</v>
      </c>
      <c r="AD8" s="71">
        <v>1.2999999999999999E-3</v>
      </c>
      <c r="AE8" s="276">
        <f t="shared" si="4"/>
        <v>3.2500000000000022</v>
      </c>
      <c r="AG8" s="359">
        <f t="shared" si="5"/>
        <v>0.05</v>
      </c>
      <c r="AH8" s="358">
        <v>0.05</v>
      </c>
      <c r="AI8" s="358">
        <v>0.05</v>
      </c>
      <c r="AK8" s="21"/>
    </row>
    <row r="9" spans="3:37">
      <c r="C9" t="s">
        <v>89</v>
      </c>
      <c r="D9" s="276">
        <v>1.2</v>
      </c>
      <c r="E9" s="276">
        <v>1.35</v>
      </c>
      <c r="F9" s="153" cm="1">
        <f t="array" ref="F9">_xll.BDP($C9&amp;" Equity","volatility_10d")/100</f>
        <v>0.23732332482102117</v>
      </c>
      <c r="G9" s="153" cm="1">
        <f t="array" ref="G9">_xll.BDP($C9&amp;" Equity","volatility_30d")/100</f>
        <v>0.22428176066523439</v>
      </c>
      <c r="J9" t="s">
        <v>134</v>
      </c>
      <c r="K9" s="276">
        <v>265.95999999999998</v>
      </c>
      <c r="L9" cm="1">
        <f t="array" ref="L9">_xll.BDP(J9&amp;" Equity","LAST PRICE")</f>
        <v>228.53</v>
      </c>
      <c r="M9" s="279">
        <f t="shared" si="6"/>
        <v>-0.14073544893969014</v>
      </c>
      <c r="S9" s="36" t="s">
        <v>1770</v>
      </c>
      <c r="T9" t="s">
        <v>399</v>
      </c>
      <c r="U9" t="s">
        <v>1879</v>
      </c>
      <c r="V9" s="360">
        <v>0.1</v>
      </c>
      <c r="W9" s="360">
        <v>0.05</v>
      </c>
      <c r="X9" s="360">
        <f t="shared" si="0"/>
        <v>8.0769230769230774E-2</v>
      </c>
      <c r="Z9" s="71">
        <f t="shared" si="1"/>
        <v>2E-3</v>
      </c>
      <c r="AA9" s="71">
        <f t="shared" si="2"/>
        <v>6.2500000000000012E-4</v>
      </c>
      <c r="AB9" s="71">
        <f t="shared" si="3"/>
        <v>2.6250000000000002E-3</v>
      </c>
      <c r="AD9" s="71">
        <v>2.5999999999999999E-3</v>
      </c>
      <c r="AE9" s="276">
        <f t="shared" si="4"/>
        <v>0.25000000000000283</v>
      </c>
      <c r="AG9" s="359">
        <f t="shared" si="5"/>
        <v>8.0769230769230774E-2</v>
      </c>
      <c r="AH9" s="358">
        <v>0.15</v>
      </c>
      <c r="AI9" s="358">
        <v>0.15</v>
      </c>
      <c r="AJ9" t="s">
        <v>1770</v>
      </c>
      <c r="AK9" s="21"/>
    </row>
    <row r="10" spans="3:37">
      <c r="C10" t="s">
        <v>350</v>
      </c>
      <c r="D10" s="276">
        <v>1.2</v>
      </c>
      <c r="E10" s="276">
        <v>1.35</v>
      </c>
      <c r="F10" s="153" cm="1">
        <f t="array" ref="F10">_xll.BDP($C10&amp;" Equity","volatility_10d")/100</f>
        <v>0.25209409999999999</v>
      </c>
      <c r="G10" s="153" cm="1">
        <f t="array" ref="G10">_xll.BDP($C10&amp;" Equity","volatility_30d")/100</f>
        <v>0.24752549999999998</v>
      </c>
      <c r="J10" t="s">
        <v>1753</v>
      </c>
      <c r="K10" s="276">
        <v>251.52</v>
      </c>
      <c r="L10" cm="1">
        <f t="array" ref="L10">_xll.BDP(J10&amp;" Equity","LAST PRICE")</f>
        <v>188.58</v>
      </c>
      <c r="M10" s="279">
        <f t="shared" si="6"/>
        <v>-0.25023854961832059</v>
      </c>
      <c r="S10" s="36" t="s">
        <v>1770</v>
      </c>
      <c r="T10" t="s">
        <v>1904</v>
      </c>
      <c r="U10" t="s">
        <v>1894</v>
      </c>
      <c r="V10" s="360"/>
      <c r="W10" s="360">
        <v>7.4999999999999997E-2</v>
      </c>
      <c r="X10" s="360">
        <f t="shared" si="0"/>
        <v>2.8846153846153844E-2</v>
      </c>
      <c r="Z10" s="71">
        <f t="shared" si="1"/>
        <v>0</v>
      </c>
      <c r="AA10" s="71">
        <f t="shared" si="2"/>
        <v>9.3749999999999997E-4</v>
      </c>
      <c r="AB10" s="71">
        <f t="shared" si="3"/>
        <v>9.3749999999999997E-4</v>
      </c>
      <c r="AD10" s="71">
        <v>1E-3</v>
      </c>
      <c r="AE10" s="276">
        <f t="shared" si="4"/>
        <v>-0.62500000000000056</v>
      </c>
      <c r="AG10" s="359">
        <f t="shared" si="5"/>
        <v>2.8846153846153844E-2</v>
      </c>
      <c r="AH10" s="358"/>
      <c r="AI10" s="358"/>
      <c r="AK10" s="21"/>
    </row>
    <row r="11" spans="3:37">
      <c r="C11" t="s">
        <v>401</v>
      </c>
      <c r="D11" s="276">
        <v>1.5</v>
      </c>
      <c r="E11" s="276">
        <v>0.94</v>
      </c>
      <c r="F11" s="153" cm="1">
        <f t="array" ref="F11">_xll.BDP($C11&amp;" Equity","volatility_10d")/100</f>
        <v>0.17615691012611184</v>
      </c>
      <c r="G11" s="153" cm="1">
        <f t="array" ref="G11">_xll.BDP($C11&amp;" Equity","volatility_30d")/100</f>
        <v>0.15628215141019691</v>
      </c>
      <c r="J11" t="s">
        <v>353</v>
      </c>
      <c r="K11" s="276">
        <v>117.4</v>
      </c>
      <c r="L11" cm="1">
        <f t="array" ref="L11">_xll.BDP(J11&amp;" Equity","LAST PRICE")</f>
        <v>196.3</v>
      </c>
      <c r="M11" s="279">
        <f t="shared" si="6"/>
        <v>0.67206132879045999</v>
      </c>
      <c r="S11" s="36" t="s">
        <v>1770</v>
      </c>
      <c r="T11" t="s">
        <v>94</v>
      </c>
      <c r="U11" t="s">
        <v>1880</v>
      </c>
      <c r="V11" s="360">
        <v>0.05</v>
      </c>
      <c r="W11" s="360">
        <v>0.1</v>
      </c>
      <c r="X11" s="360">
        <f t="shared" si="0"/>
        <v>6.9230769230769235E-2</v>
      </c>
      <c r="Z11" s="71">
        <f t="shared" si="1"/>
        <v>1E-3</v>
      </c>
      <c r="AA11" s="71">
        <f t="shared" si="2"/>
        <v>1.2500000000000002E-3</v>
      </c>
      <c r="AB11" s="71">
        <f t="shared" si="3"/>
        <v>2.2500000000000003E-3</v>
      </c>
      <c r="AD11" s="71">
        <v>2.2000000000000001E-3</v>
      </c>
      <c r="AE11" s="276">
        <f t="shared" si="4"/>
        <v>0.50000000000000133</v>
      </c>
      <c r="AG11" s="359">
        <f t="shared" si="5"/>
        <v>6.9230769230769235E-2</v>
      </c>
      <c r="AH11" s="358">
        <v>0.05</v>
      </c>
      <c r="AI11" s="358">
        <v>0.05</v>
      </c>
      <c r="AK11" s="21"/>
    </row>
    <row r="12" spans="3:37">
      <c r="C12" t="s">
        <v>1685</v>
      </c>
      <c r="D12" s="276">
        <v>1.5</v>
      </c>
      <c r="E12" s="276">
        <v>1.07</v>
      </c>
      <c r="F12" s="153" cm="1">
        <f t="array" ref="F12">_xll.BDP($C12&amp;" Equity","volatility_10d")/100</f>
        <v>0.24765427528919645</v>
      </c>
      <c r="G12" s="153" cm="1">
        <f t="array" ref="G12">_xll.BDP($C12&amp;" Equity","volatility_30d")/100</f>
        <v>0.26236010547454924</v>
      </c>
      <c r="J12" t="s">
        <v>1742</v>
      </c>
      <c r="K12" s="276">
        <v>5420</v>
      </c>
      <c r="L12" cm="1">
        <f t="array" ref="L12">_xll.BDP(J12&amp;" Index","LAST PRICE")</f>
        <v>5748</v>
      </c>
      <c r="M12" s="279">
        <f t="shared" si="6"/>
        <v>6.0516605166051729E-2</v>
      </c>
      <c r="S12" s="36" t="s">
        <v>1770</v>
      </c>
      <c r="T12" t="s">
        <v>137</v>
      </c>
      <c r="U12" t="s">
        <v>1894</v>
      </c>
      <c r="V12" s="360">
        <v>0.05</v>
      </c>
      <c r="W12" s="360">
        <v>0.125</v>
      </c>
      <c r="X12" s="360">
        <f t="shared" si="0"/>
        <v>7.8846153846153844E-2</v>
      </c>
      <c r="Z12" s="71">
        <f t="shared" si="1"/>
        <v>1E-3</v>
      </c>
      <c r="AA12" s="71">
        <f t="shared" si="2"/>
        <v>1.5625000000000001E-3</v>
      </c>
      <c r="AB12" s="71">
        <f t="shared" si="3"/>
        <v>2.5625000000000001E-3</v>
      </c>
      <c r="AD12" s="71">
        <v>2.5000000000000001E-3</v>
      </c>
      <c r="AE12" s="276">
        <f t="shared" si="4"/>
        <v>0.62500000000000056</v>
      </c>
      <c r="AG12" s="359">
        <f t="shared" si="5"/>
        <v>7.8846153846153844E-2</v>
      </c>
      <c r="AH12" s="358">
        <v>0.1</v>
      </c>
      <c r="AI12" s="358">
        <v>0.1</v>
      </c>
      <c r="AK12" s="21"/>
    </row>
    <row r="13" spans="3:37">
      <c r="C13" t="s">
        <v>1689</v>
      </c>
      <c r="D13" s="276">
        <v>1.5</v>
      </c>
      <c r="E13" s="276">
        <v>0.97</v>
      </c>
      <c r="F13" s="153" cm="1">
        <f t="array" ref="F13">_xll.BDP($C13&amp;" Equity","volatility_10d")/100</f>
        <v>0.24700207480557818</v>
      </c>
      <c r="G13" s="153" cm="1">
        <f t="array" ref="G13">_xll.BDP($C13&amp;" Equity","volatility_30d")/100</f>
        <v>0.29737916765520167</v>
      </c>
      <c r="J13" t="s">
        <v>1744</v>
      </c>
      <c r="K13" s="276">
        <v>386.5</v>
      </c>
      <c r="L13" t="str" cm="1">
        <f t="array" ref="L13">_xll.BDP(J13&amp;" Index","LAST PRICE")</f>
        <v>#N/A Real Time</v>
      </c>
      <c r="M13" s="279" t="e">
        <f t="shared" si="6"/>
        <v>#VALUE!</v>
      </c>
      <c r="S13" s="36" t="s">
        <v>1770</v>
      </c>
      <c r="T13" t="s">
        <v>96</v>
      </c>
      <c r="U13" t="s">
        <v>1880</v>
      </c>
      <c r="V13" s="360">
        <v>0.27500000000000002</v>
      </c>
      <c r="W13" s="360"/>
      <c r="X13" s="360">
        <f t="shared" si="0"/>
        <v>0.16923076923076924</v>
      </c>
      <c r="Z13" s="71">
        <f t="shared" si="1"/>
        <v>5.5000000000000005E-3</v>
      </c>
      <c r="AA13" s="71">
        <f t="shared" si="2"/>
        <v>0</v>
      </c>
      <c r="AB13" s="71">
        <f t="shared" si="3"/>
        <v>5.5000000000000005E-3</v>
      </c>
      <c r="AC13" s="45" t="s">
        <v>1770</v>
      </c>
      <c r="AD13" s="71">
        <v>5.3E-3</v>
      </c>
      <c r="AE13" s="276">
        <f t="shared" si="4"/>
        <v>2.0000000000000053</v>
      </c>
      <c r="AG13" s="359">
        <f t="shared" si="5"/>
        <v>0.16923076923076924</v>
      </c>
      <c r="AH13" s="358">
        <v>0.15</v>
      </c>
      <c r="AI13" s="358">
        <v>0.25</v>
      </c>
      <c r="AK13" s="21"/>
    </row>
    <row r="14" spans="3:37">
      <c r="C14" t="s">
        <v>88</v>
      </c>
      <c r="D14" s="276">
        <v>1</v>
      </c>
      <c r="E14" s="276">
        <v>0.9</v>
      </c>
      <c r="F14" s="153" cm="1">
        <f t="array" ref="F14">_xll.BDP($C14&amp;" Equity","volatility_10d")/100</f>
        <v>0.16620542399482732</v>
      </c>
      <c r="G14" s="153" cm="1">
        <f t="array" ref="G14">_xll.BDP($C14&amp;" Equity","volatility_30d")/100</f>
        <v>0.14655299261365534</v>
      </c>
      <c r="S14" s="36"/>
      <c r="V14" s="21">
        <f>SUM(V4:V13)</f>
        <v>1</v>
      </c>
      <c r="W14" s="21">
        <f>SUM(W4:W13)</f>
        <v>1</v>
      </c>
      <c r="X14" s="66">
        <f>SUM(X4:X13)</f>
        <v>1.0000000000000002</v>
      </c>
      <c r="Z14" s="21">
        <f>SUM(Z4:Z13)</f>
        <v>2.0000000000000004E-2</v>
      </c>
      <c r="AA14" s="21">
        <f>SUM(AA4:AA13)</f>
        <v>1.2500000000000002E-2</v>
      </c>
      <c r="AB14" s="21">
        <f>SUM(AB4:AB13)</f>
        <v>3.2500000000000001E-2</v>
      </c>
      <c r="AD14" s="5">
        <f>SUM(AD4:AD13)</f>
        <v>3.2600000000000004E-2</v>
      </c>
      <c r="AE14" s="21"/>
      <c r="AG14" s="129">
        <f>SUM(AG4:AG13)</f>
        <v>1.0000000000000002</v>
      </c>
      <c r="AH14" s="129">
        <f>SUM(AH4:AH13)</f>
        <v>1</v>
      </c>
      <c r="AI14" s="129">
        <f>SUM(AI4:AI13)</f>
        <v>1</v>
      </c>
      <c r="AK14" s="66"/>
    </row>
    <row r="15" spans="3:37">
      <c r="C15" t="s">
        <v>6</v>
      </c>
      <c r="D15" s="276">
        <v>1.2</v>
      </c>
      <c r="E15" s="276">
        <v>1.21</v>
      </c>
      <c r="F15" s="153" cm="1">
        <f t="array" ref="F15">_xll.BDP($C15&amp;" Equity","volatility_10d")/100</f>
        <v>0.22034964137661844</v>
      </c>
      <c r="G15" s="153" cm="1">
        <f t="array" ref="G15">_xll.BDP($C15&amp;" Equity","volatility_30d")/100</f>
        <v>0.18093818105022932</v>
      </c>
      <c r="S15" s="36"/>
    </row>
    <row r="16" spans="3:37">
      <c r="C16" t="s">
        <v>71</v>
      </c>
      <c r="D16" s="276">
        <v>1.3</v>
      </c>
      <c r="E16" s="276">
        <v>1.1599999999999999</v>
      </c>
      <c r="F16" s="153" cm="1">
        <f t="array" ref="F16">_xll.BDP($C16&amp;" Equity","volatility_10d")/100</f>
        <v>0.35321708310576272</v>
      </c>
      <c r="G16" s="153" cm="1">
        <f t="array" ref="G16">_xll.BDP($C16&amp;" Equity","volatility_30d")/100</f>
        <v>0.22658554702019701</v>
      </c>
    </row>
    <row r="17" spans="3:42">
      <c r="C17" t="s">
        <v>95</v>
      </c>
      <c r="D17" s="276">
        <v>1.9</v>
      </c>
      <c r="E17" s="276">
        <v>1.9</v>
      </c>
      <c r="F17" s="153" cm="1">
        <f t="array" ref="F17">_xll.BDP($C17&amp;" Equity","volatility_10d")/100</f>
        <v>0.26226746429095871</v>
      </c>
      <c r="G17" s="153" cm="1">
        <f t="array" ref="G17">_xll.BDP($C17&amp;" Equity","volatility_30d")/100</f>
        <v>0.285961096956516</v>
      </c>
      <c r="AP17" t="s">
        <v>1770</v>
      </c>
    </row>
    <row r="18" spans="3:42">
      <c r="C18" t="s">
        <v>136</v>
      </c>
      <c r="D18" s="276">
        <v>1.9</v>
      </c>
      <c r="E18" s="276">
        <v>1.9</v>
      </c>
      <c r="F18" s="153" cm="1">
        <f t="array" ref="F18">_xll.BDP($C18&amp;" Equity","volatility_10d")/100</f>
        <v>0.27990140579350975</v>
      </c>
      <c r="G18" s="153" cm="1">
        <f t="array" ref="G18">_xll.BDP($C18&amp;" Equity","volatility_30d")/100</f>
        <v>0.27130063781305497</v>
      </c>
      <c r="AP18" t="s">
        <v>1770</v>
      </c>
    </row>
    <row r="19" spans="3:42">
      <c r="C19" t="s">
        <v>4</v>
      </c>
      <c r="D19" s="276">
        <v>0.75</v>
      </c>
      <c r="E19" s="276">
        <v>0.54</v>
      </c>
      <c r="F19" s="153" cm="1">
        <f t="array" ref="F19">_xll.BDP($C19&amp;" Equity","volatility_10d")/100</f>
        <v>8.6811836659377001E-2</v>
      </c>
      <c r="G19" s="153" cm="1">
        <f t="array" ref="G19">_xll.BDP($C19&amp;" Equity","volatility_30d")/100</f>
        <v>0.12439991789958302</v>
      </c>
      <c r="AP19" t="s">
        <v>1770</v>
      </c>
    </row>
    <row r="20" spans="3:42">
      <c r="C20" t="s">
        <v>1849</v>
      </c>
      <c r="D20" s="276">
        <v>1</v>
      </c>
      <c r="F20" s="153" cm="1">
        <f t="array" ref="F20">_xll.BDP($C20&amp;" Equity","volatility_10d")/100</f>
        <v>0.17542498139163409</v>
      </c>
      <c r="G20" s="153" cm="1">
        <f t="array" ref="G20">_xll.BDP($C20&amp;" Equity","volatility_30d")/100</f>
        <v>0.15859778782180733</v>
      </c>
    </row>
    <row r="21" spans="3:42">
      <c r="C21" t="s">
        <v>3</v>
      </c>
      <c r="D21" s="276">
        <v>1</v>
      </c>
      <c r="E21" s="276">
        <v>0.9</v>
      </c>
      <c r="F21" s="153" cm="1">
        <f t="array" ref="F21">_xll.BDP($C21&amp;" Equity","volatility_10d")/100</f>
        <v>0.13718719657237405</v>
      </c>
      <c r="G21" s="153" cm="1">
        <f t="array" ref="G21">_xll.BDP($C21&amp;" Equity","volatility_30d")/100</f>
        <v>0.10774910806289287</v>
      </c>
    </row>
    <row r="22" spans="3:42">
      <c r="C22" t="s">
        <v>0</v>
      </c>
      <c r="D22" s="276">
        <v>1</v>
      </c>
      <c r="E22" s="276">
        <v>1</v>
      </c>
      <c r="F22" s="153" cm="1">
        <f t="array" ref="F22">_xll.BDP($C22&amp;" Equity","volatility_10d")/100</f>
        <v>0.14623589633267875</v>
      </c>
      <c r="G22" s="153" cm="1">
        <f t="array" ref="G22">_xll.BDP($C22&amp;" Equity","volatility_30d")/100</f>
        <v>0.10353958279407091</v>
      </c>
    </row>
    <row r="23" spans="3:42" ht="15.75">
      <c r="C23" t="s">
        <v>135</v>
      </c>
      <c r="D23" s="276">
        <v>1.2</v>
      </c>
      <c r="E23" s="276">
        <v>1.2</v>
      </c>
      <c r="F23" s="153" cm="1">
        <f t="array" ref="F23">_xll.BDP($C23&amp;" Equity","volatility_10d")/100</f>
        <v>0.17379397608851849</v>
      </c>
      <c r="G23" s="153" cm="1">
        <f t="array" ref="G23">_xll.BDP($C23&amp;" Equity","volatility_30d")/100</f>
        <v>0.13899841179210218</v>
      </c>
      <c r="K23" s="376" t="s">
        <v>1907</v>
      </c>
      <c r="L23" s="377">
        <v>-1.0963377653370632E-2</v>
      </c>
      <c r="M23" s="378">
        <v>-0.37836540865925272</v>
      </c>
      <c r="N23" s="379">
        <v>3.4133390057770963E-3</v>
      </c>
      <c r="O23" s="379">
        <v>0</v>
      </c>
      <c r="P23" s="379">
        <v>3.4133390057770963E-3</v>
      </c>
      <c r="R23" s="379"/>
    </row>
    <row r="24" spans="3:42" ht="15.75">
      <c r="C24" t="s">
        <v>144</v>
      </c>
      <c r="D24" s="276">
        <v>1.3</v>
      </c>
      <c r="E24" s="276">
        <v>1.1000000000000001</v>
      </c>
      <c r="F24" s="153" cm="1">
        <f t="array" ref="F24">_xll.BDP($C24&amp;" Equity","volatility_10d")/100</f>
        <v>0.18546922340969754</v>
      </c>
      <c r="G24" s="153" cm="1">
        <f t="array" ref="G24">_xll.BDP($C24&amp;" Equity","volatility_30d")/100</f>
        <v>0.15042431949607726</v>
      </c>
      <c r="K24" s="373" t="s">
        <v>50</v>
      </c>
      <c r="L24" s="371">
        <v>-1.0963377653370632E-2</v>
      </c>
      <c r="M24" s="374">
        <v>-0.37836540865925272</v>
      </c>
      <c r="N24" s="372">
        <v>3.4133390057770963E-3</v>
      </c>
      <c r="O24" s="372">
        <v>0</v>
      </c>
      <c r="P24" s="372">
        <v>3.4133390057770963E-3</v>
      </c>
      <c r="R24" s="372"/>
    </row>
    <row r="25" spans="3:42" ht="15.75">
      <c r="C25" t="s">
        <v>513</v>
      </c>
      <c r="D25" s="276">
        <v>0.9</v>
      </c>
      <c r="F25" s="153" cm="1">
        <f t="array" ref="F25">_xll.BDP($C25&amp;" Equity","volatility_10d")/100</f>
        <v>0.16328029110406439</v>
      </c>
      <c r="G25" s="153" cm="1">
        <f t="array" ref="G25">_xll.BDP($C25&amp;" Equity","volatility_30d")/100</f>
        <v>0.21539441843261981</v>
      </c>
      <c r="K25" s="376" t="s">
        <v>84</v>
      </c>
      <c r="L25" s="377">
        <v>-5.9553798585880949E-3</v>
      </c>
      <c r="M25" s="378">
        <v>-0.63972487206523787</v>
      </c>
      <c r="N25" s="379">
        <v>1.1232261185275198E-2</v>
      </c>
      <c r="O25" s="379">
        <v>0</v>
      </c>
      <c r="P25" s="379">
        <v>1.1232261185275198E-2</v>
      </c>
      <c r="R25" s="379"/>
    </row>
    <row r="26" spans="3:42" ht="15.75">
      <c r="C26" t="s">
        <v>81</v>
      </c>
      <c r="D26" s="276" cm="1">
        <f t="array" ref="D26">_xll.BDP(C26&amp;" EQUITY","eqy_beta")</f>
        <v>1.1783472299575806</v>
      </c>
      <c r="F26" s="153" cm="1">
        <f t="array" ref="F26">_xll.BDP($C26&amp;" Equity","volatility_10d")/100</f>
        <v>0.39754972836638364</v>
      </c>
      <c r="G26" s="153" cm="1">
        <f t="array" ref="G26">_xll.BDP($C26&amp;" Equity","volatility_30d")/100</f>
        <v>0.27313108896805144</v>
      </c>
      <c r="K26" s="373" t="s">
        <v>85</v>
      </c>
      <c r="L26" s="371">
        <v>4.7598096076157947E-3</v>
      </c>
      <c r="M26" s="374">
        <v>-4.6604870922836092E-2</v>
      </c>
      <c r="N26" s="372">
        <v>-9.837935777997017E-4</v>
      </c>
      <c r="O26" s="372">
        <v>0</v>
      </c>
      <c r="P26" s="372">
        <v>-9.837935777997017E-4</v>
      </c>
      <c r="R26" s="372"/>
    </row>
    <row r="27" spans="3:42" ht="15.75">
      <c r="C27" t="s">
        <v>79</v>
      </c>
      <c r="D27" s="276" cm="1">
        <f t="array" ref="D27">_xll.BDP(C27&amp;" EQUITY","eqy_beta")</f>
        <v>1.0710140466690063</v>
      </c>
      <c r="F27" s="153" cm="1">
        <f t="array" ref="F27">_xll.BDP($C27&amp;" Equity","volatility_10d")/100</f>
        <v>0.28220258377394947</v>
      </c>
      <c r="G27" s="153" cm="1">
        <f t="array" ref="G27">_xll.BDP($C27&amp;" Equity","volatility_30d")/100</f>
        <v>0.17972138304039209</v>
      </c>
      <c r="K27" s="373" t="s">
        <v>6</v>
      </c>
      <c r="L27" s="371">
        <v>-2.9742661321608965E-3</v>
      </c>
      <c r="M27" s="374">
        <v>-0.27022992383829852</v>
      </c>
      <c r="N27" s="372">
        <v>9.0585770121445457E-3</v>
      </c>
      <c r="O27" s="372">
        <v>0</v>
      </c>
      <c r="P27" s="372">
        <v>9.0585770121445457E-3</v>
      </c>
      <c r="R27" s="372"/>
    </row>
    <row r="28" spans="3:42" ht="15.75">
      <c r="C28" t="s">
        <v>83</v>
      </c>
      <c r="D28" s="276" cm="1">
        <f t="array" ref="D28">_xll.BDP(C28&amp;" EQUITY","eqy_beta")</f>
        <v>1.1976327896118164</v>
      </c>
      <c r="F28" s="153" cm="1">
        <f t="array" ref="F28">_xll.BDP($C28&amp;" Equity","volatility_10d")/100</f>
        <v>0.13868241642097212</v>
      </c>
      <c r="G28" s="153" cm="1">
        <f t="array" ref="G28">_xll.BDP($C28&amp;" Equity","volatility_30d")/100</f>
        <v>0.28926069702718143</v>
      </c>
      <c r="K28" s="373" t="s">
        <v>1681</v>
      </c>
      <c r="L28" s="371">
        <v>-3.3200841711480411E-3</v>
      </c>
      <c r="M28" s="374">
        <v>-3.8619816007486069E-2</v>
      </c>
      <c r="N28" s="372">
        <v>1.1593559977233082E-3</v>
      </c>
      <c r="O28" s="372">
        <v>0</v>
      </c>
      <c r="P28" s="372">
        <v>1.1593559977233082E-3</v>
      </c>
      <c r="R28" s="372"/>
    </row>
    <row r="29" spans="3:42" ht="15.75">
      <c r="C29" t="s">
        <v>82</v>
      </c>
      <c r="D29" s="276" cm="1">
        <f t="array" ref="D29">_xll.BDP(C29&amp;" EQUITY","eqy_beta")</f>
        <v>0.84135323762893677</v>
      </c>
      <c r="F29" s="153" cm="1">
        <f t="array" ref="F29">_xll.BDP($C29&amp;" Equity","volatility_10d")/100</f>
        <v>0.17956394809517906</v>
      </c>
      <c r="G29" s="153" cm="1">
        <f t="array" ref="G29">_xll.BDP($C29&amp;" Equity","volatility_30d")/100</f>
        <v>0.19398844074765079</v>
      </c>
      <c r="K29" s="373" t="s">
        <v>1803</v>
      </c>
      <c r="L29" s="371">
        <v>-1.9074643335697972E-2</v>
      </c>
      <c r="M29" s="374">
        <v>-0.18961576845233849</v>
      </c>
      <c r="N29" s="372">
        <v>9.7511084230964917E-4</v>
      </c>
      <c r="O29" s="372">
        <v>0</v>
      </c>
      <c r="P29" s="372">
        <v>9.7511084230964917E-4</v>
      </c>
      <c r="R29" s="372"/>
    </row>
    <row r="30" spans="3:42" ht="15.75">
      <c r="C30" t="s">
        <v>90</v>
      </c>
      <c r="D30" s="276" cm="1">
        <f t="array" ref="D30">_xll.BDP(C30&amp;" EQUITY","eqy_beta")</f>
        <v>1.019689679145813</v>
      </c>
      <c r="F30" s="153" cm="1">
        <f t="array" ref="F30">_xll.BDP($C30&amp;" Equity","volatility_10d")/100</f>
        <v>0.31987609121902344</v>
      </c>
      <c r="G30" s="153" cm="1">
        <f t="array" ref="G30">_xll.BDP($C30&amp;" Equity","volatility_30d")/100</f>
        <v>0.20954796923276578</v>
      </c>
      <c r="K30" s="373" t="s">
        <v>1901</v>
      </c>
      <c r="L30" s="371">
        <v>-9.1677152615493585E-3</v>
      </c>
      <c r="M30" s="374">
        <v>-9.4654492844278598E-2</v>
      </c>
      <c r="N30" s="372">
        <v>1.0230109108973979E-3</v>
      </c>
      <c r="O30" s="372">
        <v>0</v>
      </c>
      <c r="P30" s="372">
        <v>1.0230109108973979E-3</v>
      </c>
      <c r="R30" s="372"/>
    </row>
    <row r="31" spans="3:42" ht="15.75">
      <c r="C31" t="s">
        <v>1681</v>
      </c>
      <c r="D31" s="276" cm="1">
        <f t="array" ref="D31">_xll.BDP(C31&amp;" EQUITY","eqy_beta")</f>
        <v>1.2194719314575195</v>
      </c>
      <c r="F31" s="153" cm="1">
        <f t="array" ref="F31">_xll.BDP($C31&amp;" Equity","volatility_10d")/100</f>
        <v>0.53578306120322139</v>
      </c>
      <c r="G31" s="153" cm="1">
        <f t="array" ref="G31">_xll.BDP($C31&amp;" Equity","volatility_30d")/100</f>
        <v>0.39624176619952833</v>
      </c>
      <c r="K31" s="376" t="s">
        <v>78</v>
      </c>
      <c r="L31" s="377">
        <v>-4.2479506412567702E-3</v>
      </c>
      <c r="M31" s="378">
        <v>1.0338056955883257</v>
      </c>
      <c r="N31" s="379">
        <v>-2.396608490698357E-2</v>
      </c>
      <c r="O31" s="379">
        <v>0</v>
      </c>
      <c r="P31" s="379">
        <v>-2.396608490698357E-2</v>
      </c>
      <c r="R31" s="379"/>
    </row>
    <row r="32" spans="3:42" ht="15.75">
      <c r="C32" t="s">
        <v>86</v>
      </c>
      <c r="D32" s="276" cm="1">
        <f t="array" ref="D32">_xll.BDP(C32&amp;" EQUITY","eqy_beta")</f>
        <v>0.84630101919174194</v>
      </c>
      <c r="F32" s="153" cm="1">
        <f t="array" ref="F32">_xll.BDP($C32&amp;" Equity","volatility_10d")/100</f>
        <v>0.14914987635046661</v>
      </c>
      <c r="G32" s="153" cm="1">
        <f t="array" ref="G32">_xll.BDP($C32&amp;" Equity","volatility_30d")/100</f>
        <v>0.17984269589642463</v>
      </c>
      <c r="K32" s="373" t="s">
        <v>3</v>
      </c>
      <c r="L32" s="371">
        <v>-3.7397353418066048E-3</v>
      </c>
      <c r="M32" s="374">
        <v>0.16241210060252317</v>
      </c>
      <c r="N32" s="372">
        <v>-4.3266356450720909E-3</v>
      </c>
      <c r="O32" s="372">
        <v>0</v>
      </c>
      <c r="P32" s="372">
        <v>-4.3266356450720909E-3</v>
      </c>
      <c r="R32" s="372"/>
    </row>
    <row r="33" spans="3:18" ht="15.75">
      <c r="C33" t="s">
        <v>87</v>
      </c>
      <c r="D33" s="276" cm="1">
        <f t="array" ref="D33">_xll.BDP(C33&amp;" EQUITY","eqy_beta")</f>
        <v>0.83062779903411865</v>
      </c>
      <c r="F33" s="153" cm="1">
        <f t="array" ref="F33">_xll.BDP($C33&amp;" Equity","volatility_10d")/100</f>
        <v>9.2054525790482289E-2</v>
      </c>
      <c r="G33" s="153" cm="1">
        <f t="array" ref="G33">_xll.BDP($C33&amp;" Equity","volatility_30d")/100</f>
        <v>0.18677542247621123</v>
      </c>
      <c r="K33" s="373" t="s">
        <v>1908</v>
      </c>
      <c r="L33" s="371">
        <v>-4.417355741073492E-3</v>
      </c>
      <c r="M33" s="374">
        <v>0.8713935949858026</v>
      </c>
      <c r="N33" s="372">
        <v>-1.9639449261911478E-2</v>
      </c>
      <c r="O33" s="372"/>
      <c r="P33" s="372">
        <v>-1.9639449261911478E-2</v>
      </c>
      <c r="R33" s="372"/>
    </row>
    <row r="34" spans="3:18" ht="15.75">
      <c r="C34" t="s">
        <v>85</v>
      </c>
      <c r="D34" s="276" cm="1">
        <f t="array" ref="D34">_xll.BDP(C34&amp;" EQUITY","eqy_beta")</f>
        <v>0.6282966136932373</v>
      </c>
      <c r="F34" s="153" cm="1">
        <f t="array" ref="F34">_xll.BDP($C34&amp;" Equity","volatility_10d")/100</f>
        <v>0.14232604107527316</v>
      </c>
      <c r="G34" s="153" cm="1">
        <f t="array" ref="G34">_xll.BDP($C34&amp;" Equity","volatility_30d")/100</f>
        <v>0.13583581500866493</v>
      </c>
      <c r="K34" s="376" t="s">
        <v>1879</v>
      </c>
      <c r="L34" s="377">
        <v>-1.068463658385139E-2</v>
      </c>
      <c r="M34" s="378">
        <v>-0.90024740598245501</v>
      </c>
      <c r="N34" s="379">
        <v>4.8096776346909318E-3</v>
      </c>
      <c r="O34" s="379">
        <v>5.1572351618506054E-3</v>
      </c>
      <c r="P34" s="379">
        <v>9.9669127965415355E-3</v>
      </c>
      <c r="R34" s="379"/>
    </row>
    <row r="35" spans="3:18" ht="15.75">
      <c r="C35" t="s">
        <v>96</v>
      </c>
      <c r="D35" s="276" cm="1">
        <f t="array" ref="D35">_xll.BDP(C35&amp;" EQUITY","eqy_beta")</f>
        <v>1.4806028604507446</v>
      </c>
      <c r="F35" s="153" cm="1">
        <f t="array" ref="F35">_xll.BDP($C35&amp;" Equity","volatility_10d")/100</f>
        <v>0.40158867923931529</v>
      </c>
      <c r="G35" s="153" cm="1">
        <f t="array" ref="G35">_xll.BDP($C35&amp;" Equity","volatility_30d")/100</f>
        <v>0.33510258697255507</v>
      </c>
      <c r="K35" s="373" t="s">
        <v>81</v>
      </c>
      <c r="L35" s="371">
        <v>-6.4136601179329844E-3</v>
      </c>
      <c r="M35" s="374">
        <v>-0.19767788893855778</v>
      </c>
      <c r="N35" s="372">
        <v>3.0623707295760953E-3</v>
      </c>
      <c r="O35" s="372">
        <v>0</v>
      </c>
      <c r="P35" s="372">
        <v>3.0623707295760953E-3</v>
      </c>
      <c r="R35" s="372"/>
    </row>
    <row r="36" spans="3:18" ht="15.75">
      <c r="C36" t="s">
        <v>94</v>
      </c>
      <c r="D36" s="276" cm="1">
        <f t="array" ref="D36">_xll.BDP(C36&amp;" EQUITY","eqy_beta")</f>
        <v>1.8499137163162231</v>
      </c>
      <c r="F36" s="153" cm="1">
        <f t="array" ref="F36">_xll.BDP($C36&amp;" Equity","volatility_10d")/100</f>
        <v>0.36102616763731399</v>
      </c>
      <c r="G36" s="153" cm="1">
        <f t="array" ref="G36">_xll.BDP($C36&amp;" Equity","volatility_30d")/100</f>
        <v>0.29689856214400895</v>
      </c>
      <c r="K36" s="373" t="s">
        <v>82</v>
      </c>
      <c r="L36" s="371">
        <v>4.6735154486730046E-3</v>
      </c>
      <c r="M36" s="374">
        <v>1.3065464514081379E-2</v>
      </c>
      <c r="N36" s="372">
        <v>2.8087049905996193E-4</v>
      </c>
      <c r="O36" s="372">
        <v>0</v>
      </c>
      <c r="P36" s="372">
        <v>2.8087049905996193E-4</v>
      </c>
      <c r="R36" s="372"/>
    </row>
    <row r="37" spans="3:18" ht="15.75">
      <c r="C37" t="s">
        <v>356</v>
      </c>
      <c r="D37" s="276" cm="1">
        <f t="array" ref="D37">_xll.BDP(C37&amp;" EQUITY","eqy_beta")</f>
        <v>1.6584094762802124</v>
      </c>
      <c r="F37" s="153" cm="1">
        <f t="array" ref="F37">_xll.BDP($C37&amp;" Equity","volatility_10d")/100</f>
        <v>0.39049820510274247</v>
      </c>
      <c r="G37" s="153" cm="1">
        <f t="array" ref="G37">_xll.BDP($C37&amp;" Equity","volatility_30d")/100</f>
        <v>0.68393096349790672</v>
      </c>
      <c r="K37" s="373" t="s">
        <v>83</v>
      </c>
      <c r="L37" s="371">
        <v>-1.9930069930069849E-2</v>
      </c>
      <c r="M37" s="374">
        <v>-0.4000142632662666</v>
      </c>
      <c r="N37" s="372">
        <v>0</v>
      </c>
      <c r="O37" s="372">
        <v>1.6318254484903006E-3</v>
      </c>
      <c r="P37" s="372">
        <v>1.6318254484903006E-3</v>
      </c>
      <c r="R37" s="372"/>
    </row>
    <row r="38" spans="3:18" ht="15.75">
      <c r="C38" t="s">
        <v>129</v>
      </c>
      <c r="D38" s="276" cm="1">
        <f t="array" ref="D38">_xll.BDP(C38&amp;" EQUITY","eqy_beta")</f>
        <v>1.1763453483581543</v>
      </c>
      <c r="F38" s="153" cm="1">
        <f t="array" ref="F38">_xll.BDP($C38&amp;" Equity","volatility_10d")/100</f>
        <v>0.33655354539182591</v>
      </c>
      <c r="G38" s="153" cm="1">
        <f t="array" ref="G38">_xll.BDP($C38&amp;" Equity","volatility_30d")/100</f>
        <v>0.24563150057325975</v>
      </c>
      <c r="K38" s="373" t="s">
        <v>399</v>
      </c>
      <c r="L38" s="371">
        <v>1.3128112267994929E-3</v>
      </c>
      <c r="M38" s="374">
        <v>7.9154304583226778E-3</v>
      </c>
      <c r="N38" s="372">
        <v>8.2776255868375693E-4</v>
      </c>
      <c r="O38" s="372">
        <v>5.6416207697500146E-4</v>
      </c>
      <c r="P38" s="372">
        <v>1.3919246356587584E-3</v>
      </c>
      <c r="R38" s="372"/>
    </row>
    <row r="39" spans="3:18" ht="15.75">
      <c r="C39" t="s">
        <v>128</v>
      </c>
      <c r="D39" s="276" cm="1">
        <f t="array" ref="D39">_xll.BDP(C39&amp;" EQUITY","eqy_beta")</f>
        <v>1.083756685256958</v>
      </c>
      <c r="F39" s="153" cm="1">
        <f t="array" ref="F39">_xll.BDP($C39&amp;" Equity","volatility_10d")/100</f>
        <v>0.24901376671723593</v>
      </c>
      <c r="G39" s="153" cm="1">
        <f t="array" ref="G39">_xll.BDP($C39&amp;" Equity","volatility_30d")/100</f>
        <v>0.20528822781001616</v>
      </c>
      <c r="K39" s="373" t="s">
        <v>499</v>
      </c>
      <c r="L39" s="371">
        <v>-2.3083787755390939E-2</v>
      </c>
      <c r="M39" s="374">
        <v>-0.25663139707509386</v>
      </c>
      <c r="N39" s="372">
        <v>6.3867384737111737E-4</v>
      </c>
      <c r="O39" s="372">
        <v>2.1555720957797475E-3</v>
      </c>
      <c r="P39" s="372">
        <v>2.794245943150865E-3</v>
      </c>
      <c r="Q39" s="372">
        <f>R39-P39</f>
        <v>-7.9424594315086498E-4</v>
      </c>
      <c r="R39" s="372">
        <v>2E-3</v>
      </c>
    </row>
    <row r="40" spans="3:18" ht="15.75">
      <c r="C40" t="s">
        <v>1678</v>
      </c>
      <c r="D40" s="276" cm="1">
        <f t="array" ref="D40">_xll.BDP(C40&amp;" EQUITY","eqy_beta")</f>
        <v>0.60368311405181885</v>
      </c>
      <c r="F40" s="153" cm="1">
        <f t="array" ref="F40">_xll.BDP($C40&amp;" Equity","volatility_10d")/100</f>
        <v>0.27658037270371516</v>
      </c>
      <c r="G40" s="153" cm="1">
        <f t="array" ref="G40">_xll.BDP($C40&amp;" Equity","volatility_30d")/100</f>
        <v>0.32998268722116925</v>
      </c>
      <c r="K40" s="373" t="s">
        <v>1911</v>
      </c>
      <c r="L40" s="371">
        <v>-8.2674772036475108E-3</v>
      </c>
      <c r="M40" s="374">
        <v>-6.6904751674940866E-2</v>
      </c>
      <c r="N40" s="372">
        <v>0</v>
      </c>
      <c r="O40" s="372">
        <v>8.0567554060555571E-4</v>
      </c>
      <c r="P40" s="372">
        <v>8.0567554060555571E-4</v>
      </c>
      <c r="R40" s="372"/>
    </row>
    <row r="41" spans="3:18" ht="15.75">
      <c r="C41" t="s">
        <v>1679</v>
      </c>
      <c r="D41" s="276" cm="1">
        <f t="array" ref="D41">_xll.BDP(C41&amp;" EQUITY","eqy_beta")</f>
        <v>0.53678721189498901</v>
      </c>
      <c r="F41" s="153" cm="1">
        <f t="array" ref="F41">_xll.BDP($C41&amp;" Equity","volatility_10d")/100</f>
        <v>0.27456533378180109</v>
      </c>
      <c r="G41" s="153" cm="1">
        <f t="array" ref="G41">_xll.BDP($C41&amp;" Equity","volatility_30d")/100</f>
        <v>0.24392271639261642</v>
      </c>
      <c r="K41" s="376" t="s">
        <v>1878</v>
      </c>
      <c r="L41" s="377">
        <v>-2.171898868541829E-2</v>
      </c>
      <c r="M41" s="378">
        <v>-2.1659089402196168</v>
      </c>
      <c r="N41" s="379">
        <v>7.426914807117521E-3</v>
      </c>
      <c r="O41" s="379">
        <v>1.0473448302227259E-2</v>
      </c>
      <c r="P41" s="379">
        <v>1.790069034429281E-2</v>
      </c>
      <c r="R41" s="379"/>
    </row>
    <row r="42" spans="3:18" ht="15.75">
      <c r="C42" t="s">
        <v>1680</v>
      </c>
      <c r="D42" s="276" cm="1">
        <f t="array" ref="D42">_xll.BDP(C42&amp;" EQUITY","eqy_beta")</f>
        <v>0.54387730360031128</v>
      </c>
      <c r="F42" s="153" cm="1">
        <f t="array" ref="F42">_xll.BDP($C42&amp;" Equity","volatility_10d")/100</f>
        <v>0.22164518968881702</v>
      </c>
      <c r="G42" s="153" cm="1">
        <f t="array" ref="G42">_xll.BDP($C42&amp;" Equity","volatility_30d")/100</f>
        <v>0.24519371853282246</v>
      </c>
      <c r="K42" s="373" t="s">
        <v>90</v>
      </c>
      <c r="L42" s="371">
        <v>-6.2572785972485057E-3</v>
      </c>
      <c r="M42" s="374">
        <v>-1.1994344461055253</v>
      </c>
      <c r="N42" s="372">
        <v>7.426914807117521E-3</v>
      </c>
      <c r="O42" s="372">
        <v>8.792129380292845E-3</v>
      </c>
      <c r="P42" s="372">
        <v>1.6219371422358395E-2</v>
      </c>
      <c r="Q42" s="372">
        <f>R42-P42</f>
        <v>-3.7193714223583939E-3</v>
      </c>
      <c r="R42" s="372">
        <v>1.2500000000000001E-2</v>
      </c>
    </row>
    <row r="43" spans="3:18" ht="15.75">
      <c r="C43" t="s">
        <v>1686</v>
      </c>
      <c r="D43" s="276" cm="1">
        <f t="array" ref="D43">_xll.BDP(C43&amp;" EQUITY","eqy_beta")</f>
        <v>0.74694424867630005</v>
      </c>
      <c r="F43" s="153" cm="1">
        <f t="array" ref="F43">_xll.BDP($C43&amp;" Equity","volatility_10d")/100</f>
        <v>0.17334536377324383</v>
      </c>
      <c r="G43" s="153" cm="1">
        <f t="array" ref="G43">_xll.BDP($C43&amp;" Equity","volatility_30d")/100</f>
        <v>0.20020524965967801</v>
      </c>
      <c r="K43" s="373" t="s">
        <v>1887</v>
      </c>
      <c r="L43" s="371">
        <v>-5.2642408861757861E-2</v>
      </c>
      <c r="M43" s="374">
        <v>-0.96647449411409159</v>
      </c>
      <c r="N43" s="372">
        <v>0</v>
      </c>
      <c r="O43" s="372">
        <v>1.6813189219344138E-3</v>
      </c>
      <c r="P43" s="372">
        <v>1.6813189219344138E-3</v>
      </c>
      <c r="Q43" s="372">
        <f>R43-P43</f>
        <v>-6.8131892193441378E-4</v>
      </c>
      <c r="R43" s="372">
        <v>1E-3</v>
      </c>
    </row>
    <row r="44" spans="3:18" ht="15.75">
      <c r="C44" t="s">
        <v>93</v>
      </c>
      <c r="D44" s="276" cm="1">
        <f t="array" ref="D44">_xll.BDP(C44&amp;" EQUITY","eqy_beta")</f>
        <v>0.65844494104385376</v>
      </c>
      <c r="F44" s="153" cm="1">
        <f t="array" ref="F44">_xll.BDP($C44&amp;" Equity","volatility_10d")/100</f>
        <v>0.93990658342667333</v>
      </c>
      <c r="G44" s="153" cm="1">
        <f t="array" ref="G44">_xll.BDP($C44&amp;" Equity","volatility_30d")/100</f>
        <v>0.69614777643073888</v>
      </c>
      <c r="K44" s="376" t="s">
        <v>1880</v>
      </c>
      <c r="L44" s="377">
        <v>-1.5317902816898016E-2</v>
      </c>
      <c r="M44" s="378">
        <v>-1.4805052895405777</v>
      </c>
      <c r="N44" s="379">
        <v>2.2698465837621799E-3</v>
      </c>
      <c r="O44" s="379">
        <v>9.6786193156367471E-3</v>
      </c>
      <c r="P44" s="379">
        <v>1.1948465899398925E-2</v>
      </c>
      <c r="R44" s="379"/>
    </row>
    <row r="45" spans="3:18" ht="15.75">
      <c r="C45" t="s">
        <v>92</v>
      </c>
      <c r="D45" s="276" cm="1">
        <f t="array" ref="D45">_xll.BDP(C45&amp;" EQUITY","eqy_beta")</f>
        <v>0.56344544887542725</v>
      </c>
      <c r="F45" s="153" cm="1">
        <f t="array" ref="F45">_xll.BDP($C45&amp;" Equity","volatility_10d")/100</f>
        <v>0.71810503561486383</v>
      </c>
      <c r="G45" s="153" cm="1">
        <f t="array" ref="G45">_xll.BDP($C45&amp;" Equity","volatility_30d")/100</f>
        <v>0.6021408760519158</v>
      </c>
      <c r="K45" s="373" t="s">
        <v>94</v>
      </c>
      <c r="L45" s="371">
        <v>-1.4552118141639703E-3</v>
      </c>
      <c r="M45" s="374">
        <v>-0.12432534684415254</v>
      </c>
      <c r="N45" s="372">
        <v>1.543887739934495E-3</v>
      </c>
      <c r="O45" s="372">
        <v>2.9553410385488818E-3</v>
      </c>
      <c r="P45" s="372">
        <v>4.4992287784833768E-3</v>
      </c>
      <c r="Q45" s="372">
        <f>R45-P45</f>
        <v>-9.9922877848337673E-4</v>
      </c>
      <c r="R45" s="372">
        <v>3.5000000000000001E-3</v>
      </c>
    </row>
    <row r="46" spans="3:18" ht="15.75">
      <c r="K46" s="373" t="s">
        <v>96</v>
      </c>
      <c r="L46" s="371">
        <v>-1.6534391534391513E-2</v>
      </c>
      <c r="M46" s="374">
        <v>-0.9982406526329215</v>
      </c>
      <c r="N46" s="372">
        <v>0</v>
      </c>
      <c r="O46" s="372">
        <v>5.1455045378578784E-3</v>
      </c>
      <c r="P46" s="372">
        <v>5.1455045378578784E-3</v>
      </c>
      <c r="Q46" s="372">
        <f>R46-P46</f>
        <v>-1.1455045378578783E-3</v>
      </c>
      <c r="R46" s="372">
        <v>4.0000000000000001E-3</v>
      </c>
    </row>
    <row r="47" spans="3:18" ht="15.75">
      <c r="K47" s="373" t="s">
        <v>1850</v>
      </c>
      <c r="L47" s="371">
        <v>-2.6798655211057065E-2</v>
      </c>
      <c r="M47" s="374">
        <v>1.5852618559466514E-2</v>
      </c>
      <c r="N47" s="372">
        <v>-7.9358043150606667E-4</v>
      </c>
      <c r="O47" s="372">
        <v>9.8607657949751791E-4</v>
      </c>
      <c r="P47" s="372">
        <v>1.9249614799145119E-4</v>
      </c>
      <c r="Q47" s="372">
        <f>R47-P47</f>
        <v>-1.9249614799145119E-4</v>
      </c>
      <c r="R47" s="372">
        <v>0</v>
      </c>
    </row>
    <row r="48" spans="3:18" ht="15.75">
      <c r="K48" s="373" t="s">
        <v>137</v>
      </c>
      <c r="L48" s="371">
        <v>-1.6483352707979515E-2</v>
      </c>
      <c r="M48" s="374">
        <v>-0.37379190862297018</v>
      </c>
      <c r="N48" s="372">
        <v>1.5195392753337515E-3</v>
      </c>
      <c r="O48" s="372">
        <v>5.9169715973246908E-4</v>
      </c>
      <c r="P48" s="372">
        <v>2.1112364350662207E-3</v>
      </c>
      <c r="Q48" s="372">
        <f>R48-P48</f>
        <v>-6.1123643506622071E-4</v>
      </c>
      <c r="R48" s="372">
        <v>1.5E-3</v>
      </c>
    </row>
    <row r="49" spans="11:18" ht="15.75">
      <c r="K49" s="376" t="s">
        <v>1677</v>
      </c>
      <c r="L49" s="377">
        <v>-8.4026174193907455E-4</v>
      </c>
      <c r="M49" s="378">
        <v>-1.7578782910323221E-2</v>
      </c>
      <c r="N49" s="379">
        <v>-1.5669404759838411E-3</v>
      </c>
      <c r="O49" s="379">
        <v>2.4004823085147778E-3</v>
      </c>
      <c r="P49" s="379">
        <v>8.3354183253093669E-4</v>
      </c>
      <c r="R49" s="379"/>
    </row>
    <row r="50" spans="11:18" ht="15.75">
      <c r="K50" s="373" t="s">
        <v>1678</v>
      </c>
      <c r="L50" s="371">
        <v>-1.2919896640827266E-3</v>
      </c>
      <c r="M50" s="374">
        <v>-7.1821978952513466E-2</v>
      </c>
      <c r="N50" s="372">
        <v>1.3471744978480506E-3</v>
      </c>
      <c r="O50" s="372">
        <v>2.4004823085147778E-3</v>
      </c>
      <c r="P50" s="372">
        <v>3.7476568063628283E-3</v>
      </c>
      <c r="R50" s="372"/>
    </row>
    <row r="51" spans="11:18" ht="15.75">
      <c r="K51" s="373" t="s">
        <v>1679</v>
      </c>
      <c r="L51" s="371">
        <v>7.8093442843678584E-3</v>
      </c>
      <c r="M51" s="374">
        <v>-9.7169632839115672E-2</v>
      </c>
      <c r="N51" s="372">
        <v>-1.2539908651737638E-3</v>
      </c>
      <c r="O51" s="372">
        <v>0</v>
      </c>
      <c r="P51" s="372">
        <v>-1.2539908651737638E-3</v>
      </c>
      <c r="R51" s="372"/>
    </row>
    <row r="52" spans="11:18" ht="15.75">
      <c r="K52" s="373" t="s">
        <v>1680</v>
      </c>
      <c r="L52" s="371">
        <v>-9.0381398461023554E-3</v>
      </c>
      <c r="M52" s="374">
        <v>0.15141282888130592</v>
      </c>
      <c r="N52" s="372">
        <v>-1.6601241086581279E-3</v>
      </c>
      <c r="O52" s="372">
        <v>0</v>
      </c>
      <c r="P52" s="372">
        <v>-1.6601241086581279E-3</v>
      </c>
      <c r="R52" s="372"/>
    </row>
    <row r="53" spans="11:18" ht="15.75">
      <c r="K53" s="376" t="s">
        <v>1895</v>
      </c>
      <c r="L53" s="377">
        <v>8.5655571165981219E-4</v>
      </c>
      <c r="M53" s="378">
        <v>0.30047010447379285</v>
      </c>
      <c r="N53" s="379">
        <v>2.4558330120338706E-3</v>
      </c>
      <c r="O53" s="379">
        <v>4.083701484987501E-3</v>
      </c>
      <c r="P53" s="379">
        <v>6.5395344970213716E-3</v>
      </c>
      <c r="R53" s="379"/>
    </row>
    <row r="54" spans="11:18" ht="15.75">
      <c r="K54" s="373" t="s">
        <v>92</v>
      </c>
      <c r="L54" s="371">
        <v>-2.0689655172413945E-2</v>
      </c>
      <c r="M54" s="374">
        <v>-0.14686408904255172</v>
      </c>
      <c r="N54" s="372">
        <v>6.9515668813474141E-4</v>
      </c>
      <c r="O54" s="372">
        <v>0</v>
      </c>
      <c r="P54" s="372">
        <v>6.9515668813474141E-4</v>
      </c>
      <c r="R54" s="372"/>
    </row>
    <row r="55" spans="11:18" ht="15.75">
      <c r="K55" s="373" t="s">
        <v>93</v>
      </c>
      <c r="L55" s="371">
        <v>-2.6907036189963707E-3</v>
      </c>
      <c r="M55" s="374">
        <v>-1.8493996397951615E-2</v>
      </c>
      <c r="N55" s="372">
        <v>4.83868218698858E-4</v>
      </c>
      <c r="O55" s="372">
        <v>2.5123589968408243E-4</v>
      </c>
      <c r="P55" s="372">
        <v>7.3510411838294048E-4</v>
      </c>
      <c r="R55" s="372"/>
    </row>
    <row r="56" spans="11:18" ht="15.75">
      <c r="K56" s="373" t="s">
        <v>1693</v>
      </c>
      <c r="L56" s="371">
        <v>6.5590866677642801E-3</v>
      </c>
      <c r="M56" s="374">
        <v>0.11670799609248043</v>
      </c>
      <c r="N56" s="372">
        <v>1.276808105200271E-3</v>
      </c>
      <c r="O56" s="372">
        <v>6.7729666444606672E-4</v>
      </c>
      <c r="P56" s="372">
        <v>1.9541047696463375E-3</v>
      </c>
      <c r="R56" s="372"/>
    </row>
    <row r="57" spans="11:18" ht="15.75">
      <c r="K57" s="373" t="s">
        <v>484</v>
      </c>
      <c r="L57" s="371">
        <v>8.594130047024473E-3</v>
      </c>
      <c r="M57" s="374">
        <v>0.16635599412441882</v>
      </c>
      <c r="N57" s="372">
        <v>0</v>
      </c>
      <c r="O57" s="372">
        <v>1.544348871542936E-3</v>
      </c>
      <c r="P57" s="372">
        <v>1.544348871542936E-3</v>
      </c>
      <c r="R57" s="372"/>
    </row>
    <row r="58" spans="11:18" ht="15.75">
      <c r="K58" s="373" t="s">
        <v>1910</v>
      </c>
      <c r="L58" s="371">
        <v>1.2509920634920624E-2</v>
      </c>
      <c r="M58" s="374">
        <v>0.18276419969739696</v>
      </c>
      <c r="N58" s="372">
        <v>0</v>
      </c>
      <c r="O58" s="372">
        <v>1.6108200493144163E-3</v>
      </c>
      <c r="P58" s="372">
        <v>1.6108200493144163E-3</v>
      </c>
      <c r="R58" s="372"/>
    </row>
    <row r="59" spans="11:18" ht="15.75">
      <c r="K59" s="380" t="s">
        <v>97</v>
      </c>
      <c r="L59" s="381">
        <v>-8.037222487176969E-3</v>
      </c>
      <c r="M59" s="382">
        <v>-4.2480548993153455</v>
      </c>
      <c r="N59" s="383">
        <v>6.0748468456893858E-3</v>
      </c>
      <c r="O59" s="383">
        <v>3.17934865732169E-2</v>
      </c>
      <c r="P59" s="383">
        <v>3.7868660653854309E-2</v>
      </c>
      <c r="R59" s="383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663" priority="6" operator="lessThan">
      <formula>0</formula>
    </cfRule>
  </conditionalFormatting>
  <conditionalFormatting sqref="L23:O59">
    <cfRule type="cellIs" dxfId="1662" priority="5" operator="lessThan">
      <formula>0</formula>
    </cfRule>
  </conditionalFormatting>
  <conditionalFormatting sqref="R23:R59">
    <cfRule type="cellIs" dxfId="1661" priority="4" operator="lessThan">
      <formula>0</formula>
    </cfRule>
  </conditionalFormatting>
  <conditionalFormatting sqref="Q45:Q48">
    <cfRule type="cellIs" dxfId="1660" priority="3" operator="lessThan">
      <formula>0</formula>
    </cfRule>
  </conditionalFormatting>
  <conditionalFormatting sqref="Q42:Q43">
    <cfRule type="cellIs" dxfId="1659" priority="2" operator="lessThan">
      <formula>0</formula>
    </cfRule>
  </conditionalFormatting>
  <conditionalFormatting sqref="Q39">
    <cfRule type="cellIs" dxfId="1658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80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90"/>
      <c r="F3" s="6" t="s">
        <v>1977</v>
      </c>
      <c r="K3" s="6" t="s">
        <v>1978</v>
      </c>
      <c r="M3" s="6" t="s">
        <v>1979</v>
      </c>
    </row>
    <row r="4" spans="4:15">
      <c r="D4" s="6" t="s">
        <v>1966</v>
      </c>
      <c r="E4" s="390" t="s">
        <v>1967</v>
      </c>
      <c r="F4" s="6" t="s">
        <v>1971</v>
      </c>
      <c r="G4" s="6" t="s">
        <v>1972</v>
      </c>
      <c r="H4" s="6"/>
      <c r="I4" s="6" t="s">
        <v>1959</v>
      </c>
      <c r="J4" s="6" t="s">
        <v>1968</v>
      </c>
      <c r="K4" s="6" t="s">
        <v>1972</v>
      </c>
      <c r="L4" s="6"/>
      <c r="M4" s="6" t="s">
        <v>1969</v>
      </c>
    </row>
    <row r="5" spans="4:15">
      <c r="D5" t="s">
        <v>1965</v>
      </c>
      <c r="E5" s="80">
        <v>45960</v>
      </c>
      <c r="F5" s="267">
        <v>140</v>
      </c>
      <c r="G5" s="267" t="s">
        <v>1976</v>
      </c>
      <c r="H5" s="267"/>
      <c r="I5" s="267">
        <v>44</v>
      </c>
      <c r="J5" s="267">
        <v>12.5</v>
      </c>
      <c r="K5" s="267">
        <f>I5-J5</f>
        <v>31.5</v>
      </c>
      <c r="L5" s="267"/>
      <c r="M5" s="280">
        <f>F5/K5</f>
        <v>4.4444444444444446</v>
      </c>
      <c r="N5" s="267"/>
      <c r="O5" s="267"/>
    </row>
    <row r="6" spans="4:15">
      <c r="D6" t="s">
        <v>1975</v>
      </c>
      <c r="E6" s="80">
        <v>45960</v>
      </c>
      <c r="F6" s="267">
        <v>65</v>
      </c>
      <c r="G6" s="267">
        <v>32</v>
      </c>
      <c r="H6" s="267"/>
      <c r="I6" s="267">
        <v>26</v>
      </c>
      <c r="J6" s="267">
        <v>5</v>
      </c>
      <c r="K6" s="267">
        <f>I6-J6</f>
        <v>21</v>
      </c>
      <c r="L6" s="267"/>
      <c r="M6" s="280">
        <f>F6/K6</f>
        <v>3.0952380952380953</v>
      </c>
      <c r="N6" s="267"/>
      <c r="O6" s="267"/>
    </row>
    <row r="7" spans="4:15">
      <c r="F7" s="267"/>
      <c r="G7" s="267"/>
      <c r="H7" s="267"/>
      <c r="I7" s="267"/>
      <c r="J7" s="267"/>
      <c r="K7" s="267"/>
      <c r="L7" s="267"/>
      <c r="M7" s="280"/>
      <c r="N7" s="267"/>
      <c r="O7" s="267"/>
    </row>
    <row r="8" spans="4:15">
      <c r="D8" t="s">
        <v>1970</v>
      </c>
      <c r="E8" s="80">
        <v>45959</v>
      </c>
      <c r="F8" s="267">
        <v>95</v>
      </c>
      <c r="G8" s="267">
        <v>44</v>
      </c>
      <c r="H8" s="267"/>
      <c r="I8" s="267">
        <v>41</v>
      </c>
      <c r="J8" s="267">
        <v>12.5</v>
      </c>
      <c r="K8" s="267">
        <f>I8-J8</f>
        <v>28.5</v>
      </c>
      <c r="L8" s="267"/>
      <c r="M8" s="280">
        <f>F8/K8</f>
        <v>3.3333333333333335</v>
      </c>
      <c r="N8" s="267"/>
      <c r="O8" s="267"/>
    </row>
    <row r="9" spans="4:15">
      <c r="D9" t="s">
        <v>1973</v>
      </c>
      <c r="E9" s="80">
        <v>45959</v>
      </c>
      <c r="F9" s="267">
        <v>95</v>
      </c>
      <c r="G9" s="267">
        <v>75</v>
      </c>
      <c r="H9" s="267"/>
      <c r="I9" s="267">
        <v>42</v>
      </c>
      <c r="J9" s="267">
        <v>12.5</v>
      </c>
      <c r="K9" s="267">
        <f>I9-J9</f>
        <v>29.5</v>
      </c>
      <c r="L9" s="267"/>
      <c r="M9" s="280">
        <f>F9/K9</f>
        <v>3.2203389830508473</v>
      </c>
      <c r="N9" s="267"/>
      <c r="O9" s="267"/>
    </row>
    <row r="10" spans="4:15">
      <c r="D10" t="s">
        <v>1974</v>
      </c>
      <c r="E10" s="80">
        <v>45959</v>
      </c>
      <c r="F10" s="267">
        <v>72</v>
      </c>
      <c r="G10" s="267">
        <v>30</v>
      </c>
      <c r="H10" s="267"/>
      <c r="I10" s="267">
        <v>30</v>
      </c>
      <c r="J10" s="267">
        <v>7.5</v>
      </c>
      <c r="K10" s="267">
        <f>I10-J10</f>
        <v>22.5</v>
      </c>
      <c r="L10" s="267"/>
      <c r="M10" s="280">
        <f>F10/K10</f>
        <v>3.2</v>
      </c>
      <c r="N10" s="267"/>
      <c r="O10" s="267"/>
    </row>
    <row r="11" spans="4:15">
      <c r="F11" s="267"/>
      <c r="G11" s="267"/>
      <c r="H11" s="267"/>
      <c r="I11" s="267"/>
      <c r="J11" s="267"/>
      <c r="K11" s="267"/>
      <c r="L11" s="267"/>
      <c r="M11" s="280"/>
      <c r="N11" s="267"/>
      <c r="O11" s="267"/>
    </row>
    <row r="12" spans="4:15">
      <c r="F12" s="267"/>
      <c r="G12" s="267"/>
      <c r="H12" s="267"/>
      <c r="I12" s="267"/>
      <c r="J12" s="267"/>
      <c r="K12" s="267"/>
      <c r="L12" s="267"/>
      <c r="M12" s="280"/>
      <c r="N12" s="267"/>
      <c r="O12" s="267"/>
    </row>
    <row r="13" spans="4:15">
      <c r="F13" s="267"/>
      <c r="G13" s="267"/>
      <c r="H13" s="267"/>
      <c r="I13" s="267"/>
      <c r="J13" s="267"/>
      <c r="K13" s="267"/>
      <c r="L13" s="267"/>
      <c r="M13" s="280"/>
      <c r="N13" s="267"/>
      <c r="O13" s="267"/>
    </row>
    <row r="14" spans="4:15">
      <c r="F14" s="267"/>
      <c r="G14" s="267"/>
      <c r="H14" s="267"/>
      <c r="I14" s="267"/>
      <c r="J14" s="267"/>
      <c r="K14" s="267"/>
      <c r="L14" s="267"/>
      <c r="M14" s="280"/>
      <c r="N14" s="267"/>
      <c r="O14" s="267"/>
    </row>
    <row r="15" spans="4:15">
      <c r="F15" s="267"/>
      <c r="G15" s="267"/>
      <c r="H15" s="267"/>
      <c r="I15" s="267"/>
      <c r="J15" s="267"/>
      <c r="K15" s="267"/>
      <c r="L15" s="267"/>
      <c r="M15" s="267"/>
      <c r="N15" s="267"/>
      <c r="O15" s="26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7"/>
      <c r="C6" s="57"/>
      <c r="D6" s="57" t="s">
        <v>1960</v>
      </c>
      <c r="E6" s="388" t="s">
        <v>1962</v>
      </c>
      <c r="F6" s="57" t="s">
        <v>1961</v>
      </c>
      <c r="G6" s="388" t="s">
        <v>1962</v>
      </c>
      <c r="H6" s="388" t="s">
        <v>1963</v>
      </c>
      <c r="J6" s="57"/>
      <c r="K6" s="57"/>
      <c r="L6" s="57" t="s">
        <v>1960</v>
      </c>
      <c r="M6" s="388" t="s">
        <v>1962</v>
      </c>
      <c r="N6" s="57" t="s">
        <v>1961</v>
      </c>
      <c r="O6" s="388" t="s">
        <v>1962</v>
      </c>
      <c r="P6" s="57" t="s">
        <v>1964</v>
      </c>
      <c r="Q6" s="388" t="s">
        <v>1962</v>
      </c>
      <c r="R6" s="388" t="s">
        <v>1963</v>
      </c>
      <c r="T6" s="57"/>
      <c r="U6" s="57"/>
      <c r="V6" s="57" t="s">
        <v>1960</v>
      </c>
      <c r="W6" s="388" t="s">
        <v>1962</v>
      </c>
      <c r="X6" s="57" t="s">
        <v>1961</v>
      </c>
      <c r="Y6" s="388" t="s">
        <v>1962</v>
      </c>
      <c r="Z6" s="57" t="s">
        <v>1964</v>
      </c>
      <c r="AA6" s="388" t="s">
        <v>1962</v>
      </c>
      <c r="AB6" s="388" t="s">
        <v>1963</v>
      </c>
    </row>
    <row r="7" spans="2:28">
      <c r="B7" t="s">
        <v>1958</v>
      </c>
      <c r="C7" s="386">
        <v>45658</v>
      </c>
      <c r="D7">
        <v>30</v>
      </c>
      <c r="E7" s="387">
        <f>D7/15.9</f>
        <v>1.8867924528301887</v>
      </c>
      <c r="F7">
        <v>45</v>
      </c>
      <c r="G7" s="387">
        <f>F7/15.9</f>
        <v>2.8301886792452828</v>
      </c>
      <c r="H7" s="389">
        <v>1.55</v>
      </c>
      <c r="J7" t="s">
        <v>1958</v>
      </c>
      <c r="K7" s="386">
        <v>45658</v>
      </c>
      <c r="L7">
        <v>31.5</v>
      </c>
      <c r="M7" s="387">
        <f>L7/15.9</f>
        <v>1.9811320754716981</v>
      </c>
      <c r="N7">
        <v>23</v>
      </c>
      <c r="O7" s="387">
        <f>N7/15.9</f>
        <v>1.4465408805031446</v>
      </c>
      <c r="P7">
        <v>43</v>
      </c>
      <c r="Q7" s="387">
        <f>P7/15.9</f>
        <v>2.7044025157232703</v>
      </c>
      <c r="R7" s="389">
        <v>-6.2</v>
      </c>
      <c r="T7" t="s">
        <v>1958</v>
      </c>
      <c r="U7" s="386">
        <v>45658</v>
      </c>
      <c r="V7">
        <v>31.5</v>
      </c>
      <c r="W7" s="387">
        <f>V7/15.9</f>
        <v>1.9811320754716981</v>
      </c>
      <c r="X7">
        <v>23</v>
      </c>
      <c r="Y7" s="387">
        <f>X7/15.9</f>
        <v>1.4465408805031446</v>
      </c>
      <c r="Z7">
        <v>43</v>
      </c>
      <c r="AA7" s="387">
        <f>Z7/15.9</f>
        <v>2.7044025157232703</v>
      </c>
      <c r="AB7" s="389">
        <v>-6.2</v>
      </c>
    </row>
    <row r="8" spans="2:28">
      <c r="B8" t="s">
        <v>1955</v>
      </c>
      <c r="C8" s="386">
        <v>45748</v>
      </c>
      <c r="D8">
        <v>67</v>
      </c>
      <c r="E8" s="387">
        <f>D8/15.9</f>
        <v>4.2138364779874209</v>
      </c>
      <c r="F8">
        <v>47</v>
      </c>
      <c r="G8" s="387">
        <f>F8/15.9</f>
        <v>2.9559748427672954</v>
      </c>
      <c r="H8" s="389">
        <v>4.2300000000000004</v>
      </c>
      <c r="J8" t="s">
        <v>1955</v>
      </c>
      <c r="K8" s="386">
        <v>45748</v>
      </c>
      <c r="L8">
        <v>41.2</v>
      </c>
      <c r="M8" s="387">
        <f>L8/15.9</f>
        <v>2.5911949685534594</v>
      </c>
      <c r="N8">
        <v>32</v>
      </c>
      <c r="O8" s="387">
        <f t="shared" ref="O8:Q10" si="0">N8/15.9</f>
        <v>2.0125786163522013</v>
      </c>
      <c r="P8">
        <v>32</v>
      </c>
      <c r="Q8" s="387">
        <f t="shared" si="0"/>
        <v>2.0125786163522013</v>
      </c>
      <c r="R8" s="389">
        <v>7.6</v>
      </c>
      <c r="T8" t="s">
        <v>1955</v>
      </c>
      <c r="U8" s="386">
        <v>45748</v>
      </c>
      <c r="V8">
        <v>41.2</v>
      </c>
      <c r="W8" s="387">
        <f>V8/15.9</f>
        <v>2.5911949685534594</v>
      </c>
      <c r="X8">
        <v>32</v>
      </c>
      <c r="Y8" s="387">
        <f>X8/15.9</f>
        <v>2.0125786163522013</v>
      </c>
      <c r="Z8">
        <v>32</v>
      </c>
      <c r="AA8" s="387">
        <f>Z8/15.9</f>
        <v>2.0125786163522013</v>
      </c>
      <c r="AB8" s="389">
        <v>7.6</v>
      </c>
    </row>
    <row r="9" spans="2:28">
      <c r="B9" t="s">
        <v>1956</v>
      </c>
      <c r="C9" s="386">
        <v>45839</v>
      </c>
      <c r="D9">
        <v>21</v>
      </c>
      <c r="E9" s="387">
        <f>D9/15.9</f>
        <v>1.320754716981132</v>
      </c>
      <c r="F9">
        <v>36</v>
      </c>
      <c r="G9" s="387">
        <f>F9/15.9</f>
        <v>2.2641509433962264</v>
      </c>
      <c r="H9" s="389">
        <v>11.25</v>
      </c>
      <c r="J9" t="s">
        <v>1956</v>
      </c>
      <c r="K9" s="386">
        <v>45839</v>
      </c>
      <c r="L9">
        <v>11.5</v>
      </c>
      <c r="M9" s="387">
        <f>L9/15.9</f>
        <v>0.72327044025157228</v>
      </c>
      <c r="N9">
        <v>23</v>
      </c>
      <c r="O9" s="387">
        <f t="shared" si="0"/>
        <v>1.4465408805031446</v>
      </c>
      <c r="P9">
        <v>23</v>
      </c>
      <c r="Q9" s="387">
        <f t="shared" si="0"/>
        <v>1.4465408805031446</v>
      </c>
      <c r="R9" s="389">
        <v>3.95</v>
      </c>
      <c r="T9" t="s">
        <v>1956</v>
      </c>
      <c r="U9" s="386">
        <v>45839</v>
      </c>
      <c r="V9">
        <v>11.5</v>
      </c>
      <c r="W9" s="387">
        <f>V9/15.9</f>
        <v>0.72327044025157228</v>
      </c>
      <c r="X9">
        <v>23</v>
      </c>
      <c r="Y9" s="387">
        <f>X9/15.9</f>
        <v>1.4465408805031446</v>
      </c>
      <c r="Z9">
        <v>23</v>
      </c>
      <c r="AA9" s="387">
        <f>Z9/15.9</f>
        <v>1.4465408805031446</v>
      </c>
      <c r="AB9" s="389">
        <v>3.95</v>
      </c>
    </row>
    <row r="10" spans="2:28">
      <c r="B10" t="s">
        <v>1957</v>
      </c>
      <c r="C10" s="386">
        <v>45931</v>
      </c>
      <c r="D10">
        <v>23</v>
      </c>
      <c r="E10" s="387">
        <f>D10/15.9</f>
        <v>1.4465408805031446</v>
      </c>
      <c r="F10">
        <v>41</v>
      </c>
      <c r="G10" s="387">
        <f>F10/15.9</f>
        <v>2.5786163522012577</v>
      </c>
      <c r="H10" s="389">
        <v>-11.33</v>
      </c>
      <c r="J10" t="s">
        <v>1957</v>
      </c>
      <c r="K10" s="386">
        <v>45931</v>
      </c>
      <c r="L10">
        <v>15.1</v>
      </c>
      <c r="M10" s="387">
        <f>L10/15.9</f>
        <v>0.94968553459119498</v>
      </c>
      <c r="N10">
        <v>30</v>
      </c>
      <c r="O10" s="387">
        <f t="shared" si="0"/>
        <v>1.8867924528301887</v>
      </c>
      <c r="P10">
        <v>30</v>
      </c>
      <c r="Q10" s="387">
        <f t="shared" si="0"/>
        <v>1.8867924528301887</v>
      </c>
      <c r="R10" s="389">
        <v>-2.9</v>
      </c>
      <c r="T10" t="s">
        <v>1957</v>
      </c>
      <c r="U10" s="386">
        <v>45931</v>
      </c>
      <c r="V10">
        <v>15.1</v>
      </c>
      <c r="W10" s="387">
        <f>V10/15.9</f>
        <v>0.94968553459119498</v>
      </c>
      <c r="X10">
        <v>30</v>
      </c>
      <c r="Y10" s="387">
        <f>X10/15.9</f>
        <v>1.8867924528301887</v>
      </c>
      <c r="Z10">
        <v>30</v>
      </c>
      <c r="AA10" s="387">
        <f>Z10/15.9</f>
        <v>1.8867924528301887</v>
      </c>
      <c r="AB10" s="389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9" zoomScale="80" zoomScaleNormal="80" zoomScaleSheetLayoutView="85" workbookViewId="0">
      <selection activeCell="I41" sqref="I41"/>
    </sheetView>
  </sheetViews>
  <sheetFormatPr defaultColWidth="9.140625" defaultRowHeight="15.75" outlineLevelCol="1"/>
  <cols>
    <col min="1" max="1" width="18.5703125" style="282" bestFit="1" customWidth="1"/>
    <col min="2" max="2" width="10.140625" style="283" bestFit="1" customWidth="1" outlineLevel="1"/>
    <col min="3" max="5" width="9.28515625" style="284" customWidth="1" outlineLevel="1"/>
    <col min="6" max="6" width="8.42578125" style="284" bestFit="1" customWidth="1"/>
    <col min="7" max="7" width="11.7109375" style="284" customWidth="1"/>
    <col min="8" max="8" width="9.28515625" style="284" customWidth="1" outlineLevel="1"/>
    <col min="9" max="9" width="10.140625" style="291" customWidth="1"/>
    <col min="10" max="10" width="10.140625" style="286" customWidth="1"/>
    <col min="11" max="12" width="9.140625" style="286"/>
    <col min="13" max="13" width="14.7109375" style="286" bestFit="1" customWidth="1"/>
    <col min="14" max="18" width="9.140625" style="286"/>
    <col min="19" max="21" width="11.85546875" style="286" customWidth="1"/>
    <col min="22" max="24" width="7.7109375" style="287" customWidth="1"/>
    <col min="25" max="25" width="2.5703125" style="287" customWidth="1"/>
    <col min="26" max="26" width="9.28515625" style="287" bestFit="1" customWidth="1"/>
    <col min="27" max="28" width="7.7109375" style="288" customWidth="1"/>
    <col min="29" max="29" width="7.7109375" style="286" customWidth="1"/>
    <col min="30" max="35" width="9.140625" style="286"/>
    <col min="36" max="36" width="9.28515625" style="286" bestFit="1" customWidth="1"/>
    <col min="37" max="38" width="9.140625" style="286"/>
    <col min="39" max="39" width="9.28515625" style="286" bestFit="1" customWidth="1"/>
    <col min="40" max="16384" width="9.140625" style="286"/>
  </cols>
  <sheetData>
    <row r="1" spans="1:28">
      <c r="I1" s="285"/>
      <c r="J1" s="286" t="str" cm="1">
        <f t="array" ref="J1">_xll.BDP(A1&amp;" Equity","PX_YEST_CLOSE")</f>
        <v>#N/A Invalid Security</v>
      </c>
    </row>
    <row r="2" spans="1:28">
      <c r="A2" s="289"/>
      <c r="C2" s="290"/>
    </row>
    <row r="3" spans="1:28" ht="16.5" thickBot="1">
      <c r="A3" s="292"/>
      <c r="B3" s="293"/>
      <c r="C3" s="294" t="s">
        <v>62</v>
      </c>
      <c r="D3" s="295"/>
      <c r="E3" s="294"/>
      <c r="F3" s="294" t="s">
        <v>63</v>
      </c>
      <c r="G3" s="296"/>
      <c r="H3" s="294"/>
    </row>
    <row r="4" spans="1:28">
      <c r="A4" s="297" t="s">
        <v>64</v>
      </c>
      <c r="C4" s="298">
        <f>'Master P&amp;L'!V5</f>
        <v>5.4209259859954519</v>
      </c>
      <c r="F4" s="284">
        <f>'Master P&amp;L'!U5</f>
        <v>2.341319487751381E-2</v>
      </c>
    </row>
    <row r="5" spans="1:28">
      <c r="A5" s="297" t="s">
        <v>65</v>
      </c>
      <c r="C5" s="298">
        <f>'Master P&amp;L'!V6</f>
        <v>-5.970726280464457E-2</v>
      </c>
      <c r="F5" s="284">
        <f>'Master P&amp;L'!U6</f>
        <v>-3.8883754363231559E-3</v>
      </c>
    </row>
    <row r="6" spans="1:28" s="304" customFormat="1">
      <c r="A6" s="299" t="s">
        <v>66</v>
      </c>
      <c r="B6" s="300"/>
      <c r="C6" s="301">
        <f>'Master P&amp;L'!V7</f>
        <v>5.3612187231908077</v>
      </c>
      <c r="D6" s="302"/>
      <c r="E6" s="302"/>
      <c r="F6" s="302">
        <f>'Master P&amp;L'!U7</f>
        <v>1.9524819441190652E-2</v>
      </c>
      <c r="G6" s="302"/>
      <c r="H6" s="302"/>
      <c r="I6" s="303"/>
      <c r="V6" s="305"/>
      <c r="W6" s="305"/>
      <c r="X6" s="305"/>
      <c r="Y6" s="305"/>
      <c r="Z6" s="305"/>
      <c r="AA6" s="288"/>
      <c r="AB6" s="288"/>
    </row>
    <row r="7" spans="1:28">
      <c r="A7" s="297" t="s">
        <v>67</v>
      </c>
      <c r="F7" s="284">
        <f>'Master P&amp;L'!U8</f>
        <v>2.7301570313836968E-2</v>
      </c>
    </row>
    <row r="8" spans="1:28">
      <c r="A8" s="306" t="s">
        <v>68</v>
      </c>
      <c r="B8" s="307"/>
      <c r="C8" s="308">
        <f>'Master P&amp;L'!V7*'Master P&amp;L'!AD5/10000</f>
        <v>1204148.525950474</v>
      </c>
      <c r="D8" s="290"/>
      <c r="E8" s="290"/>
      <c r="F8" s="290"/>
      <c r="G8" s="290"/>
      <c r="H8" s="290"/>
    </row>
    <row r="9" spans="1:28" ht="16.5" thickBot="1">
      <c r="A9" s="309" t="s">
        <v>69</v>
      </c>
      <c r="B9" s="310"/>
      <c r="C9" s="311">
        <f>C8*'Master P&amp;L'!AC3</f>
        <v>6243750.9367583981</v>
      </c>
      <c r="D9" s="312"/>
      <c r="E9" s="312"/>
      <c r="F9" s="312"/>
      <c r="G9" s="313"/>
      <c r="H9" s="312"/>
    </row>
    <row r="10" spans="1:28">
      <c r="A10" s="437" t="s">
        <v>2125</v>
      </c>
      <c r="B10" s="441">
        <f>Options!AI1</f>
        <v>-26.066894062695269</v>
      </c>
      <c r="H10" s="286"/>
    </row>
    <row r="11" spans="1:28">
      <c r="A11" s="314">
        <f ca="1">TODAY()</f>
        <v>46049</v>
      </c>
      <c r="H11" s="286"/>
      <c r="L11" s="284"/>
    </row>
    <row r="12" spans="1:28" s="365" customFormat="1" ht="47.25">
      <c r="A12" s="535" t="s">
        <v>72</v>
      </c>
      <c r="B12" s="528" t="s">
        <v>73</v>
      </c>
      <c r="C12" s="534" t="s">
        <v>74</v>
      </c>
      <c r="D12" s="534" t="s">
        <v>75</v>
      </c>
      <c r="E12" s="534" t="s">
        <v>76</v>
      </c>
      <c r="F12" s="534" t="s">
        <v>77</v>
      </c>
      <c r="G12" s="364"/>
      <c r="I12" s="366"/>
      <c r="L12" s="315"/>
      <c r="AA12" s="367"/>
      <c r="AB12" s="367"/>
    </row>
    <row r="13" spans="1:28">
      <c r="A13" s="529" t="s">
        <v>1907</v>
      </c>
      <c r="B13" s="530">
        <v>6.7409748130814089E-3</v>
      </c>
      <c r="C13" s="533">
        <v>3.4224646330596686E-2</v>
      </c>
      <c r="D13" s="531">
        <v>4.7450161579208627E-4</v>
      </c>
      <c r="E13" s="531">
        <v>7.1002407241490791E-4</v>
      </c>
      <c r="F13" s="531">
        <v>1.1845256882069941E-3</v>
      </c>
      <c r="G13" s="316"/>
      <c r="H13" s="286"/>
      <c r="L13" s="316"/>
    </row>
    <row r="14" spans="1:28">
      <c r="A14" s="532" t="s">
        <v>38</v>
      </c>
      <c r="B14" s="530">
        <v>1.9287833827892342E-3</v>
      </c>
      <c r="C14" s="533">
        <v>-8.5732570948037542E-3</v>
      </c>
      <c r="D14" s="531">
        <v>0</v>
      </c>
      <c r="E14" s="531">
        <v>7.1002407241490791E-4</v>
      </c>
      <c r="F14" s="531">
        <v>7.1002407241490791E-4</v>
      </c>
      <c r="G14" s="316"/>
      <c r="H14" s="286"/>
      <c r="I14" s="285"/>
      <c r="L14" s="316"/>
    </row>
    <row r="15" spans="1:28">
      <c r="A15" s="532" t="s">
        <v>2141</v>
      </c>
      <c r="B15" s="530">
        <v>1.079574577139919E-2</v>
      </c>
      <c r="C15" s="533">
        <v>2.4682574892055029E-2</v>
      </c>
      <c r="D15" s="531">
        <v>2.3110067821039296E-4</v>
      </c>
      <c r="E15" s="531">
        <v>0</v>
      </c>
      <c r="F15" s="531">
        <v>2.3110067821039296E-4</v>
      </c>
      <c r="G15" s="316"/>
      <c r="H15" s="286"/>
      <c r="I15" s="285"/>
      <c r="L15" s="316"/>
    </row>
    <row r="16" spans="1:28">
      <c r="A16" s="532" t="s">
        <v>461</v>
      </c>
      <c r="B16" s="530">
        <v>7.4983952850558033E-3</v>
      </c>
      <c r="C16" s="533">
        <v>1.8115328533345406E-2</v>
      </c>
      <c r="D16" s="531">
        <v>2.4340093758169331E-4</v>
      </c>
      <c r="E16" s="531">
        <v>0</v>
      </c>
      <c r="F16" s="531">
        <v>2.4340093758169331E-4</v>
      </c>
      <c r="G16" s="316"/>
      <c r="H16" s="286"/>
      <c r="I16" s="285"/>
      <c r="L16" s="316"/>
    </row>
    <row r="17" spans="1:12">
      <c r="A17" s="529" t="s">
        <v>78</v>
      </c>
      <c r="B17" s="530">
        <v>-1.4053402931137882E-3</v>
      </c>
      <c r="C17" s="533">
        <v>1.5190946191395851E-2</v>
      </c>
      <c r="D17" s="531">
        <v>-1.0794252336571808E-3</v>
      </c>
      <c r="E17" s="531">
        <v>0</v>
      </c>
      <c r="F17" s="531">
        <v>-1.0794252336571808E-3</v>
      </c>
      <c r="G17" s="316"/>
      <c r="H17" s="286"/>
      <c r="I17" s="285"/>
      <c r="L17" s="316"/>
    </row>
    <row r="18" spans="1:12">
      <c r="A18" s="532" t="s">
        <v>3</v>
      </c>
      <c r="B18" s="530">
        <v>-1.4053402931137882E-3</v>
      </c>
      <c r="C18" s="533">
        <v>1.5190946191395851E-2</v>
      </c>
      <c r="D18" s="531">
        <v>-1.0794252336571808E-3</v>
      </c>
      <c r="E18" s="531">
        <v>0</v>
      </c>
      <c r="F18" s="531">
        <v>-1.0794252336571808E-3</v>
      </c>
      <c r="G18" s="316"/>
      <c r="H18" s="286"/>
      <c r="I18" s="285"/>
      <c r="L18" s="316"/>
    </row>
    <row r="19" spans="1:12">
      <c r="A19" s="529" t="s">
        <v>2138</v>
      </c>
      <c r="B19" s="530">
        <v>2.6596570622239191E-2</v>
      </c>
      <c r="C19" s="533">
        <v>-0.27953135527020639</v>
      </c>
      <c r="D19" s="531">
        <v>6.1535075845093224E-4</v>
      </c>
      <c r="E19" s="531">
        <v>4.7721247880137515E-4</v>
      </c>
      <c r="F19" s="531">
        <v>1.0925632372523074E-3</v>
      </c>
      <c r="G19" s="316"/>
      <c r="H19" s="286"/>
      <c r="I19" s="285"/>
      <c r="L19" s="316"/>
    </row>
    <row r="20" spans="1:12">
      <c r="A20" s="532" t="s">
        <v>131</v>
      </c>
      <c r="B20" s="530">
        <v>2.6596570622239191E-2</v>
      </c>
      <c r="C20" s="533">
        <v>-0.27953135527020639</v>
      </c>
      <c r="D20" s="531">
        <v>6.1535075845093224E-4</v>
      </c>
      <c r="E20" s="531">
        <v>4.7721247880137515E-4</v>
      </c>
      <c r="F20" s="531">
        <v>1.0925632372523074E-3</v>
      </c>
      <c r="G20" s="316"/>
      <c r="H20" s="286"/>
      <c r="L20" s="316"/>
    </row>
    <row r="21" spans="1:12">
      <c r="A21" s="529" t="s">
        <v>1880</v>
      </c>
      <c r="B21" s="530">
        <v>1.3732940282890547E-2</v>
      </c>
      <c r="C21" s="533">
        <v>1.7406368535260943</v>
      </c>
      <c r="D21" s="531">
        <v>2.1384576173932557E-3</v>
      </c>
      <c r="E21" s="531">
        <v>5.5455672819958793E-3</v>
      </c>
      <c r="F21" s="531">
        <v>7.6840248993891346E-3</v>
      </c>
      <c r="G21" s="316"/>
      <c r="H21" s="286"/>
      <c r="I21" s="285"/>
      <c r="L21" s="316"/>
    </row>
    <row r="22" spans="1:12">
      <c r="A22" s="532" t="s">
        <v>94</v>
      </c>
      <c r="B22" s="530">
        <v>1.1181423285246961E-2</v>
      </c>
      <c r="C22" s="533">
        <v>0.20020198065682976</v>
      </c>
      <c r="D22" s="531">
        <v>1.8105076480934483E-3</v>
      </c>
      <c r="E22" s="531">
        <v>0</v>
      </c>
      <c r="F22" s="531">
        <v>1.8105076480934483E-3</v>
      </c>
      <c r="G22" s="316"/>
      <c r="H22" s="286"/>
      <c r="I22" s="285"/>
      <c r="L22" s="316"/>
    </row>
    <row r="23" spans="1:12">
      <c r="A23" s="532" t="s">
        <v>96</v>
      </c>
      <c r="B23" s="530">
        <v>6.2512606805031901E-3</v>
      </c>
      <c r="C23" s="533">
        <v>1.3158681377893926</v>
      </c>
      <c r="D23" s="531">
        <v>3.2964511822129771E-4</v>
      </c>
      <c r="E23" s="531">
        <v>4.7930974267552636E-3</v>
      </c>
      <c r="F23" s="531">
        <v>5.1227425449765608E-3</v>
      </c>
      <c r="G23" s="316"/>
      <c r="H23" s="286"/>
      <c r="I23" s="285"/>
      <c r="L23" s="316"/>
    </row>
    <row r="24" spans="1:12">
      <c r="A24" s="532" t="s">
        <v>137</v>
      </c>
      <c r="B24" s="530">
        <v>2.4275819609050231E-2</v>
      </c>
      <c r="C24" s="533">
        <v>0.19656416637767615</v>
      </c>
      <c r="D24" s="531">
        <v>0</v>
      </c>
      <c r="E24" s="531">
        <v>8.5820342460465849E-4</v>
      </c>
      <c r="F24" s="531">
        <v>8.5820342460465849E-4</v>
      </c>
      <c r="G24" s="316"/>
      <c r="H24" s="291"/>
      <c r="I24" s="285"/>
      <c r="L24" s="316"/>
    </row>
    <row r="25" spans="1:12">
      <c r="A25" s="532" t="s">
        <v>448</v>
      </c>
      <c r="B25" s="530">
        <v>8.7541283673542303E-4</v>
      </c>
      <c r="C25" s="533">
        <v>4.1316034971103721E-3</v>
      </c>
      <c r="D25" s="531"/>
      <c r="E25" s="531"/>
      <c r="F25" s="531"/>
      <c r="G25" s="316"/>
      <c r="H25" s="291"/>
      <c r="I25" s="285"/>
      <c r="L25" s="316"/>
    </row>
    <row r="26" spans="1:12">
      <c r="A26" s="532" t="s">
        <v>138</v>
      </c>
      <c r="B26" s="530">
        <v>1.375810199339611E-2</v>
      </c>
      <c r="C26" s="533">
        <v>-2.7774078508794611E-2</v>
      </c>
      <c r="D26" s="531">
        <v>-1.6951489214904382E-6</v>
      </c>
      <c r="E26" s="531">
        <v>-2.3941327281952796E-4</v>
      </c>
      <c r="F26" s="531">
        <v>-2.4110842174101841E-4</v>
      </c>
      <c r="G26" s="316"/>
      <c r="H26" s="286"/>
      <c r="I26" s="285"/>
      <c r="L26" s="316"/>
    </row>
    <row r="27" spans="1:12">
      <c r="A27" s="532" t="s">
        <v>708</v>
      </c>
      <c r="B27" s="530">
        <v>3.3537302894798726E-2</v>
      </c>
      <c r="C27" s="533">
        <v>5.1645043713879873E-2</v>
      </c>
      <c r="D27" s="531">
        <v>0</v>
      </c>
      <c r="E27" s="531">
        <v>1.336797034554854E-4</v>
      </c>
      <c r="F27" s="531">
        <v>1.336797034554854E-4</v>
      </c>
      <c r="G27" s="316"/>
      <c r="H27" s="291"/>
      <c r="I27" s="285"/>
      <c r="L27" s="316"/>
    </row>
    <row r="28" spans="1:12">
      <c r="A28" s="529" t="s">
        <v>2137</v>
      </c>
      <c r="B28" s="530">
        <v>4.6265609755323199E-2</v>
      </c>
      <c r="C28" s="533">
        <v>1.3792622932508896</v>
      </c>
      <c r="D28" s="531">
        <v>2.5796661774253214E-3</v>
      </c>
      <c r="E28" s="531">
        <v>0</v>
      </c>
      <c r="F28" s="531">
        <v>2.5796661774253214E-3</v>
      </c>
      <c r="G28" s="316"/>
      <c r="H28" s="286"/>
      <c r="I28" s="285"/>
      <c r="L28" s="316"/>
    </row>
    <row r="29" spans="1:12">
      <c r="A29" s="532" t="s">
        <v>1754</v>
      </c>
      <c r="B29" s="530">
        <v>2.5920153763419607E-2</v>
      </c>
      <c r="C29" s="533">
        <v>0.93353372350366148</v>
      </c>
      <c r="D29" s="531">
        <v>2.022505465241286E-3</v>
      </c>
      <c r="E29" s="531">
        <v>0</v>
      </c>
      <c r="F29" s="531">
        <v>2.022505465241286E-3</v>
      </c>
      <c r="G29" s="316"/>
      <c r="H29" s="286"/>
      <c r="I29" s="285"/>
      <c r="L29" s="316"/>
    </row>
    <row r="30" spans="1:12">
      <c r="A30" s="532" t="s">
        <v>2285</v>
      </c>
      <c r="B30" s="530">
        <v>8.6956521739130377E-2</v>
      </c>
      <c r="C30" s="533">
        <v>0.44572856974722819</v>
      </c>
      <c r="D30" s="531">
        <v>5.5716071218403528E-4</v>
      </c>
      <c r="E30" s="531">
        <v>0</v>
      </c>
      <c r="F30" s="531">
        <v>5.5716071218403528E-4</v>
      </c>
      <c r="G30" s="316"/>
      <c r="H30" s="286"/>
      <c r="I30" s="285"/>
      <c r="L30" s="316"/>
    </row>
    <row r="31" spans="1:12">
      <c r="A31" s="529" t="s">
        <v>2064</v>
      </c>
      <c r="B31" s="530">
        <v>4.4178686910538945E-2</v>
      </c>
      <c r="C31" s="533">
        <v>0.8951721606333074</v>
      </c>
      <c r="D31" s="531">
        <v>1.6807744677901455E-3</v>
      </c>
      <c r="E31" s="531">
        <v>4.2664438697243614E-4</v>
      </c>
      <c r="F31" s="531">
        <v>2.1074188547625817E-3</v>
      </c>
      <c r="G31" s="316"/>
      <c r="H31" s="286"/>
      <c r="I31" s="285"/>
      <c r="L31" s="316"/>
    </row>
    <row r="32" spans="1:12">
      <c r="A32" s="532" t="s">
        <v>2063</v>
      </c>
      <c r="B32" s="530">
        <v>6.0678086725741598E-2</v>
      </c>
      <c r="C32" s="533">
        <v>0.68474191558564323</v>
      </c>
      <c r="D32" s="531">
        <v>1.8234577460947914E-4</v>
      </c>
      <c r="E32" s="531">
        <v>4.2664438697243614E-4</v>
      </c>
      <c r="F32" s="531">
        <v>6.0899016158191517E-4</v>
      </c>
      <c r="G32" s="316"/>
      <c r="H32" s="286"/>
      <c r="L32" s="316"/>
    </row>
    <row r="33" spans="1:28">
      <c r="A33" s="532" t="s">
        <v>2373</v>
      </c>
      <c r="B33" s="530">
        <v>1.7602644091990638E-2</v>
      </c>
      <c r="C33" s="533">
        <v>0.18061851394747408</v>
      </c>
      <c r="D33" s="531">
        <v>9.9885439565966039E-4</v>
      </c>
      <c r="E33" s="531">
        <v>0</v>
      </c>
      <c r="F33" s="531">
        <v>9.9885439565966039E-4</v>
      </c>
      <c r="G33" s="316"/>
      <c r="H33" s="286"/>
      <c r="I33" s="285"/>
      <c r="L33" s="316"/>
    </row>
    <row r="34" spans="1:28">
      <c r="A34" s="532" t="s">
        <v>2382</v>
      </c>
      <c r="B34" s="530">
        <v>1.8932038834951204E-3</v>
      </c>
      <c r="C34" s="533">
        <v>9.4400879903670538E-3</v>
      </c>
      <c r="D34" s="531">
        <v>4.9957429752100623E-4</v>
      </c>
      <c r="E34" s="531">
        <v>0</v>
      </c>
      <c r="F34" s="531">
        <v>4.9957429752100623E-4</v>
      </c>
      <c r="G34" s="316"/>
      <c r="H34" s="286"/>
      <c r="I34" s="285"/>
      <c r="L34" s="316"/>
      <c r="N34" s="287"/>
      <c r="O34" s="287"/>
      <c r="P34" s="287"/>
      <c r="Q34" s="287"/>
      <c r="R34" s="287"/>
      <c r="S34" s="317"/>
      <c r="T34" s="317"/>
      <c r="U34" s="317"/>
    </row>
    <row r="35" spans="1:28">
      <c r="A35" s="532" t="s">
        <v>2383</v>
      </c>
      <c r="B35" s="530">
        <v>0.10661745594427408</v>
      </c>
      <c r="C35" s="533">
        <v>2.0371643109822955E-2</v>
      </c>
      <c r="D35" s="531"/>
      <c r="E35" s="531"/>
      <c r="F35" s="531"/>
      <c r="G35" s="286"/>
      <c r="H35" s="286"/>
      <c r="I35" s="285"/>
      <c r="L35" s="316"/>
    </row>
    <row r="36" spans="1:28">
      <c r="A36" s="529" t="s">
        <v>2132</v>
      </c>
      <c r="B36" s="530">
        <v>7.6709796672828068E-2</v>
      </c>
      <c r="C36" s="533">
        <v>0.1641874189730477</v>
      </c>
      <c r="D36" s="531">
        <v>2.3045583506457883E-4</v>
      </c>
      <c r="E36" s="531">
        <v>0</v>
      </c>
      <c r="F36" s="531">
        <v>2.3045583506457883E-4</v>
      </c>
      <c r="G36" s="286"/>
      <c r="H36" s="286"/>
      <c r="I36" s="285"/>
      <c r="L36" s="316"/>
    </row>
    <row r="37" spans="1:28">
      <c r="A37" s="532" t="s">
        <v>2131</v>
      </c>
      <c r="B37" s="530">
        <v>7.6709796672828068E-2</v>
      </c>
      <c r="C37" s="533">
        <v>0.1641874189730477</v>
      </c>
      <c r="D37" s="531">
        <v>2.3045583506457883E-4</v>
      </c>
      <c r="E37" s="531">
        <v>0</v>
      </c>
      <c r="F37" s="531">
        <v>2.3045583506457883E-4</v>
      </c>
      <c r="G37" s="286"/>
      <c r="H37" s="286"/>
      <c r="L37" s="316"/>
      <c r="S37" s="304"/>
      <c r="T37" s="304"/>
      <c r="U37" s="304"/>
      <c r="V37" s="318"/>
      <c r="W37" s="318"/>
      <c r="X37" s="318"/>
      <c r="Y37" s="318"/>
      <c r="Z37" s="318"/>
    </row>
    <row r="38" spans="1:28">
      <c r="A38" s="529" t="s">
        <v>2252</v>
      </c>
      <c r="B38" s="530">
        <v>9.3324854526532497E-3</v>
      </c>
      <c r="C38" s="533">
        <v>1.2588160144988012</v>
      </c>
      <c r="D38" s="531">
        <v>4.48803366517001E-3</v>
      </c>
      <c r="E38" s="531">
        <v>3.9849272715944736E-3</v>
      </c>
      <c r="F38" s="531">
        <v>8.4729609367644836E-3</v>
      </c>
      <c r="G38" s="286"/>
      <c r="H38" s="286"/>
      <c r="I38" s="285"/>
      <c r="L38" s="316"/>
      <c r="AA38" s="319"/>
      <c r="AB38" s="319"/>
    </row>
    <row r="39" spans="1:28">
      <c r="A39" s="532" t="s">
        <v>79</v>
      </c>
      <c r="B39" s="530">
        <v>8.5981010019253734E-3</v>
      </c>
      <c r="C39" s="533">
        <v>0.13671016904882954</v>
      </c>
      <c r="D39" s="531">
        <v>1.3688665946488391E-3</v>
      </c>
      <c r="E39" s="531">
        <v>0</v>
      </c>
      <c r="F39" s="531">
        <v>1.3688665946488391E-3</v>
      </c>
      <c r="G39" s="286"/>
      <c r="H39" s="286"/>
      <c r="I39" s="285"/>
      <c r="L39" s="316"/>
      <c r="S39" s="304"/>
      <c r="T39" s="304"/>
      <c r="U39" s="304"/>
      <c r="V39" s="305"/>
      <c r="W39" s="305"/>
      <c r="X39" s="305"/>
      <c r="Y39" s="305"/>
      <c r="Z39" s="305"/>
    </row>
    <row r="40" spans="1:28">
      <c r="A40" s="532" t="s">
        <v>81</v>
      </c>
      <c r="B40" s="530">
        <v>7.2542387038668776E-3</v>
      </c>
      <c r="C40" s="533">
        <v>-6.2716906418762999E-2</v>
      </c>
      <c r="D40" s="531">
        <v>-1.9659421440310984E-4</v>
      </c>
      <c r="E40" s="531">
        <v>2.063471758733866E-3</v>
      </c>
      <c r="F40" s="531">
        <v>1.8668775443307561E-3</v>
      </c>
      <c r="G40" s="286"/>
      <c r="H40" s="286"/>
      <c r="L40" s="316"/>
    </row>
    <row r="41" spans="1:28">
      <c r="A41" s="532" t="s">
        <v>90</v>
      </c>
      <c r="B41" s="530">
        <v>1.1310555514286169E-2</v>
      </c>
      <c r="C41" s="533">
        <v>0.50767390971008919</v>
      </c>
      <c r="D41" s="531">
        <v>2.4080487582431049E-4</v>
      </c>
      <c r="E41" s="531">
        <v>1.6283860796285623E-3</v>
      </c>
      <c r="F41" s="531">
        <v>1.8691909554528728E-3</v>
      </c>
      <c r="G41" s="286"/>
      <c r="H41" s="286"/>
      <c r="I41" s="285"/>
      <c r="L41" s="316"/>
      <c r="S41" s="304"/>
      <c r="T41" s="304"/>
      <c r="U41" s="304"/>
      <c r="V41" s="318"/>
      <c r="W41" s="318"/>
      <c r="X41" s="318"/>
      <c r="Y41" s="318"/>
      <c r="Z41" s="318"/>
    </row>
    <row r="42" spans="1:28">
      <c r="A42" s="532" t="s">
        <v>399</v>
      </c>
      <c r="B42" s="530">
        <v>1.8727583994570418E-2</v>
      </c>
      <c r="C42" s="533">
        <v>0.61610335715462283</v>
      </c>
      <c r="D42" s="531">
        <v>1.8520122072974579E-3</v>
      </c>
      <c r="E42" s="531">
        <v>2.9306943323204526E-4</v>
      </c>
      <c r="F42" s="531">
        <v>2.1450816405295032E-3</v>
      </c>
      <c r="G42" s="286"/>
      <c r="H42" s="286"/>
      <c r="I42" s="285"/>
      <c r="L42" s="316"/>
      <c r="S42" s="304"/>
      <c r="T42" s="304"/>
      <c r="U42" s="304"/>
      <c r="V42" s="305"/>
      <c r="W42" s="305"/>
      <c r="X42" s="305"/>
      <c r="Y42" s="305"/>
      <c r="Z42" s="305"/>
    </row>
    <row r="43" spans="1:28">
      <c r="A43" s="532" t="s">
        <v>2148</v>
      </c>
      <c r="B43" s="530">
        <v>7.7194804861741018E-4</v>
      </c>
      <c r="C43" s="533">
        <v>6.1045485004022675E-2</v>
      </c>
      <c r="D43" s="531">
        <v>1.2229442018025119E-3</v>
      </c>
      <c r="E43" s="531">
        <v>0</v>
      </c>
      <c r="F43" s="531">
        <v>1.2229442018025119E-3</v>
      </c>
      <c r="G43" s="286"/>
      <c r="H43" s="286"/>
      <c r="I43" s="285"/>
      <c r="L43" s="316"/>
    </row>
    <row r="44" spans="1:28">
      <c r="A44" s="529" t="s">
        <v>2258</v>
      </c>
      <c r="B44" s="530">
        <v>1.0740193831574689E-3</v>
      </c>
      <c r="C44" s="533">
        <v>-0.12837705866210763</v>
      </c>
      <c r="D44" s="531">
        <v>-5.6287359309938748E-5</v>
      </c>
      <c r="E44" s="531">
        <v>0</v>
      </c>
      <c r="F44" s="531">
        <v>-5.6287359309938748E-5</v>
      </c>
      <c r="G44" s="286"/>
      <c r="H44" s="286"/>
      <c r="I44" s="285"/>
      <c r="L44" s="316"/>
      <c r="S44" s="317"/>
      <c r="T44" s="317"/>
      <c r="U44" s="317"/>
    </row>
    <row r="45" spans="1:28">
      <c r="A45" s="532" t="s">
        <v>88</v>
      </c>
      <c r="B45" s="530">
        <v>-7.3956187979777877E-3</v>
      </c>
      <c r="C45" s="533">
        <v>-7.5417413835510566E-2</v>
      </c>
      <c r="D45" s="531">
        <v>1.0122162517695271E-3</v>
      </c>
      <c r="E45" s="531">
        <v>0</v>
      </c>
      <c r="F45" s="531">
        <v>1.0122162517695271E-3</v>
      </c>
      <c r="G45" s="286"/>
      <c r="H45" s="286"/>
      <c r="I45" s="285"/>
      <c r="L45" s="316"/>
    </row>
    <row r="46" spans="1:28">
      <c r="A46" s="532" t="s">
        <v>4</v>
      </c>
      <c r="B46" s="530">
        <v>4.8924861077555004E-3</v>
      </c>
      <c r="C46" s="533">
        <v>-4.6480539342492057E-2</v>
      </c>
      <c r="D46" s="531">
        <v>-9.5468732474202251E-4</v>
      </c>
      <c r="E46" s="531">
        <v>0</v>
      </c>
      <c r="F46" s="531">
        <v>-9.5468732474202251E-4</v>
      </c>
      <c r="G46" s="286"/>
      <c r="H46" s="286"/>
      <c r="I46" s="285"/>
    </row>
    <row r="47" spans="1:28">
      <c r="A47" s="532" t="s">
        <v>2276</v>
      </c>
      <c r="B47" s="530">
        <v>5.7251908396946938E-3</v>
      </c>
      <c r="C47" s="533">
        <v>-6.479105484105011E-3</v>
      </c>
      <c r="D47" s="531">
        <v>-1.1381628633744336E-4</v>
      </c>
      <c r="E47" s="531">
        <v>0</v>
      </c>
      <c r="F47" s="531">
        <v>-1.1381628633744336E-4</v>
      </c>
      <c r="G47" s="286"/>
      <c r="H47" s="286"/>
      <c r="I47" s="285"/>
    </row>
    <row r="48" spans="1:28">
      <c r="A48" s="529" t="s">
        <v>97</v>
      </c>
      <c r="B48" s="530">
        <v>2.0701860206913301E-2</v>
      </c>
      <c r="C48" s="533">
        <v>5.0795819194718188</v>
      </c>
      <c r="D48" s="531">
        <v>1.1071527544119209E-2</v>
      </c>
      <c r="E48" s="531">
        <v>1.1144375491779072E-2</v>
      </c>
      <c r="F48" s="531">
        <v>2.221590303589828E-2</v>
      </c>
      <c r="G48" s="286"/>
      <c r="H48" s="286"/>
      <c r="I48" s="285"/>
    </row>
    <row r="49" spans="1:35">
      <c r="A49"/>
      <c r="B49"/>
      <c r="C49"/>
      <c r="D49"/>
      <c r="E49"/>
      <c r="F49"/>
      <c r="G49" s="286"/>
      <c r="H49" s="286"/>
      <c r="I49" s="285"/>
    </row>
    <row r="50" spans="1:35">
      <c r="A50"/>
      <c r="B50"/>
      <c r="C50"/>
      <c r="D50"/>
      <c r="E50"/>
      <c r="F50"/>
      <c r="G50" s="286"/>
      <c r="H50" s="286"/>
      <c r="I50" s="285"/>
    </row>
    <row r="51" spans="1:35">
      <c r="A51"/>
      <c r="B51"/>
      <c r="C51"/>
      <c r="D51"/>
      <c r="E51"/>
      <c r="F51"/>
      <c r="G51" s="286"/>
      <c r="H51" s="286"/>
      <c r="I51" s="286"/>
    </row>
    <row r="52" spans="1:35">
      <c r="A52"/>
      <c r="B52"/>
      <c r="C52"/>
      <c r="D52"/>
      <c r="E52"/>
      <c r="F52"/>
      <c r="G52" s="286"/>
      <c r="H52" s="286"/>
      <c r="I52" s="285"/>
    </row>
    <row r="53" spans="1:35">
      <c r="A53"/>
      <c r="B53"/>
      <c r="C53"/>
      <c r="D53"/>
      <c r="E53"/>
      <c r="F53"/>
      <c r="G53" s="286"/>
      <c r="H53" s="286"/>
      <c r="I53" s="285"/>
    </row>
    <row r="54" spans="1:35">
      <c r="A54"/>
      <c r="B54"/>
      <c r="C54"/>
      <c r="D54"/>
      <c r="E54"/>
      <c r="F54"/>
      <c r="G54" s="286"/>
      <c r="H54" s="286"/>
      <c r="I54" s="285"/>
    </row>
    <row r="55" spans="1:35">
      <c r="A55"/>
      <c r="B55"/>
      <c r="C55"/>
      <c r="D55"/>
      <c r="E55"/>
      <c r="F55"/>
      <c r="G55" s="286"/>
      <c r="H55" s="286"/>
      <c r="I55" s="286"/>
    </row>
    <row r="56" spans="1:35">
      <c r="A56"/>
      <c r="B56"/>
      <c r="C56"/>
      <c r="D56"/>
      <c r="E56"/>
      <c r="F56"/>
      <c r="G56" s="286"/>
      <c r="H56" s="286"/>
      <c r="I56" s="286"/>
    </row>
    <row r="57" spans="1:35">
      <c r="A57"/>
      <c r="B57"/>
      <c r="C57"/>
      <c r="D57"/>
      <c r="E57"/>
      <c r="F57"/>
      <c r="G57" s="286"/>
      <c r="H57" s="286"/>
      <c r="I57" s="286"/>
    </row>
    <row r="58" spans="1:35">
      <c r="A58"/>
      <c r="B58"/>
      <c r="C58"/>
      <c r="D58"/>
      <c r="E58"/>
      <c r="F58"/>
      <c r="G58" s="286"/>
      <c r="H58" s="286"/>
      <c r="I58" s="286"/>
    </row>
    <row r="59" spans="1:35">
      <c r="A59"/>
      <c r="B59"/>
      <c r="C59"/>
      <c r="D59"/>
      <c r="E59"/>
      <c r="F59"/>
      <c r="G59" s="286"/>
      <c r="H59" s="286"/>
      <c r="I59" s="286"/>
    </row>
    <row r="60" spans="1:35">
      <c r="A60"/>
      <c r="B60"/>
      <c r="C60"/>
      <c r="D60"/>
      <c r="E60"/>
      <c r="F60"/>
      <c r="G60" s="286"/>
      <c r="H60" s="286"/>
      <c r="I60" s="286"/>
    </row>
    <row r="61" spans="1:35">
      <c r="A61"/>
      <c r="B61"/>
      <c r="C61"/>
      <c r="D61"/>
      <c r="E61"/>
      <c r="F61"/>
      <c r="G61" s="286"/>
      <c r="H61" s="286"/>
      <c r="I61" s="286"/>
      <c r="AI61" s="320"/>
    </row>
    <row r="62" spans="1:35">
      <c r="A62"/>
      <c r="B62"/>
      <c r="C62"/>
      <c r="D62"/>
      <c r="E62"/>
      <c r="F62"/>
      <c r="G62" s="286"/>
      <c r="H62" s="286"/>
      <c r="I62" s="286"/>
      <c r="AI62" s="320"/>
    </row>
    <row r="63" spans="1:35">
      <c r="A63"/>
      <c r="B63"/>
      <c r="C63"/>
      <c r="D63"/>
      <c r="E63"/>
      <c r="F63"/>
      <c r="G63" s="286"/>
      <c r="H63" s="286"/>
      <c r="I63" s="286"/>
      <c r="AI63" s="320"/>
    </row>
    <row r="64" spans="1:35">
      <c r="A64"/>
      <c r="B64"/>
      <c r="C64"/>
      <c r="D64"/>
      <c r="E64"/>
      <c r="F64"/>
      <c r="G64" s="286"/>
      <c r="H64" s="286"/>
      <c r="I64" s="286"/>
      <c r="AI64" s="320"/>
    </row>
    <row r="65" spans="1:9">
      <c r="A65"/>
      <c r="B65"/>
      <c r="C65"/>
      <c r="D65"/>
      <c r="E65"/>
      <c r="F65"/>
      <c r="G65" s="286"/>
      <c r="H65" s="286"/>
      <c r="I65" s="286"/>
    </row>
    <row r="66" spans="1:9">
      <c r="A66"/>
      <c r="B66"/>
      <c r="C66"/>
      <c r="D66"/>
      <c r="E66"/>
      <c r="F66"/>
      <c r="G66" s="286"/>
      <c r="H66" s="286"/>
      <c r="I66" s="286"/>
    </row>
    <row r="67" spans="1:9">
      <c r="A67"/>
      <c r="B67"/>
      <c r="C67"/>
      <c r="D67"/>
      <c r="E67"/>
      <c r="F67"/>
      <c r="G67" s="286"/>
      <c r="H67" s="286"/>
      <c r="I67" s="286"/>
    </row>
    <row r="68" spans="1:9">
      <c r="A68"/>
      <c r="B68"/>
      <c r="C68"/>
      <c r="D68"/>
      <c r="E68"/>
      <c r="F68"/>
      <c r="G68" s="286"/>
      <c r="H68" s="286"/>
      <c r="I68" s="286"/>
    </row>
    <row r="69" spans="1:9">
      <c r="A69"/>
      <c r="B69"/>
      <c r="C69"/>
      <c r="D69"/>
      <c r="E69"/>
      <c r="F69"/>
      <c r="G69" s="286"/>
      <c r="H69" s="286"/>
      <c r="I69" s="286"/>
    </row>
    <row r="70" spans="1:9">
      <c r="A70"/>
      <c r="B70"/>
      <c r="C70"/>
      <c r="D70"/>
      <c r="E70"/>
      <c r="F70"/>
      <c r="G70" s="286"/>
      <c r="H70" s="286"/>
      <c r="I70" s="286"/>
    </row>
    <row r="71" spans="1:9">
      <c r="A71"/>
      <c r="B71"/>
      <c r="C71"/>
      <c r="D71"/>
      <c r="E71"/>
      <c r="F71"/>
      <c r="G71" s="286"/>
      <c r="H71" s="286"/>
      <c r="I71" s="286"/>
    </row>
    <row r="72" spans="1:9">
      <c r="A72"/>
      <c r="B72"/>
      <c r="C72"/>
      <c r="D72"/>
      <c r="E72"/>
      <c r="F72"/>
      <c r="G72" s="286"/>
      <c r="H72" s="286"/>
      <c r="I72" s="286"/>
    </row>
    <row r="73" spans="1:9">
      <c r="A73"/>
      <c r="B73"/>
      <c r="C73"/>
      <c r="D73"/>
      <c r="E73"/>
      <c r="F73"/>
      <c r="G73" s="286"/>
      <c r="H73" s="286"/>
    </row>
    <row r="74" spans="1:9">
      <c r="A74"/>
      <c r="B74"/>
      <c r="C74"/>
      <c r="D74"/>
      <c r="E74"/>
      <c r="F74"/>
      <c r="G74" s="286"/>
      <c r="H74" s="286"/>
    </row>
    <row r="75" spans="1:9">
      <c r="A75"/>
      <c r="B75"/>
      <c r="C75"/>
      <c r="D75"/>
      <c r="E75"/>
      <c r="F75"/>
      <c r="G75" s="286"/>
      <c r="H75" s="286"/>
    </row>
    <row r="76" spans="1:9">
      <c r="A76"/>
      <c r="B76"/>
      <c r="C76"/>
      <c r="D76"/>
      <c r="E76"/>
      <c r="F76"/>
      <c r="G76" s="286"/>
      <c r="H76" s="286"/>
    </row>
    <row r="77" spans="1:9">
      <c r="A77"/>
      <c r="B77"/>
      <c r="C77"/>
      <c r="D77"/>
      <c r="E77"/>
      <c r="F77"/>
      <c r="G77" s="286"/>
      <c r="H77" s="286"/>
    </row>
    <row r="78" spans="1:9">
      <c r="A78"/>
      <c r="B78"/>
      <c r="C78"/>
      <c r="D78"/>
      <c r="E78"/>
      <c r="F78"/>
      <c r="G78" s="286"/>
      <c r="H78" s="286"/>
    </row>
    <row r="79" spans="1:9">
      <c r="A79"/>
      <c r="B79"/>
      <c r="C79"/>
      <c r="D79"/>
      <c r="E79"/>
      <c r="F79"/>
      <c r="G79" s="286"/>
      <c r="H79" s="286"/>
    </row>
    <row r="80" spans="1:9">
      <c r="A80"/>
      <c r="B80"/>
      <c r="C80"/>
      <c r="D80"/>
      <c r="E80"/>
      <c r="F80"/>
      <c r="G80" s="286"/>
      <c r="H80" s="286"/>
    </row>
    <row r="81" spans="1:8">
      <c r="A81"/>
      <c r="B81"/>
      <c r="C81"/>
      <c r="D81"/>
      <c r="E81"/>
      <c r="F81"/>
      <c r="G81" s="286"/>
      <c r="H81" s="286"/>
    </row>
    <row r="82" spans="1:8">
      <c r="A82"/>
      <c r="B82"/>
      <c r="C82"/>
      <c r="D82"/>
      <c r="E82"/>
      <c r="F82"/>
      <c r="G82" s="286"/>
      <c r="H82" s="286"/>
    </row>
    <row r="83" spans="1:8">
      <c r="A83"/>
      <c r="B83"/>
      <c r="C83"/>
      <c r="D83"/>
      <c r="E83"/>
      <c r="F83"/>
      <c r="G83" s="286"/>
      <c r="H83" s="286"/>
    </row>
    <row r="84" spans="1:8">
      <c r="A84"/>
      <c r="B84"/>
      <c r="C84"/>
      <c r="D84"/>
      <c r="E84"/>
      <c r="F84"/>
      <c r="G84" s="286"/>
      <c r="H84" s="286"/>
    </row>
    <row r="85" spans="1:8">
      <c r="A85"/>
      <c r="B85"/>
      <c r="C85"/>
      <c r="D85"/>
      <c r="E85"/>
      <c r="F85"/>
      <c r="G85" s="286"/>
      <c r="H85" s="286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657" priority="10138" operator="lessThan">
      <formula>0</formula>
    </cfRule>
  </conditionalFormatting>
  <conditionalFormatting sqref="H86:H1048576 F1:H9 F12:G12 G10:G11">
    <cfRule type="cellIs" dxfId="1656" priority="10135" operator="lessThan">
      <formula>0</formula>
    </cfRule>
    <cfRule type="cellIs" dxfId="1655" priority="10136" operator="lessThan">
      <formula>0</formula>
    </cfRule>
  </conditionalFormatting>
  <conditionalFormatting sqref="F136:G1048576 G86:G135">
    <cfRule type="cellIs" dxfId="1654" priority="5771" operator="lessThan">
      <formula>0</formula>
    </cfRule>
  </conditionalFormatting>
  <conditionalFormatting sqref="F136:G1048576 G86:G135">
    <cfRule type="cellIs" dxfId="1653" priority="5770" operator="lessThan">
      <formula>0</formula>
    </cfRule>
  </conditionalFormatting>
  <conditionalFormatting sqref="F136:G1048576 G86:G135">
    <cfRule type="cellIs" dxfId="1652" priority="5768" operator="lessThan">
      <formula>0</formula>
    </cfRule>
    <cfRule type="cellIs" dxfId="1651" priority="5769" operator="lessThan">
      <formula>0</formula>
    </cfRule>
  </conditionalFormatting>
  <conditionalFormatting sqref="F136:G1048576 G86:G135">
    <cfRule type="cellIs" dxfId="1650" priority="5767" operator="lessThan">
      <formula>0</formula>
    </cfRule>
  </conditionalFormatting>
  <conditionalFormatting sqref="F136:G1048576 G86:G135">
    <cfRule type="cellIs" dxfId="1649" priority="5766" operator="lessThan">
      <formula>0</formula>
    </cfRule>
  </conditionalFormatting>
  <conditionalFormatting sqref="F136:G1048576 G86:G135">
    <cfRule type="cellIs" dxfId="1648" priority="5765" operator="lessThan">
      <formula>0</formula>
    </cfRule>
  </conditionalFormatting>
  <conditionalFormatting sqref="F136:G1048576 G86:G135">
    <cfRule type="cellIs" dxfId="1647" priority="5764" operator="lessThan">
      <formula>0</formula>
    </cfRule>
  </conditionalFormatting>
  <conditionalFormatting sqref="F136:G1048576 G86:G135">
    <cfRule type="cellIs" dxfId="1646" priority="5763" operator="lessThan">
      <formula>0</formula>
    </cfRule>
  </conditionalFormatting>
  <conditionalFormatting sqref="F136:G1048576 G86:G135">
    <cfRule type="cellIs" dxfId="1645" priority="5762" operator="lessThan">
      <formula>0</formula>
    </cfRule>
  </conditionalFormatting>
  <conditionalFormatting sqref="F136:G1048576 G86:G135">
    <cfRule type="cellIs" dxfId="1644" priority="5761" operator="lessThan">
      <formula>0</formula>
    </cfRule>
  </conditionalFormatting>
  <conditionalFormatting sqref="F136:G1048576 G86:G135">
    <cfRule type="cellIs" dxfId="1643" priority="5760" operator="lessThan">
      <formula>0</formula>
    </cfRule>
  </conditionalFormatting>
  <conditionalFormatting sqref="F136:G1048576 G86:G135">
    <cfRule type="cellIs" dxfId="1642" priority="5759" operator="lessThan">
      <formula>0</formula>
    </cfRule>
  </conditionalFormatting>
  <conditionalFormatting sqref="F136:G1048576 G86:G135">
    <cfRule type="cellIs" dxfId="1641" priority="5758" operator="lessThan">
      <formula>0</formula>
    </cfRule>
  </conditionalFormatting>
  <conditionalFormatting sqref="F136:G1048576 G86:G135">
    <cfRule type="cellIs" dxfId="1640" priority="5757" operator="lessThan">
      <formula>0</formula>
    </cfRule>
  </conditionalFormatting>
  <conditionalFormatting sqref="F136:G1048576 G86:G135">
    <cfRule type="cellIs" dxfId="1639" priority="5756" operator="lessThan">
      <formula>0</formula>
    </cfRule>
  </conditionalFormatting>
  <conditionalFormatting sqref="F136:G1048576 G86:G135">
    <cfRule type="cellIs" dxfId="1638" priority="5755" operator="lessThan">
      <formula>0</formula>
    </cfRule>
  </conditionalFormatting>
  <conditionalFormatting sqref="F136:G1048576 G86:G135">
    <cfRule type="cellIs" dxfId="1637" priority="5754" operator="lessThan">
      <formula>0</formula>
    </cfRule>
  </conditionalFormatting>
  <conditionalFormatting sqref="F136:G1048576 G86:G135">
    <cfRule type="cellIs" dxfId="1636" priority="5753" operator="lessThan">
      <formula>0</formula>
    </cfRule>
  </conditionalFormatting>
  <conditionalFormatting sqref="F136:G1048576 G86:G135">
    <cfRule type="cellIs" dxfId="1635" priority="5752" operator="lessThan">
      <formula>0</formula>
    </cfRule>
  </conditionalFormatting>
  <conditionalFormatting sqref="F136:G1048576 G86:G135">
    <cfRule type="cellIs" dxfId="1634" priority="5751" operator="lessThan">
      <formula>0</formula>
    </cfRule>
  </conditionalFormatting>
  <conditionalFormatting sqref="F136:G1048576 G86:G135">
    <cfRule type="cellIs" dxfId="1633" priority="5750" operator="lessThan">
      <formula>0</formula>
    </cfRule>
  </conditionalFormatting>
  <conditionalFormatting sqref="F136:G1048576 G86:G135">
    <cfRule type="cellIs" dxfId="1632" priority="5749" operator="lessThan">
      <formula>0</formula>
    </cfRule>
  </conditionalFormatting>
  <conditionalFormatting sqref="F136:G1048576 G86:G135">
    <cfRule type="cellIs" dxfId="1631" priority="5748" operator="lessThan">
      <formula>0</formula>
    </cfRule>
  </conditionalFormatting>
  <conditionalFormatting sqref="F136:G1048576 G86:G135">
    <cfRule type="cellIs" dxfId="1630" priority="5747" operator="lessThan">
      <formula>0</formula>
    </cfRule>
  </conditionalFormatting>
  <conditionalFormatting sqref="F136:G1048576 G86:G135">
    <cfRule type="cellIs" dxfId="1629" priority="5746" operator="lessThan">
      <formula>0</formula>
    </cfRule>
  </conditionalFormatting>
  <conditionalFormatting sqref="F136:G1048576 G86:G135">
    <cfRule type="cellIs" dxfId="1628" priority="5745" operator="lessThan">
      <formula>0</formula>
    </cfRule>
  </conditionalFormatting>
  <conditionalFormatting sqref="F136:G1048576 G86:G135">
    <cfRule type="cellIs" dxfId="1627" priority="5744" operator="lessThan">
      <formula>0</formula>
    </cfRule>
  </conditionalFormatting>
  <conditionalFormatting sqref="F136:G1048576 G86:G135">
    <cfRule type="cellIs" dxfId="1626" priority="5743" operator="lessThan">
      <formula>0</formula>
    </cfRule>
  </conditionalFormatting>
  <conditionalFormatting sqref="F136:G1048576 G86:G135">
    <cfRule type="cellIs" dxfId="1625" priority="5742" operator="lessThan">
      <formula>0</formula>
    </cfRule>
  </conditionalFormatting>
  <conditionalFormatting sqref="F136:G1048576 G86:G135">
    <cfRule type="cellIs" dxfId="1624" priority="5741" operator="lessThan">
      <formula>0</formula>
    </cfRule>
  </conditionalFormatting>
  <conditionalFormatting sqref="F136:G1048576 G86:G135">
    <cfRule type="cellIs" dxfId="1623" priority="5740" operator="lessThan">
      <formula>0</formula>
    </cfRule>
  </conditionalFormatting>
  <conditionalFormatting sqref="F136:G1048576 G86:G135">
    <cfRule type="cellIs" dxfId="1622" priority="5739" operator="lessThan">
      <formula>0</formula>
    </cfRule>
  </conditionalFormatting>
  <conditionalFormatting sqref="F136:G1048576 G86:G135">
    <cfRule type="cellIs" dxfId="1621" priority="5738" operator="lessThan">
      <formula>0</formula>
    </cfRule>
  </conditionalFormatting>
  <conditionalFormatting sqref="F136:G1048576 G86:G135">
    <cfRule type="cellIs" dxfId="1620" priority="5737" operator="lessThan">
      <formula>0</formula>
    </cfRule>
  </conditionalFormatting>
  <conditionalFormatting sqref="F136:G1048576 G86:G135">
    <cfRule type="cellIs" dxfId="1619" priority="5736" operator="lessThan">
      <formula>0</formula>
    </cfRule>
  </conditionalFormatting>
  <conditionalFormatting sqref="F136:G1048576 G86:G135">
    <cfRule type="cellIs" dxfId="1618" priority="5735" operator="lessThan">
      <formula>0</formula>
    </cfRule>
  </conditionalFormatting>
  <conditionalFormatting sqref="F136:G1048576 G86:G135">
    <cfRule type="cellIs" dxfId="1617" priority="5734" operator="lessThan">
      <formula>0</formula>
    </cfRule>
  </conditionalFormatting>
  <conditionalFormatting sqref="F136:G1048576 G86:G135">
    <cfRule type="cellIs" dxfId="1616" priority="5733" operator="lessThan">
      <formula>0</formula>
    </cfRule>
  </conditionalFormatting>
  <conditionalFormatting sqref="F136:G1048576 G86:G135">
    <cfRule type="cellIs" dxfId="1615" priority="5732" operator="lessThan">
      <formula>0</formula>
    </cfRule>
  </conditionalFormatting>
  <conditionalFormatting sqref="F136:G1048576 G86:G135">
    <cfRule type="cellIs" dxfId="1614" priority="5731" operator="lessThan">
      <formula>0</formula>
    </cfRule>
  </conditionalFormatting>
  <conditionalFormatting sqref="F136:G1048576 G86:G135">
    <cfRule type="cellIs" dxfId="1613" priority="5730" operator="lessThan">
      <formula>0</formula>
    </cfRule>
  </conditionalFormatting>
  <conditionalFormatting sqref="F136:G1048576 G86:G135">
    <cfRule type="cellIs" dxfId="1612" priority="5729" operator="lessThan">
      <formula>0</formula>
    </cfRule>
  </conditionalFormatting>
  <conditionalFormatting sqref="F136:G1048576 G86:G135">
    <cfRule type="cellIs" dxfId="1611" priority="5728" operator="lessThan">
      <formula>0</formula>
    </cfRule>
  </conditionalFormatting>
  <conditionalFormatting sqref="F136:G1048576 G86:G135">
    <cfRule type="cellIs" dxfId="1610" priority="5727" operator="lessThan">
      <formula>0</formula>
    </cfRule>
  </conditionalFormatting>
  <conditionalFormatting sqref="F136:G1048576 G86:G135">
    <cfRule type="cellIs" dxfId="1609" priority="5726" operator="lessThan">
      <formula>0</formula>
    </cfRule>
  </conditionalFormatting>
  <conditionalFormatting sqref="F136:G1048576 G86:G135">
    <cfRule type="cellIs" dxfId="1608" priority="5725" operator="lessThan">
      <formula>0</formula>
    </cfRule>
  </conditionalFormatting>
  <conditionalFormatting sqref="F136:G1048576 G86:G135">
    <cfRule type="cellIs" dxfId="1607" priority="5724" operator="lessThan">
      <formula>0</formula>
    </cfRule>
  </conditionalFormatting>
  <conditionalFormatting sqref="F136:G1048576 G86:G135">
    <cfRule type="cellIs" dxfId="1606" priority="5723" operator="lessThan">
      <formula>0</formula>
    </cfRule>
  </conditionalFormatting>
  <conditionalFormatting sqref="F136:G1048576 G86:G135">
    <cfRule type="cellIs" dxfId="1605" priority="5722" operator="lessThan">
      <formula>0</formula>
    </cfRule>
  </conditionalFormatting>
  <conditionalFormatting sqref="F136:G1048576 G86:G135">
    <cfRule type="cellIs" dxfId="1604" priority="5721" operator="lessThan">
      <formula>0</formula>
    </cfRule>
  </conditionalFormatting>
  <conditionalFormatting sqref="F136:G1048576 G86:G135">
    <cfRule type="cellIs" dxfId="1603" priority="5720" operator="lessThan">
      <formula>0</formula>
    </cfRule>
  </conditionalFormatting>
  <conditionalFormatting sqref="F136:G1048576 G86:G135">
    <cfRule type="cellIs" dxfId="1602" priority="5719" operator="lessThan">
      <formula>0</formula>
    </cfRule>
  </conditionalFormatting>
  <conditionalFormatting sqref="F136:G1048576 G86:G135">
    <cfRule type="cellIs" dxfId="1601" priority="5718" operator="lessThan">
      <formula>0</formula>
    </cfRule>
  </conditionalFormatting>
  <conditionalFormatting sqref="F136:G1048576 G86:G135">
    <cfRule type="cellIs" dxfId="1600" priority="5717" operator="lessThan">
      <formula>0</formula>
    </cfRule>
  </conditionalFormatting>
  <conditionalFormatting sqref="F136:G1048576 G86:G135">
    <cfRule type="cellIs" dxfId="1599" priority="5716" operator="lessThan">
      <formula>0</formula>
    </cfRule>
  </conditionalFormatting>
  <conditionalFormatting sqref="F136:G1048576 G86:G135">
    <cfRule type="cellIs" dxfId="1598" priority="5715" operator="lessThan">
      <formula>0</formula>
    </cfRule>
  </conditionalFormatting>
  <conditionalFormatting sqref="F136:G1048576 G86:G135">
    <cfRule type="cellIs" dxfId="1597" priority="5714" operator="lessThan">
      <formula>0</formula>
    </cfRule>
  </conditionalFormatting>
  <conditionalFormatting sqref="F136:G1048576 G86:G135">
    <cfRule type="cellIs" dxfId="1596" priority="5713" operator="lessThan">
      <formula>0</formula>
    </cfRule>
  </conditionalFormatting>
  <conditionalFormatting sqref="F136:G1048576 G86:G135">
    <cfRule type="cellIs" dxfId="1595" priority="5712" operator="lessThan">
      <formula>0</formula>
    </cfRule>
  </conditionalFormatting>
  <conditionalFormatting sqref="F136:G1048576 G86:G135">
    <cfRule type="cellIs" dxfId="1594" priority="5711" operator="lessThan">
      <formula>0</formula>
    </cfRule>
  </conditionalFormatting>
  <conditionalFormatting sqref="F136:G1048576 G86:G135">
    <cfRule type="cellIs" dxfId="1593" priority="5710" operator="lessThan">
      <formula>0</formula>
    </cfRule>
  </conditionalFormatting>
  <conditionalFormatting sqref="F136:G1048576 G86:G135">
    <cfRule type="cellIs" dxfId="1592" priority="5709" operator="lessThan">
      <formula>0</formula>
    </cfRule>
  </conditionalFormatting>
  <conditionalFormatting sqref="F136:G1048576 G86:G135">
    <cfRule type="cellIs" dxfId="1591" priority="5708" operator="lessThan">
      <formula>0</formula>
    </cfRule>
  </conditionalFormatting>
  <conditionalFormatting sqref="F136:G1048576 G86:G135">
    <cfRule type="cellIs" dxfId="1590" priority="5707" operator="lessThan">
      <formula>0</formula>
    </cfRule>
  </conditionalFormatting>
  <conditionalFormatting sqref="F136:G1048576 G86:G135">
    <cfRule type="cellIs" dxfId="1589" priority="5706" operator="lessThan">
      <formula>0</formula>
    </cfRule>
  </conditionalFormatting>
  <conditionalFormatting sqref="F136:G1048576 G86:G135">
    <cfRule type="cellIs" dxfId="1588" priority="5705" operator="lessThan">
      <formula>0</formula>
    </cfRule>
  </conditionalFormatting>
  <conditionalFormatting sqref="F136:G1048576 G86:G135">
    <cfRule type="cellIs" dxfId="1587" priority="5704" operator="lessThan">
      <formula>0</formula>
    </cfRule>
  </conditionalFormatting>
  <conditionalFormatting sqref="F136:G1048576 G86:G135">
    <cfRule type="cellIs" dxfId="1586" priority="5703" operator="lessThan">
      <formula>0</formula>
    </cfRule>
  </conditionalFormatting>
  <conditionalFormatting sqref="F136:G1048576 G86:G135">
    <cfRule type="cellIs" dxfId="1585" priority="5702" operator="lessThan">
      <formula>0</formula>
    </cfRule>
  </conditionalFormatting>
  <conditionalFormatting sqref="F136:G1048576 G86:G135">
    <cfRule type="cellIs" dxfId="1584" priority="5701" operator="lessThan">
      <formula>0</formula>
    </cfRule>
  </conditionalFormatting>
  <conditionalFormatting sqref="F136:G1048576 G86:G135">
    <cfRule type="cellIs" dxfId="1583" priority="5700" operator="lessThan">
      <formula>0</formula>
    </cfRule>
  </conditionalFormatting>
  <conditionalFormatting sqref="F136:G1048576 G86:G135">
    <cfRule type="cellIs" dxfId="1582" priority="5699" operator="lessThan">
      <formula>0</formula>
    </cfRule>
  </conditionalFormatting>
  <conditionalFormatting sqref="F136:G1048576 G86:G135">
    <cfRule type="cellIs" dxfId="1581" priority="5698" operator="lessThan">
      <formula>0</formula>
    </cfRule>
  </conditionalFormatting>
  <conditionalFormatting sqref="F136:G1048576 G86:G135">
    <cfRule type="cellIs" dxfId="1580" priority="5697" operator="lessThan">
      <formula>0</formula>
    </cfRule>
  </conditionalFormatting>
  <conditionalFormatting sqref="F136:G1048576 G86:G135">
    <cfRule type="cellIs" dxfId="1579" priority="5696" operator="lessThan">
      <formula>0</formula>
    </cfRule>
  </conditionalFormatting>
  <conditionalFormatting sqref="F136:G1048576 G86:G135">
    <cfRule type="cellIs" dxfId="1578" priority="5695" operator="lessThan">
      <formula>0</formula>
    </cfRule>
  </conditionalFormatting>
  <conditionalFormatting sqref="F136:G1048576 G86:G135">
    <cfRule type="cellIs" dxfId="1577" priority="5694" operator="lessThan">
      <formula>0</formula>
    </cfRule>
  </conditionalFormatting>
  <conditionalFormatting sqref="F136:G1048576 G86:G135">
    <cfRule type="cellIs" dxfId="1576" priority="5693" operator="lessThan">
      <formula>0</formula>
    </cfRule>
  </conditionalFormatting>
  <conditionalFormatting sqref="F136:G1048576 G86:G135">
    <cfRule type="cellIs" dxfId="1575" priority="5692" operator="lessThan">
      <formula>0</formula>
    </cfRule>
  </conditionalFormatting>
  <conditionalFormatting sqref="F136:G1048576 G86:G135">
    <cfRule type="cellIs" dxfId="1574" priority="5691" operator="lessThan">
      <formula>0</formula>
    </cfRule>
  </conditionalFormatting>
  <conditionalFormatting sqref="F136:G1048576 G86:G135">
    <cfRule type="cellIs" dxfId="1573" priority="5690" operator="lessThan">
      <formula>0</formula>
    </cfRule>
  </conditionalFormatting>
  <conditionalFormatting sqref="F136:G1048576 G86:G135">
    <cfRule type="cellIs" dxfId="1572" priority="5689" operator="lessThan">
      <formula>0</formula>
    </cfRule>
  </conditionalFormatting>
  <conditionalFormatting sqref="F136:G1048576 G86:G135">
    <cfRule type="cellIs" dxfId="1571" priority="5688" operator="lessThan">
      <formula>0</formula>
    </cfRule>
  </conditionalFormatting>
  <conditionalFormatting sqref="F136:G1048576 G86:G135">
    <cfRule type="cellIs" dxfId="1570" priority="5687" operator="lessThan">
      <formula>0</formula>
    </cfRule>
  </conditionalFormatting>
  <conditionalFormatting sqref="F136:G1048576 G86:G135">
    <cfRule type="cellIs" dxfId="1569" priority="5686" operator="lessThan">
      <formula>0</formula>
    </cfRule>
  </conditionalFormatting>
  <conditionalFormatting sqref="F136:G1048576 G86:G135">
    <cfRule type="cellIs" dxfId="1568" priority="5685" operator="lessThan">
      <formula>0</formula>
    </cfRule>
  </conditionalFormatting>
  <conditionalFormatting sqref="F136:G1048576 G86:G135">
    <cfRule type="cellIs" dxfId="1567" priority="5684" operator="lessThan">
      <formula>0</formula>
    </cfRule>
  </conditionalFormatting>
  <conditionalFormatting sqref="F136:G1048576 G86:G135">
    <cfRule type="cellIs" dxfId="1566" priority="5683" operator="lessThan">
      <formula>0</formula>
    </cfRule>
  </conditionalFormatting>
  <conditionalFormatting sqref="F136:G1048576 G86:G135">
    <cfRule type="cellIs" dxfId="1565" priority="5682" operator="lessThan">
      <formula>0</formula>
    </cfRule>
  </conditionalFormatting>
  <conditionalFormatting sqref="F136:G1048576 G86:G135">
    <cfRule type="cellIs" dxfId="1564" priority="5681" operator="lessThan">
      <formula>0</formula>
    </cfRule>
  </conditionalFormatting>
  <conditionalFormatting sqref="F136:G1048576 G86:G135">
    <cfRule type="cellIs" dxfId="1563" priority="5680" operator="lessThan">
      <formula>0</formula>
    </cfRule>
  </conditionalFormatting>
  <conditionalFormatting sqref="F136:G1048576 G86:G135">
    <cfRule type="cellIs" dxfId="1562" priority="5679" operator="lessThan">
      <formula>0</formula>
    </cfRule>
  </conditionalFormatting>
  <conditionalFormatting sqref="F136:G1048576 G86:G135">
    <cfRule type="cellIs" dxfId="1561" priority="5678" operator="lessThan">
      <formula>0</formula>
    </cfRule>
  </conditionalFormatting>
  <conditionalFormatting sqref="F136:G1048576 G86:G135">
    <cfRule type="cellIs" dxfId="1560" priority="5677" operator="lessThan">
      <formula>0</formula>
    </cfRule>
  </conditionalFormatting>
  <conditionalFormatting sqref="F136:G1048576 G86:G135">
    <cfRule type="cellIs" dxfId="1559" priority="5676" operator="lessThan">
      <formula>0</formula>
    </cfRule>
  </conditionalFormatting>
  <conditionalFormatting sqref="F136:G1048576 G86:G135">
    <cfRule type="cellIs" dxfId="1558" priority="5675" operator="lessThan">
      <formula>0</formula>
    </cfRule>
  </conditionalFormatting>
  <conditionalFormatting sqref="F136:G1048576 G86:G135">
    <cfRule type="cellIs" dxfId="1557" priority="5674" operator="lessThan">
      <formula>0</formula>
    </cfRule>
  </conditionalFormatting>
  <conditionalFormatting sqref="F136:G1048576 G86:G135">
    <cfRule type="cellIs" dxfId="1556" priority="5673" operator="lessThan">
      <formula>0</formula>
    </cfRule>
  </conditionalFormatting>
  <conditionalFormatting sqref="F136:G1048576 G86:G135">
    <cfRule type="cellIs" dxfId="1555" priority="5672" operator="lessThan">
      <formula>0</formula>
    </cfRule>
  </conditionalFormatting>
  <conditionalFormatting sqref="F136:G1048576 G86:G135">
    <cfRule type="cellIs" dxfId="1554" priority="5671" operator="lessThan">
      <formula>0</formula>
    </cfRule>
  </conditionalFormatting>
  <conditionalFormatting sqref="F136:G1048576 G86:G135">
    <cfRule type="cellIs" dxfId="1553" priority="5670" operator="lessThan">
      <formula>0</formula>
    </cfRule>
  </conditionalFormatting>
  <conditionalFormatting sqref="F136:G1048576 G86:G135">
    <cfRule type="cellIs" dxfId="1552" priority="5669" operator="lessThan">
      <formula>0</formula>
    </cfRule>
  </conditionalFormatting>
  <conditionalFormatting sqref="F136:G1048576 G86:G135">
    <cfRule type="cellIs" dxfId="1551" priority="5668" operator="lessThan">
      <formula>0</formula>
    </cfRule>
  </conditionalFormatting>
  <conditionalFormatting sqref="F136:G1048576 G86:G135">
    <cfRule type="cellIs" dxfId="1550" priority="5667" operator="lessThan">
      <formula>0</formula>
    </cfRule>
  </conditionalFormatting>
  <conditionalFormatting sqref="F136:G1048576 G86:G135">
    <cfRule type="cellIs" dxfId="1549" priority="5666" operator="lessThan">
      <formula>0</formula>
    </cfRule>
  </conditionalFormatting>
  <conditionalFormatting sqref="F136:G1048576 G86:G135">
    <cfRule type="cellIs" dxfId="1548" priority="5665" operator="lessThan">
      <formula>0</formula>
    </cfRule>
  </conditionalFormatting>
  <conditionalFormatting sqref="F136:G1048576 G86:G135">
    <cfRule type="cellIs" dxfId="1547" priority="5664" operator="lessThan">
      <formula>0</formula>
    </cfRule>
  </conditionalFormatting>
  <conditionalFormatting sqref="F136:G1048576 G86:G135">
    <cfRule type="cellIs" dxfId="1546" priority="5663" operator="lessThan">
      <formula>0</formula>
    </cfRule>
  </conditionalFormatting>
  <conditionalFormatting sqref="F136:G1048576 G86:G135">
    <cfRule type="cellIs" dxfId="1545" priority="5662" operator="lessThan">
      <formula>0</formula>
    </cfRule>
  </conditionalFormatting>
  <conditionalFormatting sqref="F136:G1048576 G86:G135">
    <cfRule type="cellIs" dxfId="1544" priority="5661" operator="lessThan">
      <formula>0</formula>
    </cfRule>
  </conditionalFormatting>
  <conditionalFormatting sqref="F136:G1048576 G86:G135">
    <cfRule type="cellIs" dxfId="1543" priority="5660" operator="lessThan">
      <formula>0</formula>
    </cfRule>
  </conditionalFormatting>
  <conditionalFormatting sqref="F136:G1048576 G86:G135">
    <cfRule type="cellIs" dxfId="1542" priority="5659" operator="lessThan">
      <formula>0</formula>
    </cfRule>
  </conditionalFormatting>
  <conditionalFormatting sqref="F136:G1048576 G86:G135">
    <cfRule type="cellIs" dxfId="1541" priority="5658" operator="lessThan">
      <formula>0</formula>
    </cfRule>
  </conditionalFormatting>
  <conditionalFormatting sqref="F136:G1048576 G86:G135">
    <cfRule type="cellIs" dxfId="1540" priority="5657" operator="lessThan">
      <formula>0</formula>
    </cfRule>
  </conditionalFormatting>
  <conditionalFormatting sqref="F136:G1048576 G86:G135">
    <cfRule type="cellIs" dxfId="1539" priority="5656" operator="lessThan">
      <formula>0</formula>
    </cfRule>
  </conditionalFormatting>
  <conditionalFormatting sqref="F136:G1048576 G86:G135">
    <cfRule type="cellIs" dxfId="1538" priority="5655" operator="lessThan">
      <formula>0</formula>
    </cfRule>
  </conditionalFormatting>
  <conditionalFormatting sqref="F136:G1048576 G86:G135">
    <cfRule type="cellIs" dxfId="1537" priority="5654" operator="lessThan">
      <formula>0</formula>
    </cfRule>
  </conditionalFormatting>
  <conditionalFormatting sqref="F136:G1048576 G86:G135">
    <cfRule type="cellIs" dxfId="1536" priority="5653" operator="lessThan">
      <formula>0</formula>
    </cfRule>
  </conditionalFormatting>
  <conditionalFormatting sqref="F136:G1048576 G86:G135">
    <cfRule type="cellIs" dxfId="1535" priority="5652" operator="lessThan">
      <formula>0</formula>
    </cfRule>
  </conditionalFormatting>
  <conditionalFormatting sqref="F136:G1048576 G86:G135">
    <cfRule type="cellIs" dxfId="1534" priority="5651" operator="lessThan">
      <formula>0</formula>
    </cfRule>
  </conditionalFormatting>
  <conditionalFormatting sqref="F136:G1048576 G86:G135">
    <cfRule type="cellIs" dxfId="1533" priority="5650" operator="lessThan">
      <formula>0</formula>
    </cfRule>
  </conditionalFormatting>
  <conditionalFormatting sqref="F136:G1048576 G86:G135">
    <cfRule type="cellIs" dxfId="1532" priority="5649" operator="lessThan">
      <formula>0</formula>
    </cfRule>
  </conditionalFormatting>
  <conditionalFormatting sqref="F136:G1048576 G86:G135">
    <cfRule type="cellIs" dxfId="1531" priority="5648" operator="lessThan">
      <formula>0</formula>
    </cfRule>
  </conditionalFormatting>
  <conditionalFormatting sqref="F136:G1048576 G86:G135">
    <cfRule type="cellIs" dxfId="1530" priority="5647" operator="lessThan">
      <formula>0</formula>
    </cfRule>
  </conditionalFormatting>
  <conditionalFormatting sqref="F136:G1048576 G86:G135">
    <cfRule type="cellIs" dxfId="1529" priority="5646" operator="lessThan">
      <formula>0</formula>
    </cfRule>
  </conditionalFormatting>
  <conditionalFormatting sqref="F136:G1048576 G86:G135">
    <cfRule type="cellIs" dxfId="1528" priority="5645" operator="lessThan">
      <formula>0</formula>
    </cfRule>
  </conditionalFormatting>
  <conditionalFormatting sqref="F136:G1048576 G86:G135">
    <cfRule type="cellIs" dxfId="1527" priority="5644" operator="lessThan">
      <formula>0</formula>
    </cfRule>
  </conditionalFormatting>
  <conditionalFormatting sqref="F136:G1048576 G86:G135">
    <cfRule type="cellIs" dxfId="1526" priority="5643" operator="lessThan">
      <formula>0</formula>
    </cfRule>
  </conditionalFormatting>
  <conditionalFormatting sqref="F136:G1048576 G86:G135">
    <cfRule type="cellIs" dxfId="1525" priority="5642" operator="lessThan">
      <formula>0</formula>
    </cfRule>
  </conditionalFormatting>
  <conditionalFormatting sqref="F136:G1048576 G86:G135">
    <cfRule type="cellIs" dxfId="1524" priority="5641" operator="lessThan">
      <formula>0</formula>
    </cfRule>
  </conditionalFormatting>
  <conditionalFormatting sqref="F136:G1048576 G86:G135">
    <cfRule type="cellIs" dxfId="1523" priority="5640" operator="lessThan">
      <formula>0</formula>
    </cfRule>
  </conditionalFormatting>
  <conditionalFormatting sqref="F136:G1048576 G86:G135">
    <cfRule type="cellIs" dxfId="1522" priority="5639" operator="lessThan">
      <formula>0</formula>
    </cfRule>
  </conditionalFormatting>
  <conditionalFormatting sqref="F136:G1048576 G86:G135">
    <cfRule type="cellIs" dxfId="1521" priority="5638" operator="lessThan">
      <formula>0</formula>
    </cfRule>
  </conditionalFormatting>
  <conditionalFormatting sqref="F136:G1048576 G86:G135">
    <cfRule type="cellIs" dxfId="1520" priority="5637" operator="lessThan">
      <formula>0</formula>
    </cfRule>
  </conditionalFormatting>
  <conditionalFormatting sqref="F136:G1048576 G86:G135">
    <cfRule type="cellIs" dxfId="1519" priority="5636" operator="lessThan">
      <formula>0</formula>
    </cfRule>
  </conditionalFormatting>
  <conditionalFormatting sqref="F136:G1048576 G86:G135">
    <cfRule type="cellIs" dxfId="1518" priority="5635" operator="lessThan">
      <formula>0</formula>
    </cfRule>
  </conditionalFormatting>
  <conditionalFormatting sqref="F136:G1048576 G86:G135">
    <cfRule type="cellIs" dxfId="1517" priority="5634" operator="lessThan">
      <formula>0</formula>
    </cfRule>
  </conditionalFormatting>
  <conditionalFormatting sqref="F136:G1048576 G86:G135">
    <cfRule type="cellIs" dxfId="1516" priority="5633" operator="lessThan">
      <formula>0</formula>
    </cfRule>
  </conditionalFormatting>
  <conditionalFormatting sqref="F136:G1048576 G86:G135">
    <cfRule type="cellIs" dxfId="1515" priority="5632" operator="lessThan">
      <formula>0</formula>
    </cfRule>
  </conditionalFormatting>
  <conditionalFormatting sqref="F136:G1048576 G86:G135">
    <cfRule type="cellIs" dxfId="1514" priority="5631" operator="lessThan">
      <formula>0</formula>
    </cfRule>
  </conditionalFormatting>
  <conditionalFormatting sqref="F136:G1048576 G86:G135">
    <cfRule type="cellIs" dxfId="1513" priority="5630" operator="lessThan">
      <formula>0</formula>
    </cfRule>
  </conditionalFormatting>
  <conditionalFormatting sqref="F136:G1048576 G86:G135">
    <cfRule type="cellIs" dxfId="1512" priority="5629" operator="lessThan">
      <formula>0</formula>
    </cfRule>
  </conditionalFormatting>
  <conditionalFormatting sqref="F136:G1048576 G86:G135">
    <cfRule type="cellIs" dxfId="1511" priority="5628" operator="lessThan">
      <formula>0</formula>
    </cfRule>
  </conditionalFormatting>
  <conditionalFormatting sqref="F136:G1048576 G86:G135">
    <cfRule type="cellIs" dxfId="1510" priority="5627" operator="lessThan">
      <formula>0</formula>
    </cfRule>
  </conditionalFormatting>
  <conditionalFormatting sqref="F136:G1048576 G86:G135">
    <cfRule type="cellIs" dxfId="1509" priority="5626" operator="lessThan">
      <formula>0</formula>
    </cfRule>
  </conditionalFormatting>
  <conditionalFormatting sqref="F136:G1048576 G86:G135">
    <cfRule type="cellIs" dxfId="1508" priority="5625" operator="lessThan">
      <formula>0</formula>
    </cfRule>
  </conditionalFormatting>
  <conditionalFormatting sqref="F136:G1048576 G86:G135">
    <cfRule type="cellIs" dxfId="1507" priority="5624" operator="lessThan">
      <formula>0</formula>
    </cfRule>
  </conditionalFormatting>
  <conditionalFormatting sqref="F136:G1048576 G86:G135">
    <cfRule type="cellIs" dxfId="1506" priority="5623" operator="lessThan">
      <formula>0</formula>
    </cfRule>
  </conditionalFormatting>
  <conditionalFormatting sqref="F136:G1048576 G86:G135">
    <cfRule type="cellIs" dxfId="1505" priority="5622" operator="lessThan">
      <formula>0</formula>
    </cfRule>
  </conditionalFormatting>
  <conditionalFormatting sqref="F136:G1048576 G86:G135">
    <cfRule type="cellIs" dxfId="1504" priority="5621" operator="lessThan">
      <formula>0</formula>
    </cfRule>
  </conditionalFormatting>
  <conditionalFormatting sqref="F136:G1048576 G86:G135">
    <cfRule type="cellIs" dxfId="1503" priority="5620" operator="lessThan">
      <formula>0</formula>
    </cfRule>
  </conditionalFormatting>
  <conditionalFormatting sqref="F136:G1048576 G86:G135">
    <cfRule type="cellIs" dxfId="1502" priority="5619" operator="lessThan">
      <formula>0</formula>
    </cfRule>
  </conditionalFormatting>
  <conditionalFormatting sqref="F136:G1048576 G86:G135">
    <cfRule type="cellIs" dxfId="1501" priority="5618" operator="lessThan">
      <formula>0</formula>
    </cfRule>
  </conditionalFormatting>
  <conditionalFormatting sqref="F136:G1048576 G86:G135">
    <cfRule type="cellIs" dxfId="1500" priority="5617" operator="lessThan">
      <formula>0</formula>
    </cfRule>
  </conditionalFormatting>
  <conditionalFormatting sqref="F136:G1048576 G86:G135">
    <cfRule type="cellIs" dxfId="1499" priority="5616" operator="lessThan">
      <formula>0</formula>
    </cfRule>
  </conditionalFormatting>
  <conditionalFormatting sqref="F136:G1048576 G86:G135">
    <cfRule type="cellIs" dxfId="1498" priority="5615" operator="lessThan">
      <formula>0</formula>
    </cfRule>
  </conditionalFormatting>
  <conditionalFormatting sqref="F136:G1048576 G86:G135">
    <cfRule type="cellIs" dxfId="1497" priority="5614" operator="lessThan">
      <formula>0</formula>
    </cfRule>
  </conditionalFormatting>
  <conditionalFormatting sqref="F136:G1048576 G86:G135">
    <cfRule type="cellIs" dxfId="1496" priority="5613" operator="lessThan">
      <formula>0</formula>
    </cfRule>
  </conditionalFormatting>
  <conditionalFormatting sqref="F136:G1048576 G86:G135">
    <cfRule type="cellIs" dxfId="1495" priority="5612" operator="lessThan">
      <formula>0</formula>
    </cfRule>
  </conditionalFormatting>
  <conditionalFormatting sqref="F136:G1048576 G86:G135">
    <cfRule type="cellIs" dxfId="1494" priority="5611" operator="lessThan">
      <formula>0</formula>
    </cfRule>
  </conditionalFormatting>
  <conditionalFormatting sqref="F136:G1048576 G86:G135">
    <cfRule type="cellIs" dxfId="1493" priority="5610" operator="lessThan">
      <formula>0</formula>
    </cfRule>
  </conditionalFormatting>
  <conditionalFormatting sqref="F136:G1048576 G86:G135">
    <cfRule type="cellIs" dxfId="1492" priority="5609" operator="lessThan">
      <formula>0</formula>
    </cfRule>
  </conditionalFormatting>
  <conditionalFormatting sqref="F136:G1048576 G86:G135">
    <cfRule type="cellIs" dxfId="1491" priority="5608" operator="lessThan">
      <formula>0</formula>
    </cfRule>
  </conditionalFormatting>
  <conditionalFormatting sqref="F136:G1048576 G86:G135">
    <cfRule type="cellIs" dxfId="1490" priority="5607" operator="lessThan">
      <formula>0</formula>
    </cfRule>
  </conditionalFormatting>
  <conditionalFormatting sqref="F136:G1048576 G86:G135">
    <cfRule type="cellIs" dxfId="1489" priority="5606" operator="lessThan">
      <formula>0</formula>
    </cfRule>
  </conditionalFormatting>
  <conditionalFormatting sqref="F136:G1048576 G86:G135">
    <cfRule type="cellIs" dxfId="1488" priority="5605" operator="lessThan">
      <formula>0</formula>
    </cfRule>
  </conditionalFormatting>
  <conditionalFormatting sqref="F136:G1048576 G86:G135">
    <cfRule type="cellIs" dxfId="1487" priority="5604" operator="lessThan">
      <formula>0</formula>
    </cfRule>
  </conditionalFormatting>
  <conditionalFormatting sqref="F136:G1048576 G86:G135">
    <cfRule type="cellIs" dxfId="1486" priority="5603" operator="lessThan">
      <formula>0</formula>
    </cfRule>
  </conditionalFormatting>
  <conditionalFormatting sqref="F136:G1048576 G86:G135">
    <cfRule type="cellIs" dxfId="1485" priority="5602" operator="lessThan">
      <formula>0</formula>
    </cfRule>
  </conditionalFormatting>
  <conditionalFormatting sqref="F136:G1048576 G86:G135">
    <cfRule type="cellIs" dxfId="1484" priority="5601" operator="lessThan">
      <formula>0</formula>
    </cfRule>
  </conditionalFormatting>
  <conditionalFormatting sqref="F136:G1048576 G86:G135">
    <cfRule type="cellIs" dxfId="1483" priority="5600" operator="lessThan">
      <formula>0</formula>
    </cfRule>
  </conditionalFormatting>
  <conditionalFormatting sqref="F136:G1048576 G86:G135">
    <cfRule type="cellIs" dxfId="1482" priority="5599" operator="lessThan">
      <formula>0</formula>
    </cfRule>
  </conditionalFormatting>
  <conditionalFormatting sqref="F136:G1048576 G86:G135">
    <cfRule type="cellIs" dxfId="1481" priority="5598" operator="lessThan">
      <formula>0</formula>
    </cfRule>
  </conditionalFormatting>
  <conditionalFormatting sqref="F136:G1048576 G86:G135">
    <cfRule type="cellIs" dxfId="1480" priority="5597" operator="lessThan">
      <formula>0</formula>
    </cfRule>
  </conditionalFormatting>
  <conditionalFormatting sqref="F136:G1048576 G86:G135">
    <cfRule type="cellIs" dxfId="1479" priority="5596" operator="lessThan">
      <formula>0</formula>
    </cfRule>
  </conditionalFormatting>
  <conditionalFormatting sqref="F136:G1048576 G86:G135">
    <cfRule type="cellIs" dxfId="1478" priority="5595" operator="lessThan">
      <formula>0</formula>
    </cfRule>
  </conditionalFormatting>
  <conditionalFormatting sqref="F136:G1048576 G86:G135">
    <cfRule type="cellIs" dxfId="1477" priority="5594" operator="lessThan">
      <formula>0</formula>
    </cfRule>
  </conditionalFormatting>
  <conditionalFormatting sqref="F136:G1048576 G86:G135">
    <cfRule type="cellIs" dxfId="1476" priority="5593" operator="lessThan">
      <formula>0</formula>
    </cfRule>
  </conditionalFormatting>
  <conditionalFormatting sqref="F136:G1048576 G86:G135">
    <cfRule type="cellIs" dxfId="1475" priority="5592" operator="lessThan">
      <formula>0</formula>
    </cfRule>
  </conditionalFormatting>
  <conditionalFormatting sqref="F136:G1048576 G86:G135">
    <cfRule type="cellIs" dxfId="1474" priority="5591" operator="lessThan">
      <formula>0</formula>
    </cfRule>
  </conditionalFormatting>
  <conditionalFormatting sqref="F136:G1048576 G86:G135">
    <cfRule type="cellIs" dxfId="1473" priority="5590" operator="lessThan">
      <formula>0</formula>
    </cfRule>
  </conditionalFormatting>
  <conditionalFormatting sqref="F136:G1048576 G86:G135">
    <cfRule type="cellIs" dxfId="1472" priority="5589" operator="lessThan">
      <formula>0</formula>
    </cfRule>
  </conditionalFormatting>
  <conditionalFormatting sqref="F136:G1048576 G86:G135">
    <cfRule type="cellIs" dxfId="1471" priority="5588" operator="lessThan">
      <formula>0</formula>
    </cfRule>
  </conditionalFormatting>
  <conditionalFormatting sqref="F136:G1048576 G86:G135">
    <cfRule type="cellIs" dxfId="1470" priority="5587" operator="lessThan">
      <formula>0</formula>
    </cfRule>
  </conditionalFormatting>
  <conditionalFormatting sqref="F136:G1048576 G86:G135">
    <cfRule type="cellIs" dxfId="1469" priority="5586" operator="lessThan">
      <formula>0</formula>
    </cfRule>
  </conditionalFormatting>
  <conditionalFormatting sqref="F136:G1048576 G86:G135">
    <cfRule type="cellIs" dxfId="1468" priority="5585" operator="lessThan">
      <formula>0</formula>
    </cfRule>
  </conditionalFormatting>
  <conditionalFormatting sqref="F136:G1048576 G86:G135">
    <cfRule type="cellIs" dxfId="1467" priority="5584" operator="lessThan">
      <formula>0</formula>
    </cfRule>
  </conditionalFormatting>
  <conditionalFormatting sqref="F136:G1048576 G86:G135">
    <cfRule type="cellIs" dxfId="1466" priority="5583" operator="lessThan">
      <formula>0</formula>
    </cfRule>
  </conditionalFormatting>
  <conditionalFormatting sqref="F136:G1048576 G86:G135">
    <cfRule type="cellIs" dxfId="1465" priority="5582" operator="lessThan">
      <formula>0</formula>
    </cfRule>
  </conditionalFormatting>
  <conditionalFormatting sqref="F136:G1048576 G86:G135">
    <cfRule type="cellIs" dxfId="1464" priority="5581" operator="lessThan">
      <formula>0</formula>
    </cfRule>
  </conditionalFormatting>
  <conditionalFormatting sqref="F136:G1048576 G86:G135">
    <cfRule type="cellIs" dxfId="1463" priority="5580" operator="lessThan">
      <formula>0</formula>
    </cfRule>
  </conditionalFormatting>
  <conditionalFormatting sqref="F136:G1048576 G86:G135">
    <cfRule type="cellIs" dxfId="1462" priority="5579" operator="lessThan">
      <formula>0</formula>
    </cfRule>
  </conditionalFormatting>
  <conditionalFormatting sqref="F136:G1048576 G86:G135">
    <cfRule type="cellIs" dxfId="1461" priority="5578" operator="lessThan">
      <formula>0</formula>
    </cfRule>
  </conditionalFormatting>
  <conditionalFormatting sqref="F136:G1048576 G86:G135">
    <cfRule type="cellIs" dxfId="1460" priority="5577" operator="lessThan">
      <formula>0</formula>
    </cfRule>
  </conditionalFormatting>
  <conditionalFormatting sqref="F136:G1048576 G86:G135">
    <cfRule type="cellIs" dxfId="1459" priority="5576" operator="lessThan">
      <formula>0</formula>
    </cfRule>
  </conditionalFormatting>
  <conditionalFormatting sqref="F136:G1048576 G86:G135">
    <cfRule type="cellIs" dxfId="1458" priority="5575" operator="lessThan">
      <formula>0</formula>
    </cfRule>
  </conditionalFormatting>
  <conditionalFormatting sqref="F136:G1048576 G86:G135">
    <cfRule type="cellIs" dxfId="1457" priority="5574" operator="lessThan">
      <formula>0</formula>
    </cfRule>
  </conditionalFormatting>
  <conditionalFormatting sqref="F136:G1048576 G86:G135">
    <cfRule type="cellIs" dxfId="1456" priority="5573" operator="lessThan">
      <formula>0</formula>
    </cfRule>
  </conditionalFormatting>
  <conditionalFormatting sqref="F136:G1048576 G86:G135">
    <cfRule type="cellIs" dxfId="1455" priority="5572" operator="lessThan">
      <formula>0</formula>
    </cfRule>
  </conditionalFormatting>
  <conditionalFormatting sqref="F136:G1048576 G86:G135">
    <cfRule type="cellIs" dxfId="1454" priority="5571" operator="lessThan">
      <formula>0</formula>
    </cfRule>
  </conditionalFormatting>
  <conditionalFormatting sqref="F136:G1048576 G86:G135">
    <cfRule type="cellIs" dxfId="1453" priority="5570" operator="lessThan">
      <formula>0</formula>
    </cfRule>
  </conditionalFormatting>
  <conditionalFormatting sqref="F136:G1048576 G86:G135">
    <cfRule type="cellIs" dxfId="1452" priority="5569" operator="lessThan">
      <formula>0</formula>
    </cfRule>
  </conditionalFormatting>
  <conditionalFormatting sqref="F136:G1048576 G86:G135">
    <cfRule type="cellIs" dxfId="1451" priority="5568" operator="lessThan">
      <formula>0</formula>
    </cfRule>
  </conditionalFormatting>
  <conditionalFormatting sqref="F136:G1048576 G86:G135">
    <cfRule type="cellIs" dxfId="1450" priority="5567" operator="lessThan">
      <formula>0</formula>
    </cfRule>
  </conditionalFormatting>
  <conditionalFormatting sqref="F136:G1048576 G86:G135">
    <cfRule type="cellIs" dxfId="1449" priority="5566" operator="lessThan">
      <formula>0</formula>
    </cfRule>
  </conditionalFormatting>
  <conditionalFormatting sqref="F136:G1048576 G86:G135">
    <cfRule type="cellIs" dxfId="1448" priority="5565" operator="lessThan">
      <formula>0</formula>
    </cfRule>
  </conditionalFormatting>
  <conditionalFormatting sqref="F136:G1048576 G86:G135">
    <cfRule type="cellIs" dxfId="1447" priority="5564" operator="lessThan">
      <formula>0</formula>
    </cfRule>
  </conditionalFormatting>
  <conditionalFormatting sqref="F136:G1048576 G86:G135">
    <cfRule type="cellIs" dxfId="1446" priority="5563" operator="lessThan">
      <formula>0</formula>
    </cfRule>
  </conditionalFormatting>
  <conditionalFormatting sqref="F136:G1048576 G86:G135">
    <cfRule type="cellIs" dxfId="1445" priority="5562" operator="lessThan">
      <formula>0</formula>
    </cfRule>
  </conditionalFormatting>
  <conditionalFormatting sqref="F136:G1048576 G86:G135">
    <cfRule type="cellIs" dxfId="1444" priority="5561" operator="lessThan">
      <formula>0</formula>
    </cfRule>
  </conditionalFormatting>
  <conditionalFormatting sqref="F136:G1048576 G86:G135">
    <cfRule type="cellIs" dxfId="1443" priority="5560" operator="lessThan">
      <formula>0</formula>
    </cfRule>
  </conditionalFormatting>
  <conditionalFormatting sqref="F136:G1048576 G86:G135">
    <cfRule type="cellIs" dxfId="1442" priority="5559" operator="lessThan">
      <formula>0</formula>
    </cfRule>
  </conditionalFormatting>
  <conditionalFormatting sqref="F136:G1048576 G86:G135">
    <cfRule type="cellIs" dxfId="1441" priority="5558" operator="lessThan">
      <formula>0</formula>
    </cfRule>
  </conditionalFormatting>
  <conditionalFormatting sqref="F136:G1048576 G86:G135">
    <cfRule type="cellIs" dxfId="1440" priority="5557" operator="lessThan">
      <formula>0</formula>
    </cfRule>
  </conditionalFormatting>
  <conditionalFormatting sqref="F136:G1048576 G86:G135">
    <cfRule type="cellIs" dxfId="1439" priority="5556" operator="lessThan">
      <formula>0</formula>
    </cfRule>
  </conditionalFormatting>
  <conditionalFormatting sqref="F136:G1048576 G86:G135">
    <cfRule type="cellIs" dxfId="1438" priority="5555" operator="lessThan">
      <formula>0</formula>
    </cfRule>
  </conditionalFormatting>
  <conditionalFormatting sqref="F136:G1048576 G86:G135">
    <cfRule type="cellIs" dxfId="1437" priority="5554" operator="lessThan">
      <formula>0</formula>
    </cfRule>
  </conditionalFormatting>
  <conditionalFormatting sqref="F136:G1048576 G86:G135">
    <cfRule type="cellIs" dxfId="1436" priority="5553" operator="lessThan">
      <formula>0</formula>
    </cfRule>
  </conditionalFormatting>
  <conditionalFormatting sqref="F136:G1048576 G86:G135">
    <cfRule type="cellIs" dxfId="1435" priority="5552" operator="lessThan">
      <formula>0</formula>
    </cfRule>
  </conditionalFormatting>
  <conditionalFormatting sqref="F136:G1048576 G86:G135">
    <cfRule type="cellIs" dxfId="1434" priority="5551" operator="lessThan">
      <formula>0</formula>
    </cfRule>
  </conditionalFormatting>
  <conditionalFormatting sqref="F136:G1048576 G86:G135">
    <cfRule type="cellIs" dxfId="1433" priority="5550" operator="lessThan">
      <formula>0</formula>
    </cfRule>
  </conditionalFormatting>
  <conditionalFormatting sqref="F136:G1048576 G86:G135">
    <cfRule type="cellIs" dxfId="1432" priority="5549" operator="lessThan">
      <formula>0</formula>
    </cfRule>
  </conditionalFormatting>
  <conditionalFormatting sqref="F136:G1048576 G86:G135">
    <cfRule type="cellIs" dxfId="1431" priority="5548" operator="lessThan">
      <formula>0</formula>
    </cfRule>
  </conditionalFormatting>
  <conditionalFormatting sqref="F136:G1048576 G86:G135">
    <cfRule type="cellIs" dxfId="1430" priority="5547" operator="lessThan">
      <formula>0</formula>
    </cfRule>
  </conditionalFormatting>
  <conditionalFormatting sqref="F136:G1048576 G86:G135">
    <cfRule type="cellIs" dxfId="1429" priority="5546" operator="lessThan">
      <formula>0</formula>
    </cfRule>
  </conditionalFormatting>
  <conditionalFormatting sqref="F136:G1048576 G86:G135">
    <cfRule type="cellIs" dxfId="1428" priority="5545" operator="lessThan">
      <formula>0</formula>
    </cfRule>
  </conditionalFormatting>
  <conditionalFormatting sqref="F136:G1048576 G86:G135">
    <cfRule type="cellIs" dxfId="1427" priority="5544" operator="lessThan">
      <formula>0</formula>
    </cfRule>
  </conditionalFormatting>
  <conditionalFormatting sqref="F136:G1048576 G86:G135">
    <cfRule type="cellIs" dxfId="1426" priority="5543" operator="lessThan">
      <formula>0</formula>
    </cfRule>
  </conditionalFormatting>
  <conditionalFormatting sqref="F136:G1048576 G86:G135">
    <cfRule type="cellIs" dxfId="1425" priority="5542" operator="lessThan">
      <formula>0</formula>
    </cfRule>
  </conditionalFormatting>
  <conditionalFormatting sqref="F136:G1048576 G86:G135">
    <cfRule type="cellIs" dxfId="1424" priority="5541" operator="lessThan">
      <formula>0</formula>
    </cfRule>
  </conditionalFormatting>
  <conditionalFormatting sqref="F136:G1048576 G86:G135">
    <cfRule type="cellIs" dxfId="1423" priority="5540" operator="lessThan">
      <formula>0</formula>
    </cfRule>
  </conditionalFormatting>
  <conditionalFormatting sqref="F136:G1048576 G86:G135">
    <cfRule type="cellIs" dxfId="1422" priority="5539" operator="lessThan">
      <formula>0</formula>
    </cfRule>
  </conditionalFormatting>
  <conditionalFormatting sqref="F136:G1048576 G86:G135">
    <cfRule type="cellIs" dxfId="1421" priority="5538" operator="lessThan">
      <formula>0</formula>
    </cfRule>
  </conditionalFormatting>
  <conditionalFormatting sqref="F136:G1048576 G86:G135">
    <cfRule type="cellIs" dxfId="1420" priority="5537" operator="lessThan">
      <formula>0</formula>
    </cfRule>
  </conditionalFormatting>
  <conditionalFormatting sqref="F136:G1048576 G86:G135">
    <cfRule type="cellIs" dxfId="1419" priority="5536" operator="lessThan">
      <formula>0</formula>
    </cfRule>
  </conditionalFormatting>
  <conditionalFormatting sqref="F136:G1048576 G86:G135">
    <cfRule type="cellIs" dxfId="1418" priority="5535" operator="lessThan">
      <formula>0</formula>
    </cfRule>
  </conditionalFormatting>
  <conditionalFormatting sqref="F136:G1048576 G86:G135">
    <cfRule type="cellIs" dxfId="1417" priority="5534" operator="lessThan">
      <formula>0</formula>
    </cfRule>
  </conditionalFormatting>
  <conditionalFormatting sqref="F136:G1048576 G86:G135">
    <cfRule type="cellIs" dxfId="1416" priority="5533" operator="lessThan">
      <formula>0</formula>
    </cfRule>
  </conditionalFormatting>
  <conditionalFormatting sqref="F136:G1048576 G86:G135">
    <cfRule type="cellIs" dxfId="1415" priority="5532" operator="lessThan">
      <formula>0</formula>
    </cfRule>
  </conditionalFormatting>
  <conditionalFormatting sqref="F136:G1048576 G86:G135">
    <cfRule type="cellIs" dxfId="1414" priority="5531" operator="lessThan">
      <formula>0</formula>
    </cfRule>
  </conditionalFormatting>
  <conditionalFormatting sqref="F136:G1048576 G86:G135">
    <cfRule type="cellIs" dxfId="1413" priority="5530" operator="lessThan">
      <formula>0</formula>
    </cfRule>
  </conditionalFormatting>
  <conditionalFormatting sqref="F136:G1048576 G86:G135">
    <cfRule type="cellIs" dxfId="1412" priority="5529" operator="lessThan">
      <formula>0</formula>
    </cfRule>
  </conditionalFormatting>
  <conditionalFormatting sqref="F136:G1048576 G86:G135">
    <cfRule type="cellIs" dxfId="1411" priority="5528" operator="lessThan">
      <formula>0</formula>
    </cfRule>
  </conditionalFormatting>
  <conditionalFormatting sqref="F136:G1048576 G86:G135">
    <cfRule type="cellIs" dxfId="1410" priority="5527" operator="lessThan">
      <formula>0</formula>
    </cfRule>
  </conditionalFormatting>
  <conditionalFormatting sqref="F136:G1048576 G86:G135">
    <cfRule type="cellIs" dxfId="1409" priority="5526" operator="lessThan">
      <formula>0</formula>
    </cfRule>
  </conditionalFormatting>
  <conditionalFormatting sqref="F136:G1048576 G86:G135">
    <cfRule type="cellIs" dxfId="1408" priority="5525" operator="lessThan">
      <formula>0</formula>
    </cfRule>
  </conditionalFormatting>
  <conditionalFormatting sqref="F136:G1048576 G86:G135">
    <cfRule type="cellIs" dxfId="1407" priority="5524" operator="lessThan">
      <formula>0</formula>
    </cfRule>
  </conditionalFormatting>
  <conditionalFormatting sqref="F136:G1048576 G86:G135">
    <cfRule type="cellIs" dxfId="1406" priority="5523" operator="lessThan">
      <formula>0</formula>
    </cfRule>
  </conditionalFormatting>
  <conditionalFormatting sqref="F136:G1048576 G86:G135">
    <cfRule type="cellIs" dxfId="1405" priority="5522" operator="lessThan">
      <formula>0</formula>
    </cfRule>
  </conditionalFormatting>
  <conditionalFormatting sqref="F136:G1048576 G86:G135">
    <cfRule type="cellIs" dxfId="1404" priority="5521" operator="lessThan">
      <formula>0</formula>
    </cfRule>
  </conditionalFormatting>
  <conditionalFormatting sqref="F136:G1048576 G86:G135">
    <cfRule type="cellIs" dxfId="1403" priority="5520" operator="lessThan">
      <formula>0</formula>
    </cfRule>
  </conditionalFormatting>
  <conditionalFormatting sqref="F136:G1048576 G86:G135">
    <cfRule type="cellIs" dxfId="1402" priority="5519" operator="lessThan">
      <formula>0</formula>
    </cfRule>
  </conditionalFormatting>
  <conditionalFormatting sqref="F136:G1048576 G86:G135">
    <cfRule type="cellIs" dxfId="1401" priority="5518" operator="lessThan">
      <formula>0</formula>
    </cfRule>
  </conditionalFormatting>
  <conditionalFormatting sqref="F136:G1048576 G86:G135">
    <cfRule type="cellIs" dxfId="1400" priority="5517" operator="lessThan">
      <formula>0</formula>
    </cfRule>
  </conditionalFormatting>
  <conditionalFormatting sqref="F136:G1048576 G86:G135">
    <cfRule type="cellIs" dxfId="1399" priority="5516" operator="lessThan">
      <formula>0</formula>
    </cfRule>
  </conditionalFormatting>
  <conditionalFormatting sqref="F136:G1048576 G61:G135">
    <cfRule type="cellIs" dxfId="1398" priority="5515" operator="lessThan">
      <formula>0</formula>
    </cfRule>
  </conditionalFormatting>
  <conditionalFormatting sqref="F136:G1048576 G61:G135">
    <cfRule type="cellIs" dxfId="1397" priority="5514" operator="lessThan">
      <formula>0</formula>
    </cfRule>
  </conditionalFormatting>
  <conditionalFormatting sqref="F136:G1048576 G61:G135">
    <cfRule type="cellIs" dxfId="1396" priority="5513" operator="lessThan">
      <formula>0</formula>
    </cfRule>
  </conditionalFormatting>
  <conditionalFormatting sqref="F136:G1048576 G61:G135">
    <cfRule type="cellIs" dxfId="1395" priority="5512" operator="lessThan">
      <formula>0</formula>
    </cfRule>
  </conditionalFormatting>
  <conditionalFormatting sqref="F136:G1048576 G61:G135">
    <cfRule type="cellIs" dxfId="1394" priority="5511" operator="lessThan">
      <formula>0</formula>
    </cfRule>
  </conditionalFormatting>
  <conditionalFormatting sqref="F136:G1048576 G61:G135">
    <cfRule type="cellIs" dxfId="1393" priority="5510" operator="lessThan">
      <formula>0</formula>
    </cfRule>
  </conditionalFormatting>
  <conditionalFormatting sqref="F136:G1048576 G61:G135">
    <cfRule type="cellIs" dxfId="1392" priority="5509" operator="lessThan">
      <formula>0</formula>
    </cfRule>
  </conditionalFormatting>
  <conditionalFormatting sqref="F136:G1048576 G61:G135">
    <cfRule type="cellIs" dxfId="1391" priority="5508" operator="lessThan">
      <formula>0</formula>
    </cfRule>
  </conditionalFormatting>
  <conditionalFormatting sqref="F136:G1048576 G61:G135">
    <cfRule type="cellIs" dxfId="1390" priority="5507" operator="lessThan">
      <formula>0</formula>
    </cfRule>
  </conditionalFormatting>
  <conditionalFormatting sqref="F136:G1048576 G61:G135">
    <cfRule type="cellIs" dxfId="1389" priority="5506" operator="lessThan">
      <formula>0</formula>
    </cfRule>
  </conditionalFormatting>
  <conditionalFormatting sqref="F136:G1048576 G61:G135">
    <cfRule type="cellIs" dxfId="1388" priority="5505" operator="lessThan">
      <formula>0</formula>
    </cfRule>
  </conditionalFormatting>
  <conditionalFormatting sqref="F136:G1048576 G61:G135">
    <cfRule type="cellIs" dxfId="1387" priority="5504" operator="lessThan">
      <formula>0</formula>
    </cfRule>
  </conditionalFormatting>
  <conditionalFormatting sqref="F136:G1048576 G61:G135">
    <cfRule type="cellIs" dxfId="1386" priority="5503" operator="lessThan">
      <formula>0</formula>
    </cfRule>
  </conditionalFormatting>
  <conditionalFormatting sqref="F136:G1048576 G61:G135">
    <cfRule type="cellIs" dxfId="1385" priority="5502" operator="lessThan">
      <formula>0</formula>
    </cfRule>
  </conditionalFormatting>
  <conditionalFormatting sqref="F136:G1048576 G61:G135">
    <cfRule type="cellIs" dxfId="1384" priority="5501" operator="lessThan">
      <formula>0</formula>
    </cfRule>
  </conditionalFormatting>
  <conditionalFormatting sqref="F136:G1048576 G61:G135">
    <cfRule type="cellIs" dxfId="1383" priority="5500" operator="lessThan">
      <formula>0</formula>
    </cfRule>
  </conditionalFormatting>
  <conditionalFormatting sqref="F136:G1048576 G61:G135">
    <cfRule type="cellIs" dxfId="1382" priority="5499" operator="lessThan">
      <formula>0</formula>
    </cfRule>
  </conditionalFormatting>
  <conditionalFormatting sqref="F136:G1048576 G61:G135">
    <cfRule type="cellIs" dxfId="1381" priority="5498" operator="lessThan">
      <formula>0</formula>
    </cfRule>
  </conditionalFormatting>
  <conditionalFormatting sqref="F136:G1048576 G61:G135">
    <cfRule type="cellIs" dxfId="1380" priority="5497" operator="lessThan">
      <formula>0</formula>
    </cfRule>
  </conditionalFormatting>
  <conditionalFormatting sqref="F136:G1048576 G61:G135">
    <cfRule type="cellIs" dxfId="1379" priority="5496" operator="lessThan">
      <formula>0</formula>
    </cfRule>
  </conditionalFormatting>
  <conditionalFormatting sqref="F136:G1048576 G61:G135">
    <cfRule type="cellIs" dxfId="1378" priority="5495" operator="lessThan">
      <formula>0</formula>
    </cfRule>
  </conditionalFormatting>
  <conditionalFormatting sqref="F136:G1048576 G61:G135">
    <cfRule type="cellIs" dxfId="1377" priority="5494" operator="lessThan">
      <formula>0</formula>
    </cfRule>
  </conditionalFormatting>
  <conditionalFormatting sqref="F136:G1048576 G61:G135">
    <cfRule type="cellIs" dxfId="1376" priority="5493" operator="lessThan">
      <formula>0</formula>
    </cfRule>
  </conditionalFormatting>
  <conditionalFormatting sqref="F136:G1048576 G61:G135">
    <cfRule type="cellIs" dxfId="1375" priority="5492" operator="lessThan">
      <formula>0</formula>
    </cfRule>
  </conditionalFormatting>
  <conditionalFormatting sqref="F136:G1048576 G61:G135">
    <cfRule type="cellIs" dxfId="1374" priority="5491" operator="lessThan">
      <formula>0</formula>
    </cfRule>
  </conditionalFormatting>
  <conditionalFormatting sqref="F136:G1048576 G61:G135">
    <cfRule type="cellIs" dxfId="1373" priority="5490" operator="lessThan">
      <formula>0</formula>
    </cfRule>
  </conditionalFormatting>
  <conditionalFormatting sqref="F136:G1048576 G61:G135">
    <cfRule type="cellIs" dxfId="1372" priority="5489" operator="lessThan">
      <formula>0</formula>
    </cfRule>
  </conditionalFormatting>
  <conditionalFormatting sqref="F136:G1048576 G61:G135">
    <cfRule type="cellIs" dxfId="1371" priority="5488" operator="lessThan">
      <formula>0</formula>
    </cfRule>
  </conditionalFormatting>
  <conditionalFormatting sqref="F136:G1048576 G61:G135">
    <cfRule type="cellIs" dxfId="1370" priority="5487" operator="lessThan">
      <formula>0</formula>
    </cfRule>
  </conditionalFormatting>
  <conditionalFormatting sqref="F136:G1048576 G61:G135">
    <cfRule type="cellIs" dxfId="1369" priority="5486" operator="lessThan">
      <formula>0</formula>
    </cfRule>
  </conditionalFormatting>
  <conditionalFormatting sqref="F136:G1048576 G61:G135">
    <cfRule type="cellIs" dxfId="1368" priority="5485" operator="lessThan">
      <formula>0</formula>
    </cfRule>
  </conditionalFormatting>
  <conditionalFormatting sqref="F136:G1048576 G61:G135">
    <cfRule type="cellIs" dxfId="1367" priority="5484" operator="lessThan">
      <formula>0</formula>
    </cfRule>
  </conditionalFormatting>
  <conditionalFormatting sqref="F136:G1048576 G61:G135">
    <cfRule type="cellIs" dxfId="1366" priority="5483" operator="lessThan">
      <formula>0</formula>
    </cfRule>
  </conditionalFormatting>
  <conditionalFormatting sqref="F136:G1048576 G61:G135">
    <cfRule type="cellIs" dxfId="1365" priority="5482" operator="lessThan">
      <formula>0</formula>
    </cfRule>
  </conditionalFormatting>
  <conditionalFormatting sqref="F136:G1048576 G61:G135">
    <cfRule type="cellIs" dxfId="1364" priority="5481" operator="lessThan">
      <formula>0</formula>
    </cfRule>
  </conditionalFormatting>
  <conditionalFormatting sqref="F136:G1048576 G61:G135">
    <cfRule type="cellIs" dxfId="1363" priority="5480" operator="lessThan">
      <formula>0</formula>
    </cfRule>
  </conditionalFormatting>
  <conditionalFormatting sqref="F136:G1048576 G61:G135">
    <cfRule type="cellIs" dxfId="1362" priority="5479" operator="lessThan">
      <formula>0</formula>
    </cfRule>
  </conditionalFormatting>
  <conditionalFormatting sqref="F136:G1048576 G61:G135">
    <cfRule type="cellIs" dxfId="1361" priority="5478" operator="lessThan">
      <formula>0</formula>
    </cfRule>
  </conditionalFormatting>
  <conditionalFormatting sqref="F136:G1048576 G61:G135">
    <cfRule type="cellIs" dxfId="1360" priority="5477" operator="lessThan">
      <formula>0</formula>
    </cfRule>
  </conditionalFormatting>
  <conditionalFormatting sqref="F136:G1048576 G61:G135">
    <cfRule type="cellIs" dxfId="1359" priority="5476" operator="lessThan">
      <formula>0</formula>
    </cfRule>
  </conditionalFormatting>
  <conditionalFormatting sqref="F136:G1048576 G61:G135">
    <cfRule type="cellIs" dxfId="1358" priority="5475" operator="lessThan">
      <formula>0</formula>
    </cfRule>
  </conditionalFormatting>
  <conditionalFormatting sqref="F136:G1048576 G61:G135">
    <cfRule type="cellIs" dxfId="1357" priority="5474" operator="lessThan">
      <formula>0</formula>
    </cfRule>
  </conditionalFormatting>
  <conditionalFormatting sqref="F136:G1048576 G61:G135">
    <cfRule type="cellIs" dxfId="1356" priority="5473" operator="lessThan">
      <formula>0</formula>
    </cfRule>
  </conditionalFormatting>
  <conditionalFormatting sqref="F136:G1048576 G61:G135">
    <cfRule type="cellIs" dxfId="1355" priority="5472" operator="lessThan">
      <formula>0</formula>
    </cfRule>
  </conditionalFormatting>
  <conditionalFormatting sqref="F136:G1048576 G61:G135">
    <cfRule type="cellIs" dxfId="1354" priority="5471" operator="lessThan">
      <formula>0</formula>
    </cfRule>
  </conditionalFormatting>
  <conditionalFormatting sqref="F136:G1048576 G61:G135">
    <cfRule type="cellIs" dxfId="1353" priority="5470" operator="lessThan">
      <formula>0</formula>
    </cfRule>
  </conditionalFormatting>
  <conditionalFormatting sqref="F136:G1048576 G61:G135">
    <cfRule type="cellIs" dxfId="1352" priority="5469" operator="lessThan">
      <formula>0</formula>
    </cfRule>
  </conditionalFormatting>
  <conditionalFormatting sqref="F136:G1048576 G61:G135">
    <cfRule type="cellIs" dxfId="1351" priority="5468" operator="lessThan">
      <formula>0</formula>
    </cfRule>
  </conditionalFormatting>
  <conditionalFormatting sqref="F136:G1048576 G61:G135">
    <cfRule type="cellIs" dxfId="1350" priority="5467" operator="lessThan">
      <formula>0</formula>
    </cfRule>
  </conditionalFormatting>
  <conditionalFormatting sqref="F136:G1048576 G61:G135">
    <cfRule type="cellIs" dxfId="1349" priority="5466" operator="lessThan">
      <formula>0</formula>
    </cfRule>
  </conditionalFormatting>
  <conditionalFormatting sqref="F136:G1048576 G61:G135">
    <cfRule type="cellIs" dxfId="1348" priority="5465" operator="lessThan">
      <formula>0</formula>
    </cfRule>
  </conditionalFormatting>
  <conditionalFormatting sqref="F136:G1048576 G61:G135">
    <cfRule type="cellIs" dxfId="1347" priority="5464" operator="lessThan">
      <formula>0</formula>
    </cfRule>
  </conditionalFormatting>
  <conditionalFormatting sqref="F136:G1048576 G61:G135">
    <cfRule type="cellIs" dxfId="1346" priority="5463" operator="lessThan">
      <formula>0</formula>
    </cfRule>
  </conditionalFormatting>
  <conditionalFormatting sqref="F136:G1048576 G61:G135">
    <cfRule type="cellIs" dxfId="1345" priority="5462" operator="lessThan">
      <formula>0</formula>
    </cfRule>
  </conditionalFormatting>
  <conditionalFormatting sqref="F136:G1048576 G61:G135">
    <cfRule type="cellIs" dxfId="1344" priority="5461" operator="lessThan">
      <formula>0</formula>
    </cfRule>
  </conditionalFormatting>
  <conditionalFormatting sqref="F136:G1048576 G61:G135">
    <cfRule type="cellIs" dxfId="1343" priority="5460" operator="lessThan">
      <formula>0</formula>
    </cfRule>
  </conditionalFormatting>
  <conditionalFormatting sqref="F136:G1048576 G61:G135">
    <cfRule type="cellIs" dxfId="1342" priority="5459" operator="lessThan">
      <formula>0</formula>
    </cfRule>
  </conditionalFormatting>
  <conditionalFormatting sqref="F136:G1048576 G61:G135">
    <cfRule type="cellIs" dxfId="1341" priority="5458" operator="lessThan">
      <formula>0</formula>
    </cfRule>
  </conditionalFormatting>
  <conditionalFormatting sqref="F136:G1048576 G61:G135">
    <cfRule type="cellIs" dxfId="1340" priority="5457" operator="lessThan">
      <formula>0</formula>
    </cfRule>
  </conditionalFormatting>
  <conditionalFormatting sqref="F136:G1048576 G61:G135">
    <cfRule type="cellIs" dxfId="1339" priority="5456" operator="lessThan">
      <formula>0</formula>
    </cfRule>
  </conditionalFormatting>
  <conditionalFormatting sqref="F136:G1048576 G61:G135">
    <cfRule type="cellIs" dxfId="1338" priority="5455" operator="lessThan">
      <formula>0</formula>
    </cfRule>
  </conditionalFormatting>
  <conditionalFormatting sqref="F136:G1048576 G61:G135">
    <cfRule type="cellIs" dxfId="1337" priority="5454" operator="lessThan">
      <formula>0</formula>
    </cfRule>
  </conditionalFormatting>
  <conditionalFormatting sqref="F136:G1048576 G61:G135">
    <cfRule type="cellIs" dxfId="1336" priority="5453" operator="lessThan">
      <formula>0</formula>
    </cfRule>
  </conditionalFormatting>
  <conditionalFormatting sqref="F136:G1048576 G61:G135">
    <cfRule type="cellIs" dxfId="1335" priority="5452" operator="lessThan">
      <formula>0</formula>
    </cfRule>
  </conditionalFormatting>
  <conditionalFormatting sqref="F136:G1048576 G61:G135">
    <cfRule type="cellIs" dxfId="1334" priority="5451" operator="lessThan">
      <formula>0</formula>
    </cfRule>
  </conditionalFormatting>
  <conditionalFormatting sqref="F136:G1048576 G61:G135">
    <cfRule type="cellIs" dxfId="1333" priority="5450" operator="lessThan">
      <formula>0</formula>
    </cfRule>
  </conditionalFormatting>
  <conditionalFormatting sqref="F136:G1048576 G61:G135">
    <cfRule type="cellIs" dxfId="1332" priority="5449" operator="lessThan">
      <formula>0</formula>
    </cfRule>
  </conditionalFormatting>
  <conditionalFormatting sqref="F136:G1048576 G61:G135">
    <cfRule type="cellIs" dxfId="1331" priority="5448" operator="lessThan">
      <formula>0</formula>
    </cfRule>
  </conditionalFormatting>
  <conditionalFormatting sqref="F136:G1048576 G61:G135">
    <cfRule type="cellIs" dxfId="1330" priority="5447" operator="lessThan">
      <formula>0</formula>
    </cfRule>
  </conditionalFormatting>
  <conditionalFormatting sqref="F136:G1048576 G61:G135">
    <cfRule type="cellIs" dxfId="1329" priority="5446" operator="lessThan">
      <formula>0</formula>
    </cfRule>
  </conditionalFormatting>
  <conditionalFormatting sqref="F136:G1048576 G61:G135">
    <cfRule type="cellIs" dxfId="1328" priority="5445" operator="lessThan">
      <formula>0</formula>
    </cfRule>
  </conditionalFormatting>
  <conditionalFormatting sqref="F136:G1048576 G61:G135">
    <cfRule type="cellIs" dxfId="1327" priority="5444" operator="lessThan">
      <formula>0</formula>
    </cfRule>
  </conditionalFormatting>
  <conditionalFormatting sqref="F136:G1048576 G61:G135">
    <cfRule type="cellIs" dxfId="1326" priority="5443" operator="lessThan">
      <formula>0</formula>
    </cfRule>
  </conditionalFormatting>
  <conditionalFormatting sqref="F136:G1048576 G61:G135">
    <cfRule type="cellIs" dxfId="1325" priority="5442" operator="lessThan">
      <formula>0</formula>
    </cfRule>
  </conditionalFormatting>
  <conditionalFormatting sqref="F136:G1048576 G61:G135">
    <cfRule type="cellIs" dxfId="1324" priority="5441" operator="lessThan">
      <formula>0</formula>
    </cfRule>
  </conditionalFormatting>
  <conditionalFormatting sqref="F136:G1048576 G61:G135">
    <cfRule type="cellIs" dxfId="1323" priority="5440" operator="lessThan">
      <formula>0</formula>
    </cfRule>
  </conditionalFormatting>
  <conditionalFormatting sqref="F136:G1048576 G61:G135">
    <cfRule type="cellIs" dxfId="1322" priority="5439" operator="lessThan">
      <formula>0</formula>
    </cfRule>
  </conditionalFormatting>
  <conditionalFormatting sqref="F136:G1048576 G61:G135">
    <cfRule type="cellIs" dxfId="1321" priority="5438" operator="lessThan">
      <formula>0</formula>
    </cfRule>
  </conditionalFormatting>
  <conditionalFormatting sqref="F136:G1048576 G61:G135">
    <cfRule type="cellIs" dxfId="1320" priority="5437" operator="lessThan">
      <formula>0</formula>
    </cfRule>
  </conditionalFormatting>
  <conditionalFormatting sqref="F136:G1048576 G61:G135">
    <cfRule type="cellIs" dxfId="1319" priority="5436" operator="lessThan">
      <formula>0</formula>
    </cfRule>
  </conditionalFormatting>
  <conditionalFormatting sqref="F136:G1048576 G61:G135">
    <cfRule type="cellIs" dxfId="1318" priority="5435" operator="lessThan">
      <formula>0</formula>
    </cfRule>
  </conditionalFormatting>
  <conditionalFormatting sqref="F136:G1048576 G61:G135">
    <cfRule type="cellIs" dxfId="1317" priority="5434" operator="lessThan">
      <formula>0</formula>
    </cfRule>
  </conditionalFormatting>
  <conditionalFormatting sqref="F136:G1048576 G61:G135">
    <cfRule type="cellIs" dxfId="1316" priority="5433" operator="lessThan">
      <formula>0</formula>
    </cfRule>
  </conditionalFormatting>
  <conditionalFormatting sqref="F136:G1048576 G61:G135">
    <cfRule type="cellIs" dxfId="1315" priority="5432" operator="lessThan">
      <formula>0</formula>
    </cfRule>
  </conditionalFormatting>
  <conditionalFormatting sqref="F136:G1048576 G61:G135">
    <cfRule type="cellIs" dxfId="1314" priority="5431" operator="lessThan">
      <formula>0</formula>
    </cfRule>
  </conditionalFormatting>
  <conditionalFormatting sqref="F136:G1048576 G61:G135">
    <cfRule type="cellIs" dxfId="1313" priority="5430" operator="lessThan">
      <formula>0</formula>
    </cfRule>
  </conditionalFormatting>
  <conditionalFormatting sqref="F136:G1048576 G61:G135">
    <cfRule type="cellIs" dxfId="1312" priority="5429" operator="lessThan">
      <formula>0</formula>
    </cfRule>
  </conditionalFormatting>
  <conditionalFormatting sqref="F136:G1048576 G61:G135">
    <cfRule type="cellIs" dxfId="1311" priority="5428" operator="lessThan">
      <formula>0</formula>
    </cfRule>
  </conditionalFormatting>
  <conditionalFormatting sqref="F136:G1048576 G61:G135">
    <cfRule type="cellIs" dxfId="1310" priority="5427" operator="lessThan">
      <formula>0</formula>
    </cfRule>
  </conditionalFormatting>
  <conditionalFormatting sqref="F136:G1048576 G61:G135">
    <cfRule type="cellIs" dxfId="1309" priority="5426" operator="lessThan">
      <formula>0</formula>
    </cfRule>
  </conditionalFormatting>
  <conditionalFormatting sqref="F136:G1048576 G61:G135">
    <cfRule type="cellIs" dxfId="1308" priority="5425" operator="lessThan">
      <formula>0</formula>
    </cfRule>
  </conditionalFormatting>
  <conditionalFormatting sqref="F136:G1048576 G61:G135">
    <cfRule type="cellIs" dxfId="1307" priority="5424" operator="lessThan">
      <formula>0</formula>
    </cfRule>
  </conditionalFormatting>
  <conditionalFormatting sqref="F136:G1048576 G61:G135">
    <cfRule type="cellIs" dxfId="1306" priority="5423" operator="lessThan">
      <formula>0</formula>
    </cfRule>
  </conditionalFormatting>
  <conditionalFormatting sqref="F136:G1048576 G61:G135">
    <cfRule type="cellIs" dxfId="1305" priority="5422" operator="lessThan">
      <formula>0</formula>
    </cfRule>
  </conditionalFormatting>
  <conditionalFormatting sqref="F136:G1048576 G61:G135">
    <cfRule type="cellIs" dxfId="1304" priority="5421" operator="lessThan">
      <formula>0</formula>
    </cfRule>
  </conditionalFormatting>
  <conditionalFormatting sqref="F136:G1048576 G61:G135">
    <cfRule type="cellIs" dxfId="1303" priority="5420" operator="lessThan">
      <formula>0</formula>
    </cfRule>
  </conditionalFormatting>
  <conditionalFormatting sqref="F136:G1048576 G61:G135">
    <cfRule type="cellIs" dxfId="1302" priority="5419" operator="lessThan">
      <formula>0</formula>
    </cfRule>
  </conditionalFormatting>
  <conditionalFormatting sqref="F136:G1048576 G61:G135">
    <cfRule type="cellIs" dxfId="1301" priority="5418" operator="lessThan">
      <formula>0</formula>
    </cfRule>
  </conditionalFormatting>
  <conditionalFormatting sqref="F136:G1048576 G61:G135">
    <cfRule type="cellIs" dxfId="1300" priority="5417" operator="lessThan">
      <formula>0</formula>
    </cfRule>
  </conditionalFormatting>
  <conditionalFormatting sqref="F136:G1048576 G61:G135">
    <cfRule type="cellIs" dxfId="1299" priority="5416" operator="lessThan">
      <formula>0</formula>
    </cfRule>
  </conditionalFormatting>
  <conditionalFormatting sqref="F136:G1048576 G61:G135">
    <cfRule type="cellIs" dxfId="1298" priority="5415" operator="lessThan">
      <formula>0</formula>
    </cfRule>
  </conditionalFormatting>
  <conditionalFormatting sqref="F136:G1048576 G61:G135">
    <cfRule type="cellIs" dxfId="1297" priority="5414" operator="lessThan">
      <formula>0</formula>
    </cfRule>
  </conditionalFormatting>
  <conditionalFormatting sqref="F136:G1048576 G61:G135">
    <cfRule type="cellIs" dxfId="1296" priority="5413" operator="lessThan">
      <formula>0</formula>
    </cfRule>
  </conditionalFormatting>
  <conditionalFormatting sqref="F136:G1048576 G61:G135">
    <cfRule type="cellIs" dxfId="1295" priority="5412" operator="lessThan">
      <formula>0</formula>
    </cfRule>
  </conditionalFormatting>
  <conditionalFormatting sqref="F136:G1048576 G61:G135">
    <cfRule type="cellIs" dxfId="1294" priority="5411" operator="lessThan">
      <formula>0</formula>
    </cfRule>
  </conditionalFormatting>
  <conditionalFormatting sqref="F136:G1048576 G61:G135">
    <cfRule type="cellIs" dxfId="1293" priority="5410" operator="lessThan">
      <formula>0</formula>
    </cfRule>
  </conditionalFormatting>
  <conditionalFormatting sqref="F136:G1048576 G61:G135">
    <cfRule type="cellIs" dxfId="1292" priority="5409" operator="lessThan">
      <formula>0</formula>
    </cfRule>
  </conditionalFormatting>
  <conditionalFormatting sqref="F136:G1048576 G61:G135">
    <cfRule type="cellIs" dxfId="1291" priority="5408" operator="lessThan">
      <formula>0</formula>
    </cfRule>
  </conditionalFormatting>
  <conditionalFormatting sqref="F136:G1048576 G61:G135">
    <cfRule type="cellIs" dxfId="1290" priority="5407" operator="lessThan">
      <formula>0</formula>
    </cfRule>
  </conditionalFormatting>
  <conditionalFormatting sqref="F136:G1048576 G61:G135">
    <cfRule type="cellIs" dxfId="1289" priority="5406" operator="lessThan">
      <formula>0</formula>
    </cfRule>
  </conditionalFormatting>
  <conditionalFormatting sqref="F136:G1048576 G61:G135">
    <cfRule type="cellIs" dxfId="1288" priority="5405" operator="lessThan">
      <formula>0</formula>
    </cfRule>
  </conditionalFormatting>
  <conditionalFormatting sqref="F136:G1048576 G61:G135">
    <cfRule type="cellIs" dxfId="1287" priority="5404" operator="lessThan">
      <formula>0</formula>
    </cfRule>
  </conditionalFormatting>
  <conditionalFormatting sqref="F136:G1048576 G61:G135">
    <cfRule type="cellIs" dxfId="1286" priority="5403" operator="lessThan">
      <formula>0</formula>
    </cfRule>
  </conditionalFormatting>
  <conditionalFormatting sqref="F136:G1048576 G61:G135">
    <cfRule type="cellIs" dxfId="1285" priority="5402" operator="lessThan">
      <formula>0</formula>
    </cfRule>
  </conditionalFormatting>
  <conditionalFormatting sqref="F136:G1048576 G61:G135">
    <cfRule type="cellIs" dxfId="1284" priority="5401" operator="lessThan">
      <formula>0</formula>
    </cfRule>
  </conditionalFormatting>
  <conditionalFormatting sqref="F136:G1048576 G61:G135">
    <cfRule type="cellIs" dxfId="1283" priority="5400" operator="lessThan">
      <formula>0</formula>
    </cfRule>
  </conditionalFormatting>
  <conditionalFormatting sqref="F136:G1048576 G61:G135">
    <cfRule type="cellIs" dxfId="1282" priority="5399" operator="lessThan">
      <formula>0</formula>
    </cfRule>
  </conditionalFormatting>
  <conditionalFormatting sqref="F136:G1048576 G61:G135">
    <cfRule type="cellIs" dxfId="1281" priority="5398" operator="lessThan">
      <formula>0</formula>
    </cfRule>
  </conditionalFormatting>
  <conditionalFormatting sqref="F136:G1048576 G61:G135">
    <cfRule type="cellIs" dxfId="1280" priority="5397" operator="lessThan">
      <formula>0</formula>
    </cfRule>
  </conditionalFormatting>
  <conditionalFormatting sqref="F136:G1048576 G61:G135">
    <cfRule type="cellIs" dxfId="1279" priority="5396" operator="lessThan">
      <formula>0</formula>
    </cfRule>
  </conditionalFormatting>
  <conditionalFormatting sqref="F136:G1048576 G61:G135">
    <cfRule type="cellIs" dxfId="1278" priority="5395" operator="lessThan">
      <formula>0</formula>
    </cfRule>
  </conditionalFormatting>
  <conditionalFormatting sqref="F136:G1048576 G61:G135">
    <cfRule type="cellIs" dxfId="1277" priority="5394" operator="lessThan">
      <formula>0</formula>
    </cfRule>
  </conditionalFormatting>
  <conditionalFormatting sqref="F136:G1048576 G61:G135">
    <cfRule type="cellIs" dxfId="1276" priority="5393" operator="lessThan">
      <formula>0</formula>
    </cfRule>
  </conditionalFormatting>
  <conditionalFormatting sqref="F136:G1048576 G61:G135">
    <cfRule type="cellIs" dxfId="1275" priority="5392" operator="lessThan">
      <formula>0</formula>
    </cfRule>
  </conditionalFormatting>
  <conditionalFormatting sqref="F136:G1048576 G61:G135">
    <cfRule type="cellIs" dxfId="1274" priority="5391" operator="lessThan">
      <formula>0</formula>
    </cfRule>
  </conditionalFormatting>
  <conditionalFormatting sqref="F136:G1048576 G61:G135">
    <cfRule type="cellIs" dxfId="1273" priority="5390" operator="lessThan">
      <formula>0</formula>
    </cfRule>
  </conditionalFormatting>
  <conditionalFormatting sqref="F136:G1048576 G61:G135">
    <cfRule type="cellIs" dxfId="1272" priority="5389" operator="lessThan">
      <formula>0</formula>
    </cfRule>
  </conditionalFormatting>
  <conditionalFormatting sqref="F136:G1048576 G61:G135">
    <cfRule type="cellIs" dxfId="1271" priority="5388" operator="lessThan">
      <formula>0</formula>
    </cfRule>
  </conditionalFormatting>
  <conditionalFormatting sqref="F136:G1048576 G61:G135">
    <cfRule type="cellIs" dxfId="1270" priority="5387" operator="lessThan">
      <formula>0</formula>
    </cfRule>
  </conditionalFormatting>
  <conditionalFormatting sqref="F136:G1048576 G61:G135">
    <cfRule type="cellIs" dxfId="1269" priority="5386" operator="lessThan">
      <formula>0</formula>
    </cfRule>
  </conditionalFormatting>
  <conditionalFormatting sqref="F136:G1048576 G61:G135">
    <cfRule type="cellIs" dxfId="1268" priority="5385" operator="lessThan">
      <formula>0</formula>
    </cfRule>
  </conditionalFormatting>
  <conditionalFormatting sqref="F136:G1048576 G61:G135">
    <cfRule type="cellIs" dxfId="1267" priority="5384" operator="lessThan">
      <formula>0</formula>
    </cfRule>
  </conditionalFormatting>
  <conditionalFormatting sqref="F136:G1048576 G61:G135">
    <cfRule type="cellIs" dxfId="1266" priority="5383" operator="lessThan">
      <formula>0</formula>
    </cfRule>
  </conditionalFormatting>
  <conditionalFormatting sqref="F136:G1048576 G61:G135">
    <cfRule type="cellIs" dxfId="1265" priority="5382" operator="lessThan">
      <formula>0</formula>
    </cfRule>
  </conditionalFormatting>
  <conditionalFormatting sqref="F136:G1048576 G61:G135">
    <cfRule type="cellIs" dxfId="1264" priority="5381" operator="lessThan">
      <formula>0</formula>
    </cfRule>
  </conditionalFormatting>
  <conditionalFormatting sqref="F136:G1048576 G61:G135">
    <cfRule type="cellIs" dxfId="1263" priority="5380" operator="lessThan">
      <formula>0</formula>
    </cfRule>
  </conditionalFormatting>
  <conditionalFormatting sqref="F136:G1048576 G61:G135">
    <cfRule type="cellIs" dxfId="1262" priority="5379" operator="lessThan">
      <formula>0</formula>
    </cfRule>
  </conditionalFormatting>
  <conditionalFormatting sqref="F136:G1048576 G61:G135">
    <cfRule type="cellIs" dxfId="1261" priority="5378" operator="lessThan">
      <formula>0</formula>
    </cfRule>
  </conditionalFormatting>
  <conditionalFormatting sqref="F136:G1048576 G61:G135">
    <cfRule type="cellIs" dxfId="1260" priority="5377" operator="lessThan">
      <formula>0</formula>
    </cfRule>
  </conditionalFormatting>
  <conditionalFormatting sqref="F136:G1048576 G61:G135">
    <cfRule type="cellIs" dxfId="1259" priority="5376" operator="lessThan">
      <formula>0</formula>
    </cfRule>
  </conditionalFormatting>
  <conditionalFormatting sqref="F136:G1048576 G61:G135">
    <cfRule type="cellIs" dxfId="1258" priority="5375" operator="lessThan">
      <formula>0</formula>
    </cfRule>
  </conditionalFormatting>
  <conditionalFormatting sqref="F136:G1048576 G61:G135">
    <cfRule type="cellIs" dxfId="1257" priority="5374" operator="lessThan">
      <formula>0</formula>
    </cfRule>
  </conditionalFormatting>
  <conditionalFormatting sqref="F136:G1048576 G61:G135">
    <cfRule type="cellIs" dxfId="1256" priority="5373" operator="lessThan">
      <formula>0</formula>
    </cfRule>
  </conditionalFormatting>
  <conditionalFormatting sqref="F136:G1048576 G61:G135">
    <cfRule type="cellIs" dxfId="1255" priority="5372" operator="lessThan">
      <formula>0</formula>
    </cfRule>
  </conditionalFormatting>
  <conditionalFormatting sqref="F136:G1048576 G61:G135">
    <cfRule type="cellIs" dxfId="1254" priority="5371" operator="lessThan">
      <formula>0</formula>
    </cfRule>
  </conditionalFormatting>
  <conditionalFormatting sqref="F136:G1048576 G61:G135">
    <cfRule type="cellIs" dxfId="1253" priority="5370" operator="lessThan">
      <formula>0</formula>
    </cfRule>
  </conditionalFormatting>
  <conditionalFormatting sqref="F136:G1048576 G61:G135">
    <cfRule type="cellIs" dxfId="1252" priority="5369" operator="lessThan">
      <formula>0</formula>
    </cfRule>
  </conditionalFormatting>
  <conditionalFormatting sqref="F136:G1048576 G61:G135">
    <cfRule type="cellIs" dxfId="1251" priority="5368" operator="lessThan">
      <formula>0</formula>
    </cfRule>
  </conditionalFormatting>
  <conditionalFormatting sqref="F136:G1048576 G61:G135">
    <cfRule type="cellIs" dxfId="1250" priority="5367" operator="lessThan">
      <formula>0</formula>
    </cfRule>
  </conditionalFormatting>
  <conditionalFormatting sqref="F136:G1048576 G61:G135">
    <cfRule type="cellIs" dxfId="1249" priority="5366" operator="lessThan">
      <formula>0</formula>
    </cfRule>
  </conditionalFormatting>
  <conditionalFormatting sqref="F136:G1048576 G61:G135">
    <cfRule type="cellIs" dxfId="1248" priority="5365" operator="lessThan">
      <formula>0</formula>
    </cfRule>
  </conditionalFormatting>
  <conditionalFormatting sqref="F136:G1048576 G61:G135">
    <cfRule type="cellIs" dxfId="1247" priority="5364" operator="lessThan">
      <formula>0</formula>
    </cfRule>
  </conditionalFormatting>
  <conditionalFormatting sqref="F136:G1048576 G61:G135">
    <cfRule type="cellIs" dxfId="1246" priority="5363" operator="lessThan">
      <formula>0</formula>
    </cfRule>
  </conditionalFormatting>
  <conditionalFormatting sqref="F136:G1048576 G61:G135">
    <cfRule type="cellIs" dxfId="1245" priority="5362" operator="lessThan">
      <formula>0</formula>
    </cfRule>
  </conditionalFormatting>
  <conditionalFormatting sqref="F136:G1048576 G61:G135">
    <cfRule type="cellIs" dxfId="1244" priority="5361" operator="lessThan">
      <formula>0</formula>
    </cfRule>
  </conditionalFormatting>
  <conditionalFormatting sqref="F136:G1048576 G61:G135">
    <cfRule type="cellIs" dxfId="1243" priority="5360" operator="lessThan">
      <formula>0</formula>
    </cfRule>
  </conditionalFormatting>
  <conditionalFormatting sqref="F136:G1048576 G61:G135">
    <cfRule type="cellIs" dxfId="1242" priority="5359" operator="lessThan">
      <formula>0</formula>
    </cfRule>
  </conditionalFormatting>
  <conditionalFormatting sqref="F136:G1048576 G61:G135">
    <cfRule type="cellIs" dxfId="1241" priority="5358" operator="lessThan">
      <formula>0</formula>
    </cfRule>
  </conditionalFormatting>
  <conditionalFormatting sqref="F136:G1048576 G61:G135">
    <cfRule type="cellIs" dxfId="1240" priority="5357" operator="lessThan">
      <formula>0</formula>
    </cfRule>
  </conditionalFormatting>
  <conditionalFormatting sqref="F136:G1048576 G61:G135">
    <cfRule type="cellIs" dxfId="1239" priority="5356" operator="lessThan">
      <formula>0</formula>
    </cfRule>
  </conditionalFormatting>
  <conditionalFormatting sqref="F136:G1048576 G61:G135">
    <cfRule type="cellIs" dxfId="1238" priority="5355" operator="lessThan">
      <formula>0</formula>
    </cfRule>
  </conditionalFormatting>
  <conditionalFormatting sqref="G42">
    <cfRule type="cellIs" dxfId="1237" priority="4652" operator="lessThan">
      <formula>0</formula>
    </cfRule>
  </conditionalFormatting>
  <conditionalFormatting sqref="G42">
    <cfRule type="cellIs" dxfId="1236" priority="4651" operator="lessThan">
      <formula>0</formula>
    </cfRule>
  </conditionalFormatting>
  <conditionalFormatting sqref="G42">
    <cfRule type="cellIs" dxfId="1235" priority="4650" operator="lessThan">
      <formula>0</formula>
    </cfRule>
  </conditionalFormatting>
  <conditionalFormatting sqref="G42">
    <cfRule type="cellIs" dxfId="1234" priority="4649" operator="lessThan">
      <formula>0</formula>
    </cfRule>
  </conditionalFormatting>
  <conditionalFormatting sqref="G42">
    <cfRule type="cellIs" dxfId="1233" priority="4648" operator="lessThan">
      <formula>0</formula>
    </cfRule>
  </conditionalFormatting>
  <conditionalFormatting sqref="G42">
    <cfRule type="cellIs" dxfId="1232" priority="4647" operator="lessThan">
      <formula>0</formula>
    </cfRule>
  </conditionalFormatting>
  <conditionalFormatting sqref="G42">
    <cfRule type="cellIs" dxfId="1231" priority="4646" operator="lessThan">
      <formula>0</formula>
    </cfRule>
  </conditionalFormatting>
  <conditionalFormatting sqref="G42">
    <cfRule type="cellIs" dxfId="1230" priority="4645" operator="lessThan">
      <formula>0</formula>
    </cfRule>
  </conditionalFormatting>
  <conditionalFormatting sqref="G42">
    <cfRule type="cellIs" dxfId="1229" priority="4644" operator="lessThan">
      <formula>0</formula>
    </cfRule>
  </conditionalFormatting>
  <conditionalFormatting sqref="G42">
    <cfRule type="cellIs" dxfId="1228" priority="4643" operator="lessThan">
      <formula>0</formula>
    </cfRule>
  </conditionalFormatting>
  <conditionalFormatting sqref="G42">
    <cfRule type="cellIs" dxfId="1227" priority="4642" operator="lessThan">
      <formula>0</formula>
    </cfRule>
  </conditionalFormatting>
  <conditionalFormatting sqref="G42">
    <cfRule type="cellIs" dxfId="1226" priority="4641" operator="lessThan">
      <formula>0</formula>
    </cfRule>
  </conditionalFormatting>
  <conditionalFormatting sqref="G42">
    <cfRule type="cellIs" dxfId="1225" priority="4640" operator="lessThan">
      <formula>0</formula>
    </cfRule>
  </conditionalFormatting>
  <conditionalFormatting sqref="G42">
    <cfRule type="cellIs" dxfId="1224" priority="4639" operator="lessThan">
      <formula>0</formula>
    </cfRule>
  </conditionalFormatting>
  <conditionalFormatting sqref="G42">
    <cfRule type="cellIs" dxfId="1223" priority="4638" operator="lessThan">
      <formula>0</formula>
    </cfRule>
  </conditionalFormatting>
  <conditionalFormatting sqref="G42">
    <cfRule type="cellIs" dxfId="1222" priority="4637" operator="lessThan">
      <formula>0</formula>
    </cfRule>
  </conditionalFormatting>
  <conditionalFormatting sqref="G42">
    <cfRule type="cellIs" dxfId="1221" priority="4636" operator="lessThan">
      <formula>0</formula>
    </cfRule>
  </conditionalFormatting>
  <conditionalFormatting sqref="G42">
    <cfRule type="cellIs" dxfId="1220" priority="4635" operator="lessThan">
      <formula>0</formula>
    </cfRule>
  </conditionalFormatting>
  <conditionalFormatting sqref="G42">
    <cfRule type="cellIs" dxfId="1219" priority="4634" operator="lessThan">
      <formula>0</formula>
    </cfRule>
  </conditionalFormatting>
  <conditionalFormatting pivot="1" sqref="F13:F48">
    <cfRule type="cellIs" dxfId="1218" priority="3579" operator="lessThan">
      <formula>0</formula>
    </cfRule>
  </conditionalFormatting>
  <conditionalFormatting sqref="H86:H1048576">
    <cfRule type="cellIs" dxfId="1217" priority="3375" operator="lessThan">
      <formula>0</formula>
    </cfRule>
  </conditionalFormatting>
  <conditionalFormatting sqref="H86:H1048576">
    <cfRule type="cellIs" dxfId="1216" priority="3374" operator="lessThan">
      <formula>0</formula>
    </cfRule>
  </conditionalFormatting>
  <conditionalFormatting sqref="H86:H1048576">
    <cfRule type="cellIs" dxfId="1215" priority="3373" operator="lessThan">
      <formula>0</formula>
    </cfRule>
  </conditionalFormatting>
  <conditionalFormatting sqref="H86:H1048576">
    <cfRule type="cellIs" dxfId="1214" priority="3372" operator="lessThan">
      <formula>0</formula>
    </cfRule>
  </conditionalFormatting>
  <conditionalFormatting sqref="H86:H1048576">
    <cfRule type="cellIs" dxfId="1213" priority="3371" operator="lessThan">
      <formula>0</formula>
    </cfRule>
  </conditionalFormatting>
  <conditionalFormatting sqref="H86:H1048576">
    <cfRule type="cellIs" dxfId="1212" priority="3370" operator="lessThan">
      <formula>0</formula>
    </cfRule>
  </conditionalFormatting>
  <conditionalFormatting sqref="H86:H1048576">
    <cfRule type="cellIs" dxfId="1211" priority="3369" operator="lessThan">
      <formula>0</formula>
    </cfRule>
  </conditionalFormatting>
  <conditionalFormatting sqref="H86:H1048576">
    <cfRule type="cellIs" dxfId="1210" priority="3368" operator="lessThan">
      <formula>0</formula>
    </cfRule>
  </conditionalFormatting>
  <conditionalFormatting sqref="H86:H1048576">
    <cfRule type="cellIs" dxfId="1209" priority="3367" operator="lessThan">
      <formula>0</formula>
    </cfRule>
  </conditionalFormatting>
  <conditionalFormatting sqref="H86:H1048576">
    <cfRule type="cellIs" dxfId="1208" priority="3366" operator="lessThan">
      <formula>0</formula>
    </cfRule>
  </conditionalFormatting>
  <conditionalFormatting sqref="H86:H1048576">
    <cfRule type="cellIs" dxfId="1207" priority="3365" operator="lessThan">
      <formula>0</formula>
    </cfRule>
  </conditionalFormatting>
  <conditionalFormatting sqref="H86:H1048576">
    <cfRule type="cellIs" dxfId="1206" priority="3364" operator="lessThan">
      <formula>0</formula>
    </cfRule>
  </conditionalFormatting>
  <conditionalFormatting sqref="H86:H1048576">
    <cfRule type="cellIs" dxfId="1205" priority="3363" operator="lessThan">
      <formula>0</formula>
    </cfRule>
  </conditionalFormatting>
  <conditionalFormatting sqref="H86:H1048576">
    <cfRule type="cellIs" dxfId="1204" priority="3362" operator="lessThan">
      <formula>0</formula>
    </cfRule>
  </conditionalFormatting>
  <conditionalFormatting sqref="H86:H1048576">
    <cfRule type="cellIs" dxfId="1203" priority="3361" operator="lessThan">
      <formula>0</formula>
    </cfRule>
  </conditionalFormatting>
  <conditionalFormatting sqref="H86:H1048576">
    <cfRule type="cellIs" dxfId="1202" priority="3360" operator="lessThan">
      <formula>0</formula>
    </cfRule>
  </conditionalFormatting>
  <conditionalFormatting sqref="H86:H1048576">
    <cfRule type="cellIs" dxfId="1201" priority="3359" operator="lessThan">
      <formula>0</formula>
    </cfRule>
  </conditionalFormatting>
  <conditionalFormatting sqref="H86:H1048576">
    <cfRule type="cellIs" dxfId="1200" priority="3358" operator="lessThan">
      <formula>0</formula>
    </cfRule>
  </conditionalFormatting>
  <conditionalFormatting sqref="H86:H1048576">
    <cfRule type="cellIs" dxfId="1199" priority="3357" operator="lessThan">
      <formula>0</formula>
    </cfRule>
  </conditionalFormatting>
  <conditionalFormatting sqref="H86:H1048576">
    <cfRule type="cellIs" dxfId="1198" priority="3356" operator="lessThan">
      <formula>0</formula>
    </cfRule>
  </conditionalFormatting>
  <conditionalFormatting sqref="H86:H1048576">
    <cfRule type="cellIs" dxfId="1197" priority="3355" operator="lessThan">
      <formula>0</formula>
    </cfRule>
  </conditionalFormatting>
  <conditionalFormatting sqref="H86:H1048576">
    <cfRule type="cellIs" dxfId="1196" priority="3354" operator="lessThan">
      <formula>0</formula>
    </cfRule>
  </conditionalFormatting>
  <conditionalFormatting sqref="H86:H1048576">
    <cfRule type="cellIs" dxfId="1195" priority="3353" operator="lessThan">
      <formula>0</formula>
    </cfRule>
  </conditionalFormatting>
  <conditionalFormatting sqref="H86:H1048576">
    <cfRule type="cellIs" dxfId="1194" priority="3352" operator="lessThan">
      <formula>0</formula>
    </cfRule>
  </conditionalFormatting>
  <conditionalFormatting sqref="H86:H1048576">
    <cfRule type="cellIs" dxfId="1193" priority="3351" operator="lessThan">
      <formula>0</formula>
    </cfRule>
  </conditionalFormatting>
  <conditionalFormatting sqref="H86:H1048576">
    <cfRule type="cellIs" dxfId="1192" priority="3350" operator="lessThan">
      <formula>0</formula>
    </cfRule>
  </conditionalFormatting>
  <conditionalFormatting sqref="H86:H1048576">
    <cfRule type="cellIs" dxfId="1191" priority="3349" operator="lessThan">
      <formula>0</formula>
    </cfRule>
  </conditionalFormatting>
  <conditionalFormatting sqref="H86:H1048576">
    <cfRule type="cellIs" dxfId="1190" priority="3348" operator="lessThan">
      <formula>0</formula>
    </cfRule>
  </conditionalFormatting>
  <conditionalFormatting sqref="H86:H1048576">
    <cfRule type="cellIs" dxfId="1189" priority="3347" operator="lessThan">
      <formula>0</formula>
    </cfRule>
  </conditionalFormatting>
  <conditionalFormatting sqref="H86:H1048576">
    <cfRule type="cellIs" dxfId="1188" priority="3346" operator="lessThan">
      <formula>0</formula>
    </cfRule>
  </conditionalFormatting>
  <conditionalFormatting sqref="H86:H1048576">
    <cfRule type="cellIs" dxfId="1187" priority="3345" operator="lessThan">
      <formula>0</formula>
    </cfRule>
  </conditionalFormatting>
  <conditionalFormatting sqref="H86:H1048576">
    <cfRule type="cellIs" dxfId="1186" priority="3344" operator="lessThan">
      <formula>0</formula>
    </cfRule>
  </conditionalFormatting>
  <conditionalFormatting sqref="H86:H1048576">
    <cfRule type="cellIs" dxfId="1185" priority="3343" operator="lessThan">
      <formula>0</formula>
    </cfRule>
  </conditionalFormatting>
  <conditionalFormatting sqref="H86:H1048576">
    <cfRule type="cellIs" dxfId="1184" priority="3342" operator="lessThan">
      <formula>0</formula>
    </cfRule>
  </conditionalFormatting>
  <conditionalFormatting sqref="H86:H1048576">
    <cfRule type="cellIs" dxfId="1183" priority="3341" operator="lessThan">
      <formula>0</formula>
    </cfRule>
  </conditionalFormatting>
  <conditionalFormatting sqref="H86:H1048576">
    <cfRule type="cellIs" dxfId="1182" priority="3340" operator="lessThan">
      <formula>0</formula>
    </cfRule>
  </conditionalFormatting>
  <conditionalFormatting sqref="H86:H1048576">
    <cfRule type="cellIs" dxfId="1181" priority="3339" operator="lessThan">
      <formula>0</formula>
    </cfRule>
  </conditionalFormatting>
  <conditionalFormatting sqref="H86:H1048576">
    <cfRule type="cellIs" dxfId="1180" priority="3338" operator="lessThan">
      <formula>0</formula>
    </cfRule>
  </conditionalFormatting>
  <conditionalFormatting sqref="H86:H1048576">
    <cfRule type="cellIs" dxfId="1179" priority="3337" operator="lessThan">
      <formula>0</formula>
    </cfRule>
  </conditionalFormatting>
  <conditionalFormatting sqref="H86:H1048576">
    <cfRule type="cellIs" dxfId="1178" priority="3336" operator="lessThan">
      <formula>0</formula>
    </cfRule>
  </conditionalFormatting>
  <conditionalFormatting sqref="H86:H1048576">
    <cfRule type="cellIs" dxfId="1177" priority="3335" operator="lessThan">
      <formula>0</formula>
    </cfRule>
  </conditionalFormatting>
  <conditionalFormatting sqref="H86:H1048576">
    <cfRule type="cellIs" dxfId="1176" priority="3334" operator="lessThan">
      <formula>0</formula>
    </cfRule>
  </conditionalFormatting>
  <conditionalFormatting sqref="H86:H1048576">
    <cfRule type="cellIs" dxfId="1175" priority="3333" operator="lessThan">
      <formula>0</formula>
    </cfRule>
  </conditionalFormatting>
  <conditionalFormatting sqref="H86:H1048576">
    <cfRule type="cellIs" dxfId="1174" priority="3332" operator="lessThan">
      <formula>0</formula>
    </cfRule>
  </conditionalFormatting>
  <conditionalFormatting sqref="H86:H1048576">
    <cfRule type="cellIs" dxfId="1173" priority="3331" operator="lessThan">
      <formula>0</formula>
    </cfRule>
  </conditionalFormatting>
  <conditionalFormatting sqref="H86:H1048576">
    <cfRule type="cellIs" dxfId="1172" priority="3330" operator="lessThan">
      <formula>0</formula>
    </cfRule>
  </conditionalFormatting>
  <conditionalFormatting sqref="H86:H1048576">
    <cfRule type="cellIs" dxfId="1171" priority="3329" operator="lessThan">
      <formula>0</formula>
    </cfRule>
  </conditionalFormatting>
  <conditionalFormatting sqref="H86:H1048576">
    <cfRule type="cellIs" dxfId="1170" priority="3328" operator="lessThan">
      <formula>0</formula>
    </cfRule>
  </conditionalFormatting>
  <conditionalFormatting sqref="H86:H1048576">
    <cfRule type="cellIs" dxfId="1169" priority="3327" operator="lessThan">
      <formula>0</formula>
    </cfRule>
  </conditionalFormatting>
  <conditionalFormatting sqref="H86:H1048576">
    <cfRule type="cellIs" dxfId="1168" priority="3326" operator="lessThan">
      <formula>0</formula>
    </cfRule>
  </conditionalFormatting>
  <conditionalFormatting sqref="H86:H1048576">
    <cfRule type="cellIs" dxfId="1167" priority="3325" operator="lessThan">
      <formula>0</formula>
    </cfRule>
  </conditionalFormatting>
  <conditionalFormatting sqref="H86:H1048576">
    <cfRule type="cellIs" dxfId="1166" priority="3324" operator="lessThan">
      <formula>0</formula>
    </cfRule>
  </conditionalFormatting>
  <conditionalFormatting sqref="H86:H1048576">
    <cfRule type="cellIs" dxfId="1165" priority="3323" operator="lessThan">
      <formula>0</formula>
    </cfRule>
  </conditionalFormatting>
  <conditionalFormatting sqref="H86:H1048576">
    <cfRule type="cellIs" dxfId="1164" priority="3322" operator="lessThan">
      <formula>0</formula>
    </cfRule>
  </conditionalFormatting>
  <conditionalFormatting sqref="H86:H1048576">
    <cfRule type="cellIs" dxfId="1163" priority="3321" operator="lessThan">
      <formula>0</formula>
    </cfRule>
  </conditionalFormatting>
  <conditionalFormatting sqref="H86:H1048576">
    <cfRule type="cellIs" dxfId="1162" priority="3320" operator="lessThan">
      <formula>0</formula>
    </cfRule>
  </conditionalFormatting>
  <conditionalFormatting sqref="H86:H1048576">
    <cfRule type="cellIs" dxfId="1161" priority="3319" operator="lessThan">
      <formula>0</formula>
    </cfRule>
  </conditionalFormatting>
  <conditionalFormatting sqref="H86:H1048576">
    <cfRule type="cellIs" dxfId="1160" priority="3318" operator="lessThan">
      <formula>0</formula>
    </cfRule>
  </conditionalFormatting>
  <conditionalFormatting sqref="H86:H1048576">
    <cfRule type="cellIs" dxfId="1159" priority="3317" operator="lessThan">
      <formula>0</formula>
    </cfRule>
  </conditionalFormatting>
  <conditionalFormatting sqref="H86:H1048576">
    <cfRule type="cellIs" dxfId="1158" priority="3316" operator="lessThan">
      <formula>0</formula>
    </cfRule>
  </conditionalFormatting>
  <conditionalFormatting sqref="H86:H1048576">
    <cfRule type="cellIs" dxfId="1157" priority="3315" operator="lessThan">
      <formula>0</formula>
    </cfRule>
  </conditionalFormatting>
  <conditionalFormatting sqref="H86:H1048576">
    <cfRule type="cellIs" dxfId="1156" priority="3314" operator="lessThan">
      <formula>0</formula>
    </cfRule>
  </conditionalFormatting>
  <conditionalFormatting sqref="H86:H1048576">
    <cfRule type="cellIs" dxfId="1155" priority="3313" operator="lessThan">
      <formula>0</formula>
    </cfRule>
  </conditionalFormatting>
  <conditionalFormatting sqref="H86:H1048576">
    <cfRule type="cellIs" dxfId="1154" priority="3312" operator="lessThan">
      <formula>0</formula>
    </cfRule>
  </conditionalFormatting>
  <conditionalFormatting sqref="H86:H1048576">
    <cfRule type="cellIs" dxfId="1153" priority="3311" operator="lessThan">
      <formula>0</formula>
    </cfRule>
  </conditionalFormatting>
  <conditionalFormatting sqref="H86:H1048576">
    <cfRule type="cellIs" dxfId="1152" priority="3310" operator="lessThan">
      <formula>0</formula>
    </cfRule>
  </conditionalFormatting>
  <conditionalFormatting sqref="H86:H1048576">
    <cfRule type="cellIs" dxfId="1151" priority="3309" operator="lessThan">
      <formula>0</formula>
    </cfRule>
  </conditionalFormatting>
  <conditionalFormatting sqref="H86:H1048576">
    <cfRule type="cellIs" dxfId="1150" priority="3308" operator="lessThan">
      <formula>0</formula>
    </cfRule>
  </conditionalFormatting>
  <conditionalFormatting sqref="H86:H1048576">
    <cfRule type="cellIs" dxfId="1149" priority="3307" operator="lessThan">
      <formula>0</formula>
    </cfRule>
  </conditionalFormatting>
  <conditionalFormatting sqref="H86:H1048576">
    <cfRule type="cellIs" dxfId="1148" priority="3306" operator="lessThan">
      <formula>0</formula>
    </cfRule>
  </conditionalFormatting>
  <conditionalFormatting sqref="H86:H1048576">
    <cfRule type="cellIs" dxfId="1147" priority="3305" operator="lessThan">
      <formula>0</formula>
    </cfRule>
  </conditionalFormatting>
  <conditionalFormatting sqref="H86:H1048576">
    <cfRule type="cellIs" dxfId="1146" priority="3304" operator="lessThan">
      <formula>0</formula>
    </cfRule>
  </conditionalFormatting>
  <conditionalFormatting sqref="H86:H1048576">
    <cfRule type="cellIs" dxfId="1145" priority="3303" operator="lessThan">
      <formula>0</formula>
    </cfRule>
  </conditionalFormatting>
  <conditionalFormatting sqref="H86:H1048576">
    <cfRule type="cellIs" dxfId="1144" priority="3302" operator="lessThan">
      <formula>0</formula>
    </cfRule>
  </conditionalFormatting>
  <conditionalFormatting sqref="H86:H1048576">
    <cfRule type="cellIs" dxfId="1143" priority="3301" operator="lessThan">
      <formula>0</formula>
    </cfRule>
  </conditionalFormatting>
  <conditionalFormatting sqref="H86:H1048576">
    <cfRule type="cellIs" dxfId="1142" priority="3300" operator="lessThan">
      <formula>0</formula>
    </cfRule>
  </conditionalFormatting>
  <conditionalFormatting sqref="H86:H1048576">
    <cfRule type="cellIs" dxfId="1141" priority="3299" operator="lessThan">
      <formula>0</formula>
    </cfRule>
  </conditionalFormatting>
  <conditionalFormatting sqref="H86:H1048576">
    <cfRule type="cellIs" dxfId="1140" priority="3298" operator="lessThan">
      <formula>0</formula>
    </cfRule>
  </conditionalFormatting>
  <conditionalFormatting sqref="H86:H1048576">
    <cfRule type="cellIs" dxfId="1139" priority="3297" operator="lessThan">
      <formula>0</formula>
    </cfRule>
  </conditionalFormatting>
  <conditionalFormatting sqref="H86:H1048576">
    <cfRule type="cellIs" dxfId="1138" priority="3296" operator="lessThan">
      <formula>0</formula>
    </cfRule>
  </conditionalFormatting>
  <conditionalFormatting sqref="H86:H1048576">
    <cfRule type="cellIs" dxfId="1137" priority="3295" operator="lessThan">
      <formula>0</formula>
    </cfRule>
  </conditionalFormatting>
  <conditionalFormatting sqref="H86:H1048576">
    <cfRule type="cellIs" dxfId="1136" priority="3294" operator="lessThan">
      <formula>0</formula>
    </cfRule>
  </conditionalFormatting>
  <conditionalFormatting sqref="H86:H1048576">
    <cfRule type="cellIs" dxfId="1135" priority="3293" operator="lessThan">
      <formula>0</formula>
    </cfRule>
  </conditionalFormatting>
  <conditionalFormatting sqref="H86:H1048576">
    <cfRule type="cellIs" dxfId="1134" priority="3292" operator="lessThan">
      <formula>0</formula>
    </cfRule>
  </conditionalFormatting>
  <conditionalFormatting sqref="H86:H1048576">
    <cfRule type="cellIs" dxfId="1133" priority="3291" operator="lessThan">
      <formula>0</formula>
    </cfRule>
  </conditionalFormatting>
  <conditionalFormatting sqref="H86:H1048576">
    <cfRule type="cellIs" dxfId="1132" priority="3290" operator="lessThan">
      <formula>0</formula>
    </cfRule>
  </conditionalFormatting>
  <conditionalFormatting sqref="H86:H1048576">
    <cfRule type="cellIs" dxfId="1131" priority="3289" operator="lessThan">
      <formula>0</formula>
    </cfRule>
  </conditionalFormatting>
  <conditionalFormatting sqref="H86:H1048576">
    <cfRule type="cellIs" dxfId="1130" priority="3288" operator="lessThan">
      <formula>0</formula>
    </cfRule>
  </conditionalFormatting>
  <conditionalFormatting sqref="H86:H1048576">
    <cfRule type="cellIs" dxfId="1129" priority="3287" operator="lessThan">
      <formula>0</formula>
    </cfRule>
  </conditionalFormatting>
  <conditionalFormatting sqref="H86:H1048576">
    <cfRule type="cellIs" dxfId="1128" priority="3286" operator="lessThan">
      <formula>0</formula>
    </cfRule>
  </conditionalFormatting>
  <conditionalFormatting sqref="H86:H1048576">
    <cfRule type="cellIs" dxfId="1127" priority="3285" operator="lessThan">
      <formula>0</formula>
    </cfRule>
  </conditionalFormatting>
  <conditionalFormatting sqref="H86:H1048576">
    <cfRule type="cellIs" dxfId="1126" priority="3284" operator="lessThan">
      <formula>0</formula>
    </cfRule>
  </conditionalFormatting>
  <conditionalFormatting sqref="H86:H1048576">
    <cfRule type="cellIs" dxfId="1125" priority="3283" operator="lessThan">
      <formula>0</formula>
    </cfRule>
  </conditionalFormatting>
  <conditionalFormatting sqref="H86:H1048576">
    <cfRule type="cellIs" dxfId="1124" priority="3282" operator="lessThan">
      <formula>0</formula>
    </cfRule>
  </conditionalFormatting>
  <conditionalFormatting sqref="H86:H1048576">
    <cfRule type="cellIs" dxfId="1123" priority="3281" operator="lessThan">
      <formula>0</formula>
    </cfRule>
  </conditionalFormatting>
  <conditionalFormatting sqref="H86:H1048576">
    <cfRule type="cellIs" dxfId="1122" priority="3280" operator="lessThan">
      <formula>0</formula>
    </cfRule>
  </conditionalFormatting>
  <conditionalFormatting sqref="H86:H1048576">
    <cfRule type="cellIs" dxfId="1121" priority="3279" operator="lessThan">
      <formula>0</formula>
    </cfRule>
  </conditionalFormatting>
  <conditionalFormatting sqref="H86:H1048576">
    <cfRule type="cellIs" dxfId="1120" priority="3278" operator="lessThan">
      <formula>0</formula>
    </cfRule>
  </conditionalFormatting>
  <conditionalFormatting sqref="H86:H1048576">
    <cfRule type="cellIs" dxfId="1119" priority="3277" operator="lessThan">
      <formula>0</formula>
    </cfRule>
  </conditionalFormatting>
  <conditionalFormatting sqref="H86:H1048576">
    <cfRule type="cellIs" dxfId="1118" priority="3276" operator="lessThan">
      <formula>0</formula>
    </cfRule>
  </conditionalFormatting>
  <conditionalFormatting sqref="H86:H1048576">
    <cfRule type="cellIs" dxfId="1117" priority="3275" operator="lessThan">
      <formula>0</formula>
    </cfRule>
  </conditionalFormatting>
  <conditionalFormatting sqref="H86:H1048576">
    <cfRule type="cellIs" dxfId="1116" priority="3274" operator="lessThan">
      <formula>0</formula>
    </cfRule>
  </conditionalFormatting>
  <conditionalFormatting sqref="H86:H1048576">
    <cfRule type="cellIs" dxfId="1115" priority="3273" operator="lessThan">
      <formula>0</formula>
    </cfRule>
  </conditionalFormatting>
  <conditionalFormatting sqref="H86:H1048576">
    <cfRule type="cellIs" dxfId="1114" priority="3272" operator="lessThan">
      <formula>0</formula>
    </cfRule>
  </conditionalFormatting>
  <conditionalFormatting sqref="H86:H1048576">
    <cfRule type="cellIs" dxfId="1113" priority="3271" operator="lessThan">
      <formula>0</formula>
    </cfRule>
  </conditionalFormatting>
  <conditionalFormatting sqref="H86:H1048576">
    <cfRule type="cellIs" dxfId="1112" priority="3270" operator="lessThan">
      <formula>0</formula>
    </cfRule>
  </conditionalFormatting>
  <conditionalFormatting sqref="H86:H1048576">
    <cfRule type="cellIs" dxfId="1111" priority="3269" operator="lessThan">
      <formula>0</formula>
    </cfRule>
  </conditionalFormatting>
  <conditionalFormatting sqref="H86:H1048576">
    <cfRule type="cellIs" dxfId="1110" priority="3268" operator="lessThan">
      <formula>0</formula>
    </cfRule>
  </conditionalFormatting>
  <conditionalFormatting sqref="H86:H1048576">
    <cfRule type="cellIs" dxfId="1109" priority="3267" operator="lessThan">
      <formula>0</formula>
    </cfRule>
  </conditionalFormatting>
  <conditionalFormatting sqref="H86:H1048576">
    <cfRule type="cellIs" dxfId="1108" priority="3266" operator="lessThan">
      <formula>0</formula>
    </cfRule>
  </conditionalFormatting>
  <conditionalFormatting sqref="H86:H1048576">
    <cfRule type="cellIs" dxfId="1107" priority="3265" operator="lessThan">
      <formula>0</formula>
    </cfRule>
  </conditionalFormatting>
  <conditionalFormatting sqref="H86:H1048576">
    <cfRule type="cellIs" dxfId="1106" priority="3264" operator="lessThan">
      <formula>0</formula>
    </cfRule>
  </conditionalFormatting>
  <conditionalFormatting sqref="H86:H1048576">
    <cfRule type="cellIs" dxfId="1105" priority="3263" operator="lessThan">
      <formula>0</formula>
    </cfRule>
  </conditionalFormatting>
  <conditionalFormatting sqref="H86:H1048576">
    <cfRule type="cellIs" dxfId="1104" priority="3262" operator="lessThan">
      <formula>0</formula>
    </cfRule>
  </conditionalFormatting>
  <conditionalFormatting sqref="H86:H1048576">
    <cfRule type="cellIs" dxfId="1103" priority="3261" operator="lessThan">
      <formula>0</formula>
    </cfRule>
  </conditionalFormatting>
  <conditionalFormatting sqref="H86:H1048576">
    <cfRule type="cellIs" dxfId="1102" priority="3260" operator="lessThan">
      <formula>0</formula>
    </cfRule>
  </conditionalFormatting>
  <conditionalFormatting sqref="H86:H1048576">
    <cfRule type="cellIs" dxfId="1101" priority="3259" operator="lessThan">
      <formula>0</formula>
    </cfRule>
  </conditionalFormatting>
  <conditionalFormatting sqref="H86:H1048576">
    <cfRule type="cellIs" dxfId="1100" priority="3258" operator="lessThan">
      <formula>0</formula>
    </cfRule>
  </conditionalFormatting>
  <conditionalFormatting sqref="H86:H1048576">
    <cfRule type="cellIs" dxfId="1099" priority="3257" operator="lessThan">
      <formula>0</formula>
    </cfRule>
  </conditionalFormatting>
  <conditionalFormatting sqref="H86:H1048576">
    <cfRule type="cellIs" dxfId="1098" priority="3256" operator="lessThan">
      <formula>0</formula>
    </cfRule>
  </conditionalFormatting>
  <conditionalFormatting sqref="H86:H1048576">
    <cfRule type="cellIs" dxfId="1097" priority="3255" operator="lessThan">
      <formula>0</formula>
    </cfRule>
  </conditionalFormatting>
  <conditionalFormatting sqref="H86:H1048576">
    <cfRule type="cellIs" dxfId="1096" priority="3254" operator="lessThan">
      <formula>0</formula>
    </cfRule>
  </conditionalFormatting>
  <conditionalFormatting sqref="H86:H1048576">
    <cfRule type="cellIs" dxfId="1095" priority="3253" operator="lessThan">
      <formula>0</formula>
    </cfRule>
  </conditionalFormatting>
  <conditionalFormatting sqref="H86:H1048576">
    <cfRule type="cellIs" dxfId="1094" priority="3252" operator="lessThan">
      <formula>0</formula>
    </cfRule>
  </conditionalFormatting>
  <conditionalFormatting sqref="H86:H1048576">
    <cfRule type="cellIs" dxfId="1093" priority="3251" operator="lessThan">
      <formula>0</formula>
    </cfRule>
  </conditionalFormatting>
  <conditionalFormatting sqref="H86:H1048576">
    <cfRule type="cellIs" dxfId="1092" priority="3250" operator="lessThan">
      <formula>0</formula>
    </cfRule>
  </conditionalFormatting>
  <conditionalFormatting sqref="H86:H1048576">
    <cfRule type="cellIs" dxfId="1091" priority="3249" operator="lessThan">
      <formula>0</formula>
    </cfRule>
  </conditionalFormatting>
  <conditionalFormatting sqref="H86:H1048576">
    <cfRule type="cellIs" dxfId="1090" priority="3248" operator="lessThan">
      <formula>0</formula>
    </cfRule>
  </conditionalFormatting>
  <conditionalFormatting sqref="H86:H1048576">
    <cfRule type="cellIs" dxfId="1089" priority="3247" operator="lessThan">
      <formula>0</formula>
    </cfRule>
  </conditionalFormatting>
  <conditionalFormatting sqref="H86:H1048576">
    <cfRule type="cellIs" dxfId="1088" priority="3246" operator="lessThan">
      <formula>0</formula>
    </cfRule>
  </conditionalFormatting>
  <conditionalFormatting sqref="H86:H1048576">
    <cfRule type="cellIs" dxfId="1087" priority="3245" operator="lessThan">
      <formula>0</formula>
    </cfRule>
  </conditionalFormatting>
  <conditionalFormatting sqref="H86:H1048576">
    <cfRule type="cellIs" dxfId="1086" priority="3244" operator="lessThan">
      <formula>0</formula>
    </cfRule>
  </conditionalFormatting>
  <conditionalFormatting sqref="H86:H1048576">
    <cfRule type="cellIs" dxfId="1085" priority="3243" operator="lessThan">
      <formula>0</formula>
    </cfRule>
  </conditionalFormatting>
  <conditionalFormatting sqref="H86:H1048576">
    <cfRule type="cellIs" dxfId="1084" priority="3242" operator="lessThan">
      <formula>0</formula>
    </cfRule>
  </conditionalFormatting>
  <conditionalFormatting sqref="H86:H1048576">
    <cfRule type="cellIs" dxfId="1083" priority="3241" operator="lessThan">
      <formula>0</formula>
    </cfRule>
  </conditionalFormatting>
  <conditionalFormatting sqref="H86:H1048576">
    <cfRule type="cellIs" dxfId="1082" priority="3240" operator="lessThan">
      <formula>0</formula>
    </cfRule>
  </conditionalFormatting>
  <conditionalFormatting sqref="H86:H1048576">
    <cfRule type="cellIs" dxfId="1081" priority="3239" operator="lessThan">
      <formula>0</formula>
    </cfRule>
  </conditionalFormatting>
  <conditionalFormatting sqref="H86:H1048576">
    <cfRule type="cellIs" dxfId="1080" priority="3238" operator="lessThan">
      <formula>0</formula>
    </cfRule>
  </conditionalFormatting>
  <conditionalFormatting sqref="H86:H1048576">
    <cfRule type="cellIs" dxfId="1079" priority="3237" operator="lessThan">
      <formula>0</formula>
    </cfRule>
  </conditionalFormatting>
  <conditionalFormatting sqref="H86:H1048576">
    <cfRule type="cellIs" dxfId="1078" priority="3236" operator="lessThan">
      <formula>0</formula>
    </cfRule>
  </conditionalFormatting>
  <conditionalFormatting sqref="H86:H1048576">
    <cfRule type="cellIs" dxfId="1077" priority="3235" operator="lessThan">
      <formula>0</formula>
    </cfRule>
  </conditionalFormatting>
  <conditionalFormatting sqref="H86:H1048576">
    <cfRule type="cellIs" dxfId="1076" priority="3234" operator="lessThan">
      <formula>0</formula>
    </cfRule>
  </conditionalFormatting>
  <conditionalFormatting sqref="H86:H1048576">
    <cfRule type="cellIs" dxfId="1075" priority="3233" operator="lessThan">
      <formula>0</formula>
    </cfRule>
  </conditionalFormatting>
  <conditionalFormatting sqref="H86:H1048576">
    <cfRule type="cellIs" dxfId="1074" priority="3232" operator="lessThan">
      <formula>0</formula>
    </cfRule>
  </conditionalFormatting>
  <conditionalFormatting sqref="H86:H1048576">
    <cfRule type="cellIs" dxfId="1073" priority="3231" operator="lessThan">
      <formula>0</formula>
    </cfRule>
  </conditionalFormatting>
  <conditionalFormatting sqref="H86:H1048576">
    <cfRule type="cellIs" dxfId="1072" priority="3230" operator="lessThan">
      <formula>0</formula>
    </cfRule>
  </conditionalFormatting>
  <conditionalFormatting sqref="H86:H1048576">
    <cfRule type="cellIs" dxfId="1071" priority="3229" operator="lessThan">
      <formula>0</formula>
    </cfRule>
  </conditionalFormatting>
  <conditionalFormatting sqref="H86:H1048576">
    <cfRule type="cellIs" dxfId="1070" priority="3228" operator="lessThan">
      <formula>0</formula>
    </cfRule>
  </conditionalFormatting>
  <conditionalFormatting sqref="H86:H1048576">
    <cfRule type="cellIs" dxfId="1069" priority="3227" operator="lessThan">
      <formula>0</formula>
    </cfRule>
  </conditionalFormatting>
  <conditionalFormatting sqref="H86:H1048576">
    <cfRule type="cellIs" dxfId="1068" priority="3226" operator="lessThan">
      <formula>0</formula>
    </cfRule>
  </conditionalFormatting>
  <conditionalFormatting sqref="H86:H1048576">
    <cfRule type="cellIs" dxfId="1067" priority="3225" operator="lessThan">
      <formula>0</formula>
    </cfRule>
  </conditionalFormatting>
  <conditionalFormatting sqref="H86:H1048576">
    <cfRule type="cellIs" dxfId="1066" priority="3224" operator="lessThan">
      <formula>0</formula>
    </cfRule>
  </conditionalFormatting>
  <conditionalFormatting sqref="H86:H1048576">
    <cfRule type="cellIs" dxfId="1065" priority="3223" operator="lessThan">
      <formula>0</formula>
    </cfRule>
  </conditionalFormatting>
  <conditionalFormatting sqref="H86:H1048576">
    <cfRule type="cellIs" dxfId="1064" priority="3222" operator="lessThan">
      <formula>0</formula>
    </cfRule>
  </conditionalFormatting>
  <conditionalFormatting sqref="H86:H1048576">
    <cfRule type="cellIs" dxfId="1063" priority="3221" operator="lessThan">
      <formula>0</formula>
    </cfRule>
  </conditionalFormatting>
  <conditionalFormatting sqref="H86:H1048576">
    <cfRule type="cellIs" dxfId="1062" priority="3220" operator="lessThan">
      <formula>0</formula>
    </cfRule>
  </conditionalFormatting>
  <conditionalFormatting sqref="H86:H1048576">
    <cfRule type="cellIs" dxfId="1061" priority="3219" operator="lessThan">
      <formula>0</formula>
    </cfRule>
  </conditionalFormatting>
  <conditionalFormatting sqref="H86:H1048576">
    <cfRule type="cellIs" dxfId="1060" priority="3218" operator="lessThan">
      <formula>0</formula>
    </cfRule>
  </conditionalFormatting>
  <conditionalFormatting sqref="H86:H1048576">
    <cfRule type="cellIs" dxfId="1059" priority="3217" operator="lessThan">
      <formula>0</formula>
    </cfRule>
  </conditionalFormatting>
  <conditionalFormatting sqref="H86:H1048576">
    <cfRule type="cellIs" dxfId="1058" priority="3216" operator="lessThan">
      <formula>0</formula>
    </cfRule>
  </conditionalFormatting>
  <conditionalFormatting sqref="H86:H1048576">
    <cfRule type="cellIs" dxfId="1057" priority="3215" operator="lessThan">
      <formula>0</formula>
    </cfRule>
  </conditionalFormatting>
  <conditionalFormatting sqref="H86:H1048576">
    <cfRule type="cellIs" dxfId="1056" priority="3214" operator="lessThan">
      <formula>0</formula>
    </cfRule>
  </conditionalFormatting>
  <conditionalFormatting sqref="H86:H1048576">
    <cfRule type="cellIs" dxfId="1055" priority="3213" operator="lessThan">
      <formula>0</formula>
    </cfRule>
  </conditionalFormatting>
  <conditionalFormatting sqref="H86:H1048576">
    <cfRule type="cellIs" dxfId="1054" priority="3212" operator="lessThan">
      <formula>0</formula>
    </cfRule>
  </conditionalFormatting>
  <conditionalFormatting sqref="H86:H1048576">
    <cfRule type="cellIs" dxfId="1053" priority="3211" operator="lessThan">
      <formula>0</formula>
    </cfRule>
  </conditionalFormatting>
  <conditionalFormatting sqref="H86:H1048576">
    <cfRule type="cellIs" dxfId="1052" priority="3210" operator="lessThan">
      <formula>0</formula>
    </cfRule>
  </conditionalFormatting>
  <conditionalFormatting sqref="H86:H1048576">
    <cfRule type="cellIs" dxfId="1051" priority="3209" operator="lessThan">
      <formula>0</formula>
    </cfRule>
  </conditionalFormatting>
  <conditionalFormatting sqref="H86:H1048576">
    <cfRule type="cellIs" dxfId="1050" priority="3208" operator="lessThan">
      <formula>0</formula>
    </cfRule>
  </conditionalFormatting>
  <conditionalFormatting sqref="H86:H1048576">
    <cfRule type="cellIs" dxfId="1049" priority="3207" operator="lessThan">
      <formula>0</formula>
    </cfRule>
  </conditionalFormatting>
  <conditionalFormatting sqref="H86:H1048576">
    <cfRule type="cellIs" dxfId="1048" priority="3206" operator="lessThan">
      <formula>0</formula>
    </cfRule>
  </conditionalFormatting>
  <conditionalFormatting sqref="H86:H1048576">
    <cfRule type="cellIs" dxfId="1047" priority="3205" operator="lessThan">
      <formula>0</formula>
    </cfRule>
  </conditionalFormatting>
  <conditionalFormatting sqref="H86:H1048576">
    <cfRule type="cellIs" dxfId="1046" priority="3204" operator="lessThan">
      <formula>0</formula>
    </cfRule>
  </conditionalFormatting>
  <conditionalFormatting sqref="H86:H1048576">
    <cfRule type="cellIs" dxfId="1045" priority="3203" operator="lessThan">
      <formula>0</formula>
    </cfRule>
  </conditionalFormatting>
  <conditionalFormatting sqref="H86:H1048576">
    <cfRule type="cellIs" dxfId="1044" priority="3202" operator="lessThan">
      <formula>0</formula>
    </cfRule>
  </conditionalFormatting>
  <conditionalFormatting sqref="H86:H1048576">
    <cfRule type="cellIs" dxfId="1043" priority="3201" operator="lessThan">
      <formula>0</formula>
    </cfRule>
  </conditionalFormatting>
  <conditionalFormatting sqref="H86:H1048576">
    <cfRule type="cellIs" dxfId="1042" priority="3200" operator="lessThan">
      <formula>0</formula>
    </cfRule>
  </conditionalFormatting>
  <conditionalFormatting sqref="H86:H1048576">
    <cfRule type="cellIs" dxfId="1041" priority="3199" operator="lessThan">
      <formula>0</formula>
    </cfRule>
  </conditionalFormatting>
  <conditionalFormatting sqref="H86:H1048576">
    <cfRule type="cellIs" dxfId="1040" priority="3198" operator="lessThan">
      <formula>0</formula>
    </cfRule>
  </conditionalFormatting>
  <conditionalFormatting sqref="H86:H1048576">
    <cfRule type="cellIs" dxfId="1039" priority="3197" operator="lessThan">
      <formula>0</formula>
    </cfRule>
  </conditionalFormatting>
  <conditionalFormatting sqref="H86:H1048576">
    <cfRule type="cellIs" dxfId="1038" priority="3196" operator="lessThan">
      <formula>0</formula>
    </cfRule>
  </conditionalFormatting>
  <conditionalFormatting sqref="H86:H1048576">
    <cfRule type="cellIs" dxfId="1037" priority="3195" operator="lessThan">
      <formula>0</formula>
    </cfRule>
  </conditionalFormatting>
  <conditionalFormatting sqref="H86:H1048576">
    <cfRule type="cellIs" dxfId="1036" priority="3194" operator="lessThan">
      <formula>0</formula>
    </cfRule>
  </conditionalFormatting>
  <conditionalFormatting sqref="H86:H1048576">
    <cfRule type="cellIs" dxfId="1035" priority="3193" operator="lessThan">
      <formula>0</formula>
    </cfRule>
  </conditionalFormatting>
  <conditionalFormatting sqref="H86:H1048576">
    <cfRule type="cellIs" dxfId="1034" priority="3192" operator="lessThan">
      <formula>0</formula>
    </cfRule>
  </conditionalFormatting>
  <conditionalFormatting sqref="H86:H1048576">
    <cfRule type="cellIs" dxfId="1033" priority="3191" operator="lessThan">
      <formula>0</formula>
    </cfRule>
  </conditionalFormatting>
  <conditionalFormatting sqref="H86:H1048576">
    <cfRule type="cellIs" dxfId="1032" priority="3190" operator="lessThan">
      <formula>0</formula>
    </cfRule>
  </conditionalFormatting>
  <conditionalFormatting sqref="H86:H1048576">
    <cfRule type="cellIs" dxfId="1031" priority="3189" operator="lessThan">
      <formula>0</formula>
    </cfRule>
  </conditionalFormatting>
  <conditionalFormatting sqref="H86:H1048576">
    <cfRule type="cellIs" dxfId="1030" priority="3188" operator="lessThan">
      <formula>0</formula>
    </cfRule>
  </conditionalFormatting>
  <conditionalFormatting sqref="H86:H1048576">
    <cfRule type="cellIs" dxfId="1029" priority="3187" operator="lessThan">
      <formula>0</formula>
    </cfRule>
  </conditionalFormatting>
  <conditionalFormatting sqref="H86:H1048576">
    <cfRule type="cellIs" dxfId="1028" priority="3186" operator="lessThan">
      <formula>0</formula>
    </cfRule>
  </conditionalFormatting>
  <conditionalFormatting sqref="H86:H1048576">
    <cfRule type="cellIs" dxfId="1027" priority="3185" operator="lessThan">
      <formula>0</formula>
    </cfRule>
  </conditionalFormatting>
  <conditionalFormatting sqref="H86:H1048576">
    <cfRule type="cellIs" dxfId="1026" priority="3184" operator="lessThan">
      <formula>0</formula>
    </cfRule>
  </conditionalFormatting>
  <conditionalFormatting sqref="H86:H1048576">
    <cfRule type="cellIs" dxfId="1025" priority="3183" operator="lessThan">
      <formula>0</formula>
    </cfRule>
  </conditionalFormatting>
  <conditionalFormatting sqref="H86:H1048576">
    <cfRule type="cellIs" dxfId="1024" priority="3182" operator="lessThan">
      <formula>0</formula>
    </cfRule>
  </conditionalFormatting>
  <conditionalFormatting sqref="H86:H1048576">
    <cfRule type="cellIs" dxfId="1023" priority="3181" operator="lessThan">
      <formula>0</formula>
    </cfRule>
  </conditionalFormatting>
  <conditionalFormatting sqref="H86:H1048576">
    <cfRule type="cellIs" dxfId="1022" priority="3180" operator="lessThan">
      <formula>0</formula>
    </cfRule>
  </conditionalFormatting>
  <conditionalFormatting sqref="H86:H1048576">
    <cfRule type="cellIs" dxfId="1021" priority="3179" operator="lessThan">
      <formula>0</formula>
    </cfRule>
  </conditionalFormatting>
  <conditionalFormatting sqref="H86:H1048576">
    <cfRule type="cellIs" dxfId="1020" priority="3178" operator="lessThan">
      <formula>0</formula>
    </cfRule>
  </conditionalFormatting>
  <conditionalFormatting sqref="H86:H1048576">
    <cfRule type="cellIs" dxfId="1019" priority="3177" operator="lessThan">
      <formula>0</formula>
    </cfRule>
  </conditionalFormatting>
  <conditionalFormatting sqref="H86:H1048576">
    <cfRule type="cellIs" dxfId="1018" priority="3176" operator="lessThan">
      <formula>0</formula>
    </cfRule>
  </conditionalFormatting>
  <conditionalFormatting sqref="H86:H1048576">
    <cfRule type="cellIs" dxfId="1017" priority="3175" operator="lessThan">
      <formula>0</formula>
    </cfRule>
  </conditionalFormatting>
  <conditionalFormatting sqref="H86:H1048576">
    <cfRule type="cellIs" dxfId="1016" priority="3174" operator="lessThan">
      <formula>0</formula>
    </cfRule>
  </conditionalFormatting>
  <conditionalFormatting sqref="H86:H1048576">
    <cfRule type="cellIs" dxfId="1015" priority="3173" operator="lessThan">
      <formula>0</formula>
    </cfRule>
  </conditionalFormatting>
  <conditionalFormatting sqref="H86:H1048576">
    <cfRule type="cellIs" dxfId="1014" priority="3172" operator="lessThan">
      <formula>0</formula>
    </cfRule>
  </conditionalFormatting>
  <conditionalFormatting sqref="H86:H1048576">
    <cfRule type="cellIs" dxfId="1013" priority="3171" operator="lessThan">
      <formula>0</formula>
    </cfRule>
  </conditionalFormatting>
  <conditionalFormatting sqref="H86:H1048576">
    <cfRule type="cellIs" dxfId="1012" priority="3170" operator="lessThan">
      <formula>0</formula>
    </cfRule>
  </conditionalFormatting>
  <conditionalFormatting sqref="H86:H1048576">
    <cfRule type="cellIs" dxfId="1011" priority="3169" operator="lessThan">
      <formula>0</formula>
    </cfRule>
  </conditionalFormatting>
  <conditionalFormatting sqref="H86:H1048576">
    <cfRule type="cellIs" dxfId="1010" priority="3168" operator="lessThan">
      <formula>0</formula>
    </cfRule>
  </conditionalFormatting>
  <conditionalFormatting sqref="H86:H1048576">
    <cfRule type="cellIs" dxfId="1009" priority="3167" operator="lessThan">
      <formula>0</formula>
    </cfRule>
  </conditionalFormatting>
  <conditionalFormatting sqref="H86:H1048576">
    <cfRule type="cellIs" dxfId="1008" priority="3166" operator="lessThan">
      <formula>0</formula>
    </cfRule>
  </conditionalFormatting>
  <conditionalFormatting sqref="H86:H1048576">
    <cfRule type="cellIs" dxfId="1007" priority="3165" operator="lessThan">
      <formula>0</formula>
    </cfRule>
  </conditionalFormatting>
  <conditionalFormatting sqref="H86:H1048576">
    <cfRule type="cellIs" dxfId="1006" priority="3164" operator="lessThan">
      <formula>0</formula>
    </cfRule>
  </conditionalFormatting>
  <conditionalFormatting sqref="H86:H1048576">
    <cfRule type="cellIs" dxfId="1005" priority="3163" operator="lessThan">
      <formula>0</formula>
    </cfRule>
  </conditionalFormatting>
  <conditionalFormatting sqref="H86:H1048576">
    <cfRule type="cellIs" dxfId="1004" priority="3162" operator="lessThan">
      <formula>0</formula>
    </cfRule>
  </conditionalFormatting>
  <conditionalFormatting sqref="H86:H1048576">
    <cfRule type="cellIs" dxfId="1003" priority="3161" operator="lessThan">
      <formula>0</formula>
    </cfRule>
  </conditionalFormatting>
  <conditionalFormatting sqref="H86:H1048576">
    <cfRule type="cellIs" dxfId="1002" priority="3160" operator="lessThan">
      <formula>0</formula>
    </cfRule>
  </conditionalFormatting>
  <conditionalFormatting sqref="H86:H1048576">
    <cfRule type="cellIs" dxfId="1001" priority="3159" operator="lessThan">
      <formula>0</formula>
    </cfRule>
  </conditionalFormatting>
  <conditionalFormatting sqref="H86:H1048576">
    <cfRule type="cellIs" dxfId="1000" priority="3158" operator="lessThan">
      <formula>0</formula>
    </cfRule>
  </conditionalFormatting>
  <conditionalFormatting sqref="H86:H1048576">
    <cfRule type="cellIs" dxfId="999" priority="3157" operator="lessThan">
      <formula>0</formula>
    </cfRule>
  </conditionalFormatting>
  <conditionalFormatting sqref="H86:H1048576">
    <cfRule type="cellIs" dxfId="998" priority="3156" operator="lessThan">
      <formula>0</formula>
    </cfRule>
  </conditionalFormatting>
  <conditionalFormatting sqref="H86:H1048576">
    <cfRule type="cellIs" dxfId="997" priority="3155" operator="lessThan">
      <formula>0</formula>
    </cfRule>
  </conditionalFormatting>
  <conditionalFormatting sqref="H86:H1048576">
    <cfRule type="cellIs" dxfId="996" priority="3154" operator="lessThan">
      <formula>0</formula>
    </cfRule>
  </conditionalFormatting>
  <conditionalFormatting sqref="H86:H1048576">
    <cfRule type="cellIs" dxfId="995" priority="3153" operator="lessThan">
      <formula>0</formula>
    </cfRule>
  </conditionalFormatting>
  <conditionalFormatting sqref="H86:H1048576">
    <cfRule type="cellIs" dxfId="994" priority="3152" operator="lessThan">
      <formula>0</formula>
    </cfRule>
  </conditionalFormatting>
  <conditionalFormatting sqref="H86:H1048576">
    <cfRule type="cellIs" dxfId="993" priority="3151" operator="lessThan">
      <formula>0</formula>
    </cfRule>
  </conditionalFormatting>
  <conditionalFormatting sqref="H86:H1048576">
    <cfRule type="cellIs" dxfId="992" priority="3150" operator="lessThan">
      <formula>0</formula>
    </cfRule>
  </conditionalFormatting>
  <conditionalFormatting sqref="H86:H1048576">
    <cfRule type="cellIs" dxfId="991" priority="3149" operator="lessThan">
      <formula>0</formula>
    </cfRule>
  </conditionalFormatting>
  <conditionalFormatting sqref="H86:H1048576">
    <cfRule type="cellIs" dxfId="990" priority="3148" operator="lessThan">
      <formula>0</formula>
    </cfRule>
  </conditionalFormatting>
  <conditionalFormatting sqref="H86:H1048576">
    <cfRule type="cellIs" dxfId="989" priority="3147" operator="lessThan">
      <formula>0</formula>
    </cfRule>
  </conditionalFormatting>
  <conditionalFormatting sqref="H86:H1048576">
    <cfRule type="cellIs" dxfId="988" priority="3146" operator="lessThan">
      <formula>0</formula>
    </cfRule>
  </conditionalFormatting>
  <conditionalFormatting sqref="H86:H1048576">
    <cfRule type="cellIs" dxfId="987" priority="3145" operator="lessThan">
      <formula>0</formula>
    </cfRule>
  </conditionalFormatting>
  <conditionalFormatting sqref="H86:H1048576">
    <cfRule type="cellIs" dxfId="986" priority="3144" operator="lessThan">
      <formula>0</formula>
    </cfRule>
  </conditionalFormatting>
  <conditionalFormatting sqref="H86:H1048576">
    <cfRule type="cellIs" dxfId="985" priority="3143" operator="lessThan">
      <formula>0</formula>
    </cfRule>
  </conditionalFormatting>
  <conditionalFormatting sqref="H86:H1048576">
    <cfRule type="cellIs" dxfId="984" priority="3142" operator="lessThan">
      <formula>0</formula>
    </cfRule>
  </conditionalFormatting>
  <conditionalFormatting sqref="H86:H1048576">
    <cfRule type="cellIs" dxfId="983" priority="3141" operator="lessThan">
      <formula>0</formula>
    </cfRule>
  </conditionalFormatting>
  <conditionalFormatting sqref="H86:H1048576">
    <cfRule type="cellIs" dxfId="982" priority="3140" operator="lessThan">
      <formula>0</formula>
    </cfRule>
  </conditionalFormatting>
  <conditionalFormatting sqref="H86:H1048576">
    <cfRule type="cellIs" dxfId="981" priority="3139" operator="lessThan">
      <formula>0</formula>
    </cfRule>
  </conditionalFormatting>
  <conditionalFormatting sqref="H86:H1048576">
    <cfRule type="cellIs" dxfId="980" priority="3138" operator="lessThan">
      <formula>0</formula>
    </cfRule>
  </conditionalFormatting>
  <conditionalFormatting sqref="H86:H1048576">
    <cfRule type="cellIs" dxfId="979" priority="3137" operator="lessThan">
      <formula>0</formula>
    </cfRule>
  </conditionalFormatting>
  <conditionalFormatting sqref="H86:H1048576">
    <cfRule type="cellIs" dxfId="978" priority="3136" operator="lessThan">
      <formula>0</formula>
    </cfRule>
  </conditionalFormatting>
  <conditionalFormatting sqref="H86:H1048576">
    <cfRule type="cellIs" dxfId="977" priority="3135" operator="lessThan">
      <formula>0</formula>
    </cfRule>
  </conditionalFormatting>
  <conditionalFormatting sqref="H86:H1048576">
    <cfRule type="cellIs" dxfId="976" priority="3134" operator="lessThan">
      <formula>0</formula>
    </cfRule>
  </conditionalFormatting>
  <conditionalFormatting sqref="H86:H1048576">
    <cfRule type="cellIs" dxfId="975" priority="3133" operator="lessThan">
      <formula>0</formula>
    </cfRule>
  </conditionalFormatting>
  <conditionalFormatting sqref="H86:H1048576">
    <cfRule type="cellIs" dxfId="974" priority="3132" operator="lessThan">
      <formula>0</formula>
    </cfRule>
  </conditionalFormatting>
  <conditionalFormatting sqref="H86:H1048576">
    <cfRule type="cellIs" dxfId="973" priority="3131" operator="lessThan">
      <formula>0</formula>
    </cfRule>
  </conditionalFormatting>
  <conditionalFormatting sqref="H86:H1048576">
    <cfRule type="cellIs" dxfId="972" priority="3130" operator="lessThan">
      <formula>0</formula>
    </cfRule>
  </conditionalFormatting>
  <conditionalFormatting sqref="H86:H1048576">
    <cfRule type="cellIs" dxfId="971" priority="3129" operator="lessThan">
      <formula>0</formula>
    </cfRule>
  </conditionalFormatting>
  <conditionalFormatting sqref="H86:H1048576">
    <cfRule type="cellIs" dxfId="970" priority="3128" operator="lessThan">
      <formula>0</formula>
    </cfRule>
  </conditionalFormatting>
  <conditionalFormatting sqref="H86:H1048576">
    <cfRule type="cellIs" dxfId="969" priority="3127" operator="lessThan">
      <formula>0</formula>
    </cfRule>
  </conditionalFormatting>
  <conditionalFormatting sqref="H86:H1048576">
    <cfRule type="cellIs" dxfId="968" priority="3126" operator="lessThan">
      <formula>0</formula>
    </cfRule>
  </conditionalFormatting>
  <conditionalFormatting sqref="H86:H1048576">
    <cfRule type="cellIs" dxfId="967" priority="3125" operator="lessThan">
      <formula>0</formula>
    </cfRule>
  </conditionalFormatting>
  <conditionalFormatting sqref="H86:H1048576">
    <cfRule type="cellIs" dxfId="966" priority="3124" operator="lessThan">
      <formula>0</formula>
    </cfRule>
  </conditionalFormatting>
  <conditionalFormatting sqref="H86:H1048576">
    <cfRule type="cellIs" dxfId="965" priority="3123" operator="lessThan">
      <formula>0</formula>
    </cfRule>
  </conditionalFormatting>
  <conditionalFormatting sqref="H10:H1048576">
    <cfRule type="cellIs" dxfId="964" priority="3122" operator="lessThan">
      <formula>0</formula>
    </cfRule>
  </conditionalFormatting>
  <conditionalFormatting sqref="H10:H1048576">
    <cfRule type="cellIs" dxfId="963" priority="3121" operator="lessThan">
      <formula>0</formula>
    </cfRule>
  </conditionalFormatting>
  <conditionalFormatting sqref="H10:H1048576">
    <cfRule type="cellIs" dxfId="962" priority="3120" operator="lessThan">
      <formula>0</formula>
    </cfRule>
  </conditionalFormatting>
  <conditionalFormatting sqref="H10:H1048576">
    <cfRule type="cellIs" dxfId="961" priority="3119" operator="lessThan">
      <formula>0</formula>
    </cfRule>
  </conditionalFormatting>
  <conditionalFormatting sqref="H10:H1048576">
    <cfRule type="cellIs" dxfId="960" priority="3118" operator="lessThan">
      <formula>0</formula>
    </cfRule>
  </conditionalFormatting>
  <conditionalFormatting sqref="H10:H1048576">
    <cfRule type="cellIs" dxfId="959" priority="3117" operator="lessThan">
      <formula>0</formula>
    </cfRule>
  </conditionalFormatting>
  <conditionalFormatting sqref="H10:H1048576">
    <cfRule type="cellIs" dxfId="958" priority="3116" operator="lessThan">
      <formula>0</formula>
    </cfRule>
  </conditionalFormatting>
  <conditionalFormatting sqref="H10:H1048576">
    <cfRule type="cellIs" dxfId="957" priority="3115" operator="lessThan">
      <formula>0</formula>
    </cfRule>
  </conditionalFormatting>
  <conditionalFormatting sqref="H10:H1048576">
    <cfRule type="cellIs" dxfId="956" priority="3114" operator="lessThan">
      <formula>0</formula>
    </cfRule>
  </conditionalFormatting>
  <conditionalFormatting sqref="H10:H1048576">
    <cfRule type="cellIs" dxfId="955" priority="3113" operator="lessThan">
      <formula>0</formula>
    </cfRule>
  </conditionalFormatting>
  <conditionalFormatting sqref="H10:H1048576">
    <cfRule type="cellIs" dxfId="954" priority="3112" operator="lessThan">
      <formula>0</formula>
    </cfRule>
  </conditionalFormatting>
  <conditionalFormatting sqref="H10:H1048576">
    <cfRule type="cellIs" dxfId="953" priority="3111" operator="lessThan">
      <formula>0</formula>
    </cfRule>
  </conditionalFormatting>
  <conditionalFormatting sqref="H10:H1048576">
    <cfRule type="cellIs" dxfId="952" priority="3110" operator="lessThan">
      <formula>0</formula>
    </cfRule>
  </conditionalFormatting>
  <conditionalFormatting sqref="H10:H1048576">
    <cfRule type="cellIs" dxfId="951" priority="3109" operator="lessThan">
      <formula>0</formula>
    </cfRule>
  </conditionalFormatting>
  <conditionalFormatting sqref="H10:H1048576">
    <cfRule type="cellIs" dxfId="950" priority="3108" operator="lessThan">
      <formula>0</formula>
    </cfRule>
  </conditionalFormatting>
  <conditionalFormatting sqref="H10:H1048576">
    <cfRule type="cellIs" dxfId="949" priority="3107" operator="lessThan">
      <formula>0</formula>
    </cfRule>
  </conditionalFormatting>
  <conditionalFormatting sqref="H10:H1048576">
    <cfRule type="cellIs" dxfId="948" priority="3106" operator="lessThan">
      <formula>0</formula>
    </cfRule>
  </conditionalFormatting>
  <conditionalFormatting sqref="H10:H1048576">
    <cfRule type="cellIs" dxfId="947" priority="3105" operator="lessThan">
      <formula>0</formula>
    </cfRule>
  </conditionalFormatting>
  <conditionalFormatting sqref="H10:H1048576">
    <cfRule type="cellIs" dxfId="946" priority="3104" operator="lessThan">
      <formula>0</formula>
    </cfRule>
  </conditionalFormatting>
  <conditionalFormatting sqref="H10:H1048576">
    <cfRule type="cellIs" dxfId="945" priority="3103" operator="lessThan">
      <formula>0</formula>
    </cfRule>
  </conditionalFormatting>
  <conditionalFormatting sqref="H10:H1048576">
    <cfRule type="cellIs" dxfId="944" priority="3102" operator="lessThan">
      <formula>0</formula>
    </cfRule>
  </conditionalFormatting>
  <conditionalFormatting sqref="H10:H1048576">
    <cfRule type="cellIs" dxfId="943" priority="3101" operator="lessThan">
      <formula>0</formula>
    </cfRule>
  </conditionalFormatting>
  <conditionalFormatting sqref="H10:H1048576">
    <cfRule type="cellIs" dxfId="942" priority="3100" operator="lessThan">
      <formula>0</formula>
    </cfRule>
  </conditionalFormatting>
  <conditionalFormatting sqref="H10:H1048576">
    <cfRule type="cellIs" dxfId="941" priority="3099" operator="lessThan">
      <formula>0</formula>
    </cfRule>
  </conditionalFormatting>
  <conditionalFormatting sqref="H10:H1048576">
    <cfRule type="cellIs" dxfId="940" priority="3098" operator="lessThan">
      <formula>0</formula>
    </cfRule>
  </conditionalFormatting>
  <conditionalFormatting sqref="H10:H1048576">
    <cfRule type="cellIs" dxfId="939" priority="3097" operator="lessThan">
      <formula>0</formula>
    </cfRule>
  </conditionalFormatting>
  <conditionalFormatting sqref="H10:H1048576">
    <cfRule type="cellIs" dxfId="938" priority="3096" operator="lessThan">
      <formula>0</formula>
    </cfRule>
  </conditionalFormatting>
  <conditionalFormatting sqref="H10:H1048576">
    <cfRule type="cellIs" dxfId="937" priority="3095" operator="lessThan">
      <formula>0</formula>
    </cfRule>
  </conditionalFormatting>
  <conditionalFormatting sqref="H10:H1048576">
    <cfRule type="cellIs" dxfId="936" priority="3094" operator="lessThan">
      <formula>0</formula>
    </cfRule>
  </conditionalFormatting>
  <conditionalFormatting sqref="H10:H1048576">
    <cfRule type="cellIs" dxfId="935" priority="3093" operator="lessThan">
      <formula>0</formula>
    </cfRule>
  </conditionalFormatting>
  <conditionalFormatting sqref="H10:H1048576">
    <cfRule type="cellIs" dxfId="934" priority="3092" operator="lessThan">
      <formula>0</formula>
    </cfRule>
  </conditionalFormatting>
  <conditionalFormatting sqref="H10:H1048576">
    <cfRule type="cellIs" dxfId="933" priority="3091" operator="lessThan">
      <formula>0</formula>
    </cfRule>
  </conditionalFormatting>
  <conditionalFormatting sqref="H10:H1048576">
    <cfRule type="cellIs" dxfId="932" priority="3090" operator="lessThan">
      <formula>0</formula>
    </cfRule>
  </conditionalFormatting>
  <conditionalFormatting sqref="H10:H1048576">
    <cfRule type="cellIs" dxfId="931" priority="3089" operator="lessThan">
      <formula>0</formula>
    </cfRule>
  </conditionalFormatting>
  <conditionalFormatting sqref="H10:H1048576">
    <cfRule type="cellIs" dxfId="930" priority="3088" operator="lessThan">
      <formula>0</formula>
    </cfRule>
  </conditionalFormatting>
  <conditionalFormatting sqref="H10:H1048576">
    <cfRule type="cellIs" dxfId="929" priority="3087" operator="lessThan">
      <formula>0</formula>
    </cfRule>
  </conditionalFormatting>
  <conditionalFormatting sqref="H10:H1048576">
    <cfRule type="cellIs" dxfId="928" priority="3086" operator="lessThan">
      <formula>0</formula>
    </cfRule>
  </conditionalFormatting>
  <conditionalFormatting sqref="H10:H1048576">
    <cfRule type="cellIs" dxfId="927" priority="3085" operator="lessThan">
      <formula>0</formula>
    </cfRule>
  </conditionalFormatting>
  <conditionalFormatting sqref="H10:H1048576">
    <cfRule type="cellIs" dxfId="926" priority="3084" operator="lessThan">
      <formula>0</formula>
    </cfRule>
  </conditionalFormatting>
  <conditionalFormatting sqref="H10:H1048576">
    <cfRule type="cellIs" dxfId="925" priority="3083" operator="lessThan">
      <formula>0</formula>
    </cfRule>
  </conditionalFormatting>
  <conditionalFormatting sqref="H10:H1048576">
    <cfRule type="cellIs" dxfId="924" priority="3082" operator="lessThan">
      <formula>0</formula>
    </cfRule>
  </conditionalFormatting>
  <conditionalFormatting sqref="H10:H1048576">
    <cfRule type="cellIs" dxfId="923" priority="3081" operator="lessThan">
      <formula>0</formula>
    </cfRule>
  </conditionalFormatting>
  <conditionalFormatting sqref="H10:H1048576">
    <cfRule type="cellIs" dxfId="922" priority="3080" operator="lessThan">
      <formula>0</formula>
    </cfRule>
  </conditionalFormatting>
  <conditionalFormatting sqref="H10:H1048576">
    <cfRule type="cellIs" dxfId="921" priority="3079" operator="lessThan">
      <formula>0</formula>
    </cfRule>
  </conditionalFormatting>
  <conditionalFormatting sqref="H10:H1048576">
    <cfRule type="cellIs" dxfId="920" priority="3078" operator="lessThan">
      <formula>0</formula>
    </cfRule>
  </conditionalFormatting>
  <conditionalFormatting sqref="H10:H1048576">
    <cfRule type="cellIs" dxfId="919" priority="3077" operator="lessThan">
      <formula>0</formula>
    </cfRule>
  </conditionalFormatting>
  <conditionalFormatting sqref="H10:H1048576">
    <cfRule type="cellIs" dxfId="918" priority="3076" operator="lessThan">
      <formula>0</formula>
    </cfRule>
  </conditionalFormatting>
  <conditionalFormatting sqref="H10:H1048576">
    <cfRule type="cellIs" dxfId="917" priority="3075" operator="lessThan">
      <formula>0</formula>
    </cfRule>
  </conditionalFormatting>
  <conditionalFormatting sqref="H10:H1048576">
    <cfRule type="cellIs" dxfId="916" priority="3074" operator="lessThan">
      <formula>0</formula>
    </cfRule>
  </conditionalFormatting>
  <conditionalFormatting sqref="H10:H1048576">
    <cfRule type="cellIs" dxfId="915" priority="3073" operator="lessThan">
      <formula>0</formula>
    </cfRule>
  </conditionalFormatting>
  <conditionalFormatting sqref="H10:H1048576">
    <cfRule type="cellIs" dxfId="914" priority="3072" operator="lessThan">
      <formula>0</formula>
    </cfRule>
  </conditionalFormatting>
  <conditionalFormatting sqref="H10:H1048576">
    <cfRule type="cellIs" dxfId="913" priority="3071" operator="lessThan">
      <formula>0</formula>
    </cfRule>
  </conditionalFormatting>
  <conditionalFormatting sqref="H10:H1048576">
    <cfRule type="cellIs" dxfId="912" priority="3070" operator="lessThan">
      <formula>0</formula>
    </cfRule>
  </conditionalFormatting>
  <conditionalFormatting sqref="H10:H1048576">
    <cfRule type="cellIs" dxfId="911" priority="3069" operator="lessThan">
      <formula>0</formula>
    </cfRule>
  </conditionalFormatting>
  <conditionalFormatting sqref="H10:H1048576">
    <cfRule type="cellIs" dxfId="910" priority="3068" operator="lessThan">
      <formula>0</formula>
    </cfRule>
  </conditionalFormatting>
  <conditionalFormatting sqref="H10:H1048576">
    <cfRule type="cellIs" dxfId="909" priority="3067" operator="lessThan">
      <formula>0</formula>
    </cfRule>
  </conditionalFormatting>
  <conditionalFormatting sqref="H10:H1048576">
    <cfRule type="cellIs" dxfId="908" priority="3066" operator="lessThan">
      <formula>0</formula>
    </cfRule>
  </conditionalFormatting>
  <conditionalFormatting sqref="H10:H1048576">
    <cfRule type="cellIs" dxfId="907" priority="3065" operator="lessThan">
      <formula>0</formula>
    </cfRule>
  </conditionalFormatting>
  <conditionalFormatting sqref="H10:H1048576">
    <cfRule type="cellIs" dxfId="906" priority="3064" operator="lessThan">
      <formula>0</formula>
    </cfRule>
  </conditionalFormatting>
  <conditionalFormatting sqref="H10:H1048576">
    <cfRule type="cellIs" dxfId="905" priority="3063" operator="lessThan">
      <formula>0</formula>
    </cfRule>
  </conditionalFormatting>
  <conditionalFormatting sqref="H10:H1048576">
    <cfRule type="cellIs" dxfId="904" priority="3062" operator="lessThan">
      <formula>0</formula>
    </cfRule>
  </conditionalFormatting>
  <conditionalFormatting sqref="H10:H1048576">
    <cfRule type="cellIs" dxfId="903" priority="3061" operator="lessThan">
      <formula>0</formula>
    </cfRule>
  </conditionalFormatting>
  <conditionalFormatting sqref="H10:H1048576">
    <cfRule type="cellIs" dxfId="902" priority="3060" operator="lessThan">
      <formula>0</formula>
    </cfRule>
  </conditionalFormatting>
  <conditionalFormatting sqref="H10:H1048576">
    <cfRule type="cellIs" dxfId="901" priority="3059" operator="lessThan">
      <formula>0</formula>
    </cfRule>
  </conditionalFormatting>
  <conditionalFormatting sqref="H10:H1048576">
    <cfRule type="cellIs" dxfId="900" priority="3058" operator="lessThan">
      <formula>0</formula>
    </cfRule>
  </conditionalFormatting>
  <conditionalFormatting sqref="H10:H1048576">
    <cfRule type="cellIs" dxfId="899" priority="3057" operator="lessThan">
      <formula>0</formula>
    </cfRule>
  </conditionalFormatting>
  <conditionalFormatting sqref="H10:H1048576">
    <cfRule type="cellIs" dxfId="898" priority="3056" operator="lessThan">
      <formula>0</formula>
    </cfRule>
  </conditionalFormatting>
  <conditionalFormatting sqref="H10:H1048576">
    <cfRule type="cellIs" dxfId="897" priority="3055" operator="lessThan">
      <formula>0</formula>
    </cfRule>
  </conditionalFormatting>
  <conditionalFormatting sqref="H10:H1048576">
    <cfRule type="cellIs" dxfId="896" priority="3054" operator="lessThan">
      <formula>0</formula>
    </cfRule>
  </conditionalFormatting>
  <conditionalFormatting sqref="H10:H1048576">
    <cfRule type="cellIs" dxfId="895" priority="3053" operator="lessThan">
      <formula>0</formula>
    </cfRule>
  </conditionalFormatting>
  <conditionalFormatting sqref="H10:H1048576">
    <cfRule type="cellIs" dxfId="894" priority="3052" operator="lessThan">
      <formula>0</formula>
    </cfRule>
  </conditionalFormatting>
  <conditionalFormatting sqref="H10:H1048576">
    <cfRule type="cellIs" dxfId="893" priority="3051" operator="lessThan">
      <formula>0</formula>
    </cfRule>
  </conditionalFormatting>
  <conditionalFormatting sqref="H10:H1048576">
    <cfRule type="cellIs" dxfId="892" priority="3050" operator="lessThan">
      <formula>0</formula>
    </cfRule>
  </conditionalFormatting>
  <conditionalFormatting sqref="H10:H1048576">
    <cfRule type="cellIs" dxfId="891" priority="3049" operator="lessThan">
      <formula>0</formula>
    </cfRule>
  </conditionalFormatting>
  <conditionalFormatting sqref="H10:H1048576">
    <cfRule type="cellIs" dxfId="890" priority="3048" operator="lessThan">
      <formula>0</formula>
    </cfRule>
  </conditionalFormatting>
  <conditionalFormatting sqref="H10:H1048576">
    <cfRule type="cellIs" dxfId="889" priority="3047" operator="lessThan">
      <formula>0</formula>
    </cfRule>
  </conditionalFormatting>
  <conditionalFormatting sqref="H10:H1048576">
    <cfRule type="cellIs" dxfId="888" priority="3046" operator="lessThan">
      <formula>0</formula>
    </cfRule>
  </conditionalFormatting>
  <conditionalFormatting sqref="H10:H1048576">
    <cfRule type="cellIs" dxfId="887" priority="3045" operator="lessThan">
      <formula>0</formula>
    </cfRule>
  </conditionalFormatting>
  <conditionalFormatting sqref="H10:H1048576">
    <cfRule type="cellIs" dxfId="886" priority="3044" operator="lessThan">
      <formula>0</formula>
    </cfRule>
  </conditionalFormatting>
  <conditionalFormatting sqref="H10:H1048576">
    <cfRule type="cellIs" dxfId="885" priority="3043" operator="lessThan">
      <formula>0</formula>
    </cfRule>
  </conditionalFormatting>
  <conditionalFormatting sqref="H10:H1048576">
    <cfRule type="cellIs" dxfId="884" priority="3042" operator="lessThan">
      <formula>0</formula>
    </cfRule>
  </conditionalFormatting>
  <conditionalFormatting sqref="H10:H1048576">
    <cfRule type="cellIs" dxfId="883" priority="3041" operator="lessThan">
      <formula>0</formula>
    </cfRule>
  </conditionalFormatting>
  <conditionalFormatting sqref="H10:H1048576">
    <cfRule type="cellIs" dxfId="882" priority="3040" operator="lessThan">
      <formula>0</formula>
    </cfRule>
  </conditionalFormatting>
  <conditionalFormatting sqref="H10:H1048576">
    <cfRule type="cellIs" dxfId="881" priority="3039" operator="lessThan">
      <formula>0</formula>
    </cfRule>
  </conditionalFormatting>
  <conditionalFormatting sqref="H10:H1048576">
    <cfRule type="cellIs" dxfId="880" priority="3038" operator="lessThan">
      <formula>0</formula>
    </cfRule>
  </conditionalFormatting>
  <conditionalFormatting sqref="H10:H1048576">
    <cfRule type="cellIs" dxfId="879" priority="3037" operator="lessThan">
      <formula>0</formula>
    </cfRule>
  </conditionalFormatting>
  <conditionalFormatting sqref="H10:H1048576">
    <cfRule type="cellIs" dxfId="878" priority="3036" operator="lessThan">
      <formula>0</formula>
    </cfRule>
  </conditionalFormatting>
  <conditionalFormatting sqref="H10:H1048576">
    <cfRule type="cellIs" dxfId="877" priority="3035" operator="lessThan">
      <formula>0</formula>
    </cfRule>
  </conditionalFormatting>
  <conditionalFormatting sqref="H10:H1048576">
    <cfRule type="cellIs" dxfId="876" priority="3034" operator="lessThan">
      <formula>0</formula>
    </cfRule>
  </conditionalFormatting>
  <conditionalFormatting sqref="H10:H1048576">
    <cfRule type="cellIs" dxfId="875" priority="3033" operator="lessThan">
      <formula>0</formula>
    </cfRule>
  </conditionalFormatting>
  <conditionalFormatting sqref="H10:H1048576">
    <cfRule type="cellIs" dxfId="874" priority="3032" operator="lessThan">
      <formula>0</formula>
    </cfRule>
  </conditionalFormatting>
  <conditionalFormatting sqref="H10:H1048576">
    <cfRule type="cellIs" dxfId="873" priority="3031" operator="lessThan">
      <formula>0</formula>
    </cfRule>
  </conditionalFormatting>
  <conditionalFormatting sqref="H10:H1048576">
    <cfRule type="cellIs" dxfId="872" priority="3030" operator="lessThan">
      <formula>0</formula>
    </cfRule>
  </conditionalFormatting>
  <conditionalFormatting sqref="H10:H1048576">
    <cfRule type="cellIs" dxfId="871" priority="3029" operator="lessThan">
      <formula>0</formula>
    </cfRule>
  </conditionalFormatting>
  <conditionalFormatting sqref="H10:H1048576">
    <cfRule type="cellIs" dxfId="870" priority="3028" operator="lessThan">
      <formula>0</formula>
    </cfRule>
  </conditionalFormatting>
  <conditionalFormatting sqref="H10:H1048576">
    <cfRule type="cellIs" dxfId="869" priority="3027" operator="lessThan">
      <formula>0</formula>
    </cfRule>
  </conditionalFormatting>
  <conditionalFormatting sqref="H10:H1048576">
    <cfRule type="cellIs" dxfId="868" priority="3026" operator="lessThan">
      <formula>0</formula>
    </cfRule>
  </conditionalFormatting>
  <conditionalFormatting sqref="H10:H1048576">
    <cfRule type="cellIs" dxfId="867" priority="3025" operator="lessThan">
      <formula>0</formula>
    </cfRule>
  </conditionalFormatting>
  <conditionalFormatting sqref="H10:H1048576">
    <cfRule type="cellIs" dxfId="866" priority="3024" operator="lessThan">
      <formula>0</formula>
    </cfRule>
  </conditionalFormatting>
  <conditionalFormatting sqref="H10:H1048576">
    <cfRule type="cellIs" dxfId="865" priority="3023" operator="lessThan">
      <formula>0</formula>
    </cfRule>
  </conditionalFormatting>
  <conditionalFormatting sqref="H10:H1048576">
    <cfRule type="cellIs" dxfId="864" priority="3022" operator="lessThan">
      <formula>0</formula>
    </cfRule>
  </conditionalFormatting>
  <conditionalFormatting sqref="H10:H1048576">
    <cfRule type="cellIs" dxfId="863" priority="3021" operator="lessThan">
      <formula>0</formula>
    </cfRule>
  </conditionalFormatting>
  <conditionalFormatting sqref="H10:H1048576">
    <cfRule type="cellIs" dxfId="862" priority="3020" operator="lessThan">
      <formula>0</formula>
    </cfRule>
  </conditionalFormatting>
  <conditionalFormatting sqref="H10:H1048576">
    <cfRule type="cellIs" dxfId="861" priority="3019" operator="lessThan">
      <formula>0</formula>
    </cfRule>
  </conditionalFormatting>
  <conditionalFormatting sqref="H10:H1048576">
    <cfRule type="cellIs" dxfId="860" priority="3018" operator="lessThan">
      <formula>0</formula>
    </cfRule>
  </conditionalFormatting>
  <conditionalFormatting sqref="H10:H1048576">
    <cfRule type="cellIs" dxfId="859" priority="3017" operator="lessThan">
      <formula>0</formula>
    </cfRule>
  </conditionalFormatting>
  <conditionalFormatting sqref="H10:H1048576">
    <cfRule type="cellIs" dxfId="858" priority="3016" operator="lessThan">
      <formula>0</formula>
    </cfRule>
  </conditionalFormatting>
  <conditionalFormatting sqref="H10:H1048576">
    <cfRule type="cellIs" dxfId="857" priority="3015" operator="lessThan">
      <formula>0</formula>
    </cfRule>
  </conditionalFormatting>
  <conditionalFormatting sqref="H10:H1048576">
    <cfRule type="cellIs" dxfId="856" priority="3014" operator="lessThan">
      <formula>0</formula>
    </cfRule>
  </conditionalFormatting>
  <conditionalFormatting sqref="H10:H1048576">
    <cfRule type="cellIs" dxfId="855" priority="3013" operator="lessThan">
      <formula>0</formula>
    </cfRule>
  </conditionalFormatting>
  <conditionalFormatting sqref="H10:H1048576">
    <cfRule type="cellIs" dxfId="854" priority="3012" operator="lessThan">
      <formula>0</formula>
    </cfRule>
  </conditionalFormatting>
  <conditionalFormatting sqref="H10:H1048576">
    <cfRule type="cellIs" dxfId="853" priority="3011" operator="lessThan">
      <formula>0</formula>
    </cfRule>
  </conditionalFormatting>
  <conditionalFormatting sqref="H10:H1048576">
    <cfRule type="cellIs" dxfId="852" priority="3010" operator="lessThan">
      <formula>0</formula>
    </cfRule>
  </conditionalFormatting>
  <conditionalFormatting sqref="H10:H1048576">
    <cfRule type="cellIs" dxfId="851" priority="3009" operator="lessThan">
      <formula>0</formula>
    </cfRule>
  </conditionalFormatting>
  <conditionalFormatting sqref="H10:H1048576">
    <cfRule type="cellIs" dxfId="850" priority="3008" operator="lessThan">
      <formula>0</formula>
    </cfRule>
  </conditionalFormatting>
  <conditionalFormatting sqref="H10:H1048576">
    <cfRule type="cellIs" dxfId="849" priority="3007" operator="lessThan">
      <formula>0</formula>
    </cfRule>
  </conditionalFormatting>
  <conditionalFormatting sqref="H10:H1048576">
    <cfRule type="cellIs" dxfId="848" priority="3006" operator="lessThan">
      <formula>0</formula>
    </cfRule>
  </conditionalFormatting>
  <conditionalFormatting sqref="H10:H1048576">
    <cfRule type="cellIs" dxfId="847" priority="3005" operator="lessThan">
      <formula>0</formula>
    </cfRule>
  </conditionalFormatting>
  <conditionalFormatting sqref="H10:H1048576">
    <cfRule type="cellIs" dxfId="846" priority="3004" operator="lessThan">
      <formula>0</formula>
    </cfRule>
  </conditionalFormatting>
  <conditionalFormatting sqref="H10:H1048576">
    <cfRule type="cellIs" dxfId="845" priority="3003" operator="lessThan">
      <formula>0</formula>
    </cfRule>
  </conditionalFormatting>
  <conditionalFormatting sqref="H10:H1048576">
    <cfRule type="cellIs" dxfId="844" priority="3002" operator="lessThan">
      <formula>0</formula>
    </cfRule>
  </conditionalFormatting>
  <conditionalFormatting sqref="H10:H1048576">
    <cfRule type="cellIs" dxfId="843" priority="3001" operator="lessThan">
      <formula>0</formula>
    </cfRule>
  </conditionalFormatting>
  <conditionalFormatting sqref="H10:H1048576">
    <cfRule type="cellIs" dxfId="842" priority="3000" operator="lessThan">
      <formula>0</formula>
    </cfRule>
  </conditionalFormatting>
  <conditionalFormatting sqref="H10:H1048576">
    <cfRule type="cellIs" dxfId="841" priority="2999" operator="lessThan">
      <formula>0</formula>
    </cfRule>
  </conditionalFormatting>
  <conditionalFormatting sqref="H10:H1048576">
    <cfRule type="cellIs" dxfId="840" priority="2998" operator="lessThan">
      <formula>0</formula>
    </cfRule>
  </conditionalFormatting>
  <conditionalFormatting sqref="H10:H1048576">
    <cfRule type="cellIs" dxfId="839" priority="2997" operator="lessThan">
      <formula>0</formula>
    </cfRule>
  </conditionalFormatting>
  <conditionalFormatting sqref="H10:H1048576">
    <cfRule type="cellIs" dxfId="838" priority="2996" operator="lessThan">
      <formula>0</formula>
    </cfRule>
  </conditionalFormatting>
  <conditionalFormatting sqref="H10:H1048576">
    <cfRule type="cellIs" dxfId="837" priority="2995" operator="lessThan">
      <formula>0</formula>
    </cfRule>
  </conditionalFormatting>
  <conditionalFormatting sqref="H10:H1048576">
    <cfRule type="cellIs" dxfId="836" priority="2994" operator="lessThan">
      <formula>0</formula>
    </cfRule>
  </conditionalFormatting>
  <conditionalFormatting sqref="H10:H1048576">
    <cfRule type="cellIs" dxfId="835" priority="2993" operator="lessThan">
      <formula>0</formula>
    </cfRule>
  </conditionalFormatting>
  <conditionalFormatting sqref="H10:H1048576">
    <cfRule type="cellIs" dxfId="834" priority="2992" operator="lessThan">
      <formula>0</formula>
    </cfRule>
  </conditionalFormatting>
  <conditionalFormatting sqref="H10:H1048576">
    <cfRule type="cellIs" dxfId="833" priority="2991" operator="lessThan">
      <formula>0</formula>
    </cfRule>
  </conditionalFormatting>
  <conditionalFormatting sqref="H10:H1048576">
    <cfRule type="cellIs" dxfId="832" priority="2990" operator="lessThan">
      <formula>0</formula>
    </cfRule>
  </conditionalFormatting>
  <conditionalFormatting sqref="H10:H1048576">
    <cfRule type="cellIs" dxfId="831" priority="2989" operator="lessThan">
      <formula>0</formula>
    </cfRule>
  </conditionalFormatting>
  <conditionalFormatting sqref="H10:H1048576">
    <cfRule type="cellIs" dxfId="830" priority="2988" operator="lessThan">
      <formula>0</formula>
    </cfRule>
  </conditionalFormatting>
  <conditionalFormatting sqref="H10:H1048576">
    <cfRule type="cellIs" dxfId="829" priority="2987" operator="lessThan">
      <formula>0</formula>
    </cfRule>
  </conditionalFormatting>
  <conditionalFormatting sqref="H10:H1048576">
    <cfRule type="cellIs" dxfId="828" priority="2986" operator="lessThan">
      <formula>0</formula>
    </cfRule>
  </conditionalFormatting>
  <conditionalFormatting sqref="H10:H1048576">
    <cfRule type="cellIs" dxfId="827" priority="2985" operator="lessThan">
      <formula>0</formula>
    </cfRule>
  </conditionalFormatting>
  <conditionalFormatting sqref="H10:H1048576">
    <cfRule type="cellIs" dxfId="826" priority="2984" operator="lessThan">
      <formula>0</formula>
    </cfRule>
  </conditionalFormatting>
  <conditionalFormatting sqref="H10:H1048576">
    <cfRule type="cellIs" dxfId="825" priority="2983" operator="lessThan">
      <formula>0</formula>
    </cfRule>
  </conditionalFormatting>
  <conditionalFormatting sqref="H10:H1048576">
    <cfRule type="cellIs" dxfId="824" priority="2982" operator="lessThan">
      <formula>0</formula>
    </cfRule>
  </conditionalFormatting>
  <conditionalFormatting sqref="H10:H1048576">
    <cfRule type="cellIs" dxfId="823" priority="2981" operator="lessThan">
      <formula>0</formula>
    </cfRule>
  </conditionalFormatting>
  <conditionalFormatting sqref="H10:H1048576">
    <cfRule type="cellIs" dxfId="822" priority="2980" operator="lessThan">
      <formula>0</formula>
    </cfRule>
  </conditionalFormatting>
  <conditionalFormatting sqref="H10:H1048576">
    <cfRule type="cellIs" dxfId="821" priority="2979" operator="lessThan">
      <formula>0</formula>
    </cfRule>
  </conditionalFormatting>
  <conditionalFormatting sqref="H10:H1048576">
    <cfRule type="cellIs" dxfId="820" priority="2978" operator="lessThan">
      <formula>0</formula>
    </cfRule>
  </conditionalFormatting>
  <conditionalFormatting sqref="H10:H1048576">
    <cfRule type="cellIs" dxfId="819" priority="2977" operator="lessThan">
      <formula>0</formula>
    </cfRule>
  </conditionalFormatting>
  <conditionalFormatting sqref="H10:H1048576">
    <cfRule type="cellIs" dxfId="818" priority="2976" operator="lessThan">
      <formula>0</formula>
    </cfRule>
  </conditionalFormatting>
  <conditionalFormatting sqref="H10:H1048576">
    <cfRule type="cellIs" dxfId="817" priority="2975" operator="lessThan">
      <formula>0</formula>
    </cfRule>
  </conditionalFormatting>
  <conditionalFormatting sqref="H10:H1048576">
    <cfRule type="cellIs" dxfId="816" priority="2974" operator="lessThan">
      <formula>0</formula>
    </cfRule>
  </conditionalFormatting>
  <conditionalFormatting sqref="H10:H1048576">
    <cfRule type="cellIs" dxfId="815" priority="2973" operator="lessThan">
      <formula>0</formula>
    </cfRule>
  </conditionalFormatting>
  <conditionalFormatting sqref="H10:H1048576">
    <cfRule type="cellIs" dxfId="814" priority="2972" operator="lessThan">
      <formula>0</formula>
    </cfRule>
  </conditionalFormatting>
  <conditionalFormatting sqref="H10:H1048576">
    <cfRule type="cellIs" dxfId="813" priority="2971" operator="lessThan">
      <formula>0</formula>
    </cfRule>
  </conditionalFormatting>
  <conditionalFormatting sqref="H10:H1048576">
    <cfRule type="cellIs" dxfId="812" priority="2970" operator="lessThan">
      <formula>0</formula>
    </cfRule>
  </conditionalFormatting>
  <conditionalFormatting sqref="H10:H1048576">
    <cfRule type="cellIs" dxfId="811" priority="2969" operator="lessThan">
      <formula>0</formula>
    </cfRule>
  </conditionalFormatting>
  <conditionalFormatting sqref="H10:H1048576">
    <cfRule type="cellIs" dxfId="810" priority="2968" operator="lessThan">
      <formula>0</formula>
    </cfRule>
  </conditionalFormatting>
  <conditionalFormatting sqref="H10:H1048576">
    <cfRule type="cellIs" dxfId="809" priority="2967" operator="lessThan">
      <formula>0</formula>
    </cfRule>
  </conditionalFormatting>
  <conditionalFormatting sqref="H10:H1048576">
    <cfRule type="cellIs" dxfId="808" priority="2966" operator="lessThan">
      <formula>0</formula>
    </cfRule>
  </conditionalFormatting>
  <conditionalFormatting sqref="H10:H1048576">
    <cfRule type="cellIs" dxfId="807" priority="2965" operator="lessThan">
      <formula>0</formula>
    </cfRule>
  </conditionalFormatting>
  <conditionalFormatting sqref="H10:H1048576">
    <cfRule type="cellIs" dxfId="806" priority="2964" operator="lessThan">
      <formula>0</formula>
    </cfRule>
  </conditionalFormatting>
  <conditionalFormatting sqref="H10:H1048576">
    <cfRule type="cellIs" dxfId="805" priority="2963" operator="lessThan">
      <formula>0</formula>
    </cfRule>
  </conditionalFormatting>
  <conditionalFormatting sqref="H10:H1048576">
    <cfRule type="cellIs" dxfId="804" priority="2962" operator="lessThan">
      <formula>0</formula>
    </cfRule>
  </conditionalFormatting>
  <conditionalFormatting sqref="H10:H1048576">
    <cfRule type="cellIs" dxfId="803" priority="2961" operator="lessThan">
      <formula>0</formula>
    </cfRule>
  </conditionalFormatting>
  <conditionalFormatting sqref="H10:H1048576">
    <cfRule type="cellIs" dxfId="802" priority="2960" operator="lessThan">
      <formula>0</formula>
    </cfRule>
  </conditionalFormatting>
  <conditionalFormatting sqref="H10:H1048576">
    <cfRule type="cellIs" dxfId="801" priority="2959" operator="lessThan">
      <formula>0</formula>
    </cfRule>
  </conditionalFormatting>
  <conditionalFormatting sqref="H10:H1048576">
    <cfRule type="cellIs" dxfId="800" priority="2958" operator="lessThan">
      <formula>0</formula>
    </cfRule>
  </conditionalFormatting>
  <conditionalFormatting sqref="H10:H1048576">
    <cfRule type="cellIs" dxfId="799" priority="2957" operator="lessThan">
      <formula>0</formula>
    </cfRule>
  </conditionalFormatting>
  <conditionalFormatting sqref="H10:H1048576">
    <cfRule type="cellIs" dxfId="798" priority="2956" operator="lessThan">
      <formula>0</formula>
    </cfRule>
  </conditionalFormatting>
  <conditionalFormatting sqref="H10:H1048576">
    <cfRule type="cellIs" dxfId="797" priority="2955" operator="lessThan">
      <formula>0</formula>
    </cfRule>
  </conditionalFormatting>
  <conditionalFormatting sqref="H10:H1048576">
    <cfRule type="cellIs" dxfId="796" priority="2954" operator="lessThan">
      <formula>0</formula>
    </cfRule>
  </conditionalFormatting>
  <conditionalFormatting sqref="H10:H1048576">
    <cfRule type="cellIs" dxfId="795" priority="2953" operator="lessThan">
      <formula>0</formula>
    </cfRule>
  </conditionalFormatting>
  <conditionalFormatting sqref="H10:H1048576">
    <cfRule type="cellIs" dxfId="794" priority="2952" operator="lessThan">
      <formula>0</formula>
    </cfRule>
  </conditionalFormatting>
  <conditionalFormatting sqref="H10:H1048576">
    <cfRule type="cellIs" dxfId="793" priority="2951" operator="lessThan">
      <formula>0</formula>
    </cfRule>
  </conditionalFormatting>
  <conditionalFormatting sqref="H10:H1048576">
    <cfRule type="cellIs" dxfId="792" priority="2950" operator="lessThan">
      <formula>0</formula>
    </cfRule>
  </conditionalFormatting>
  <conditionalFormatting sqref="H10:H1048576">
    <cfRule type="cellIs" dxfId="791" priority="2949" operator="lessThan">
      <formula>0</formula>
    </cfRule>
  </conditionalFormatting>
  <conditionalFormatting sqref="H10:H1048576">
    <cfRule type="cellIs" dxfId="790" priority="2948" operator="lessThan">
      <formula>0</formula>
    </cfRule>
  </conditionalFormatting>
  <conditionalFormatting sqref="H10:H1048576">
    <cfRule type="cellIs" dxfId="789" priority="2947" operator="lessThan">
      <formula>0</formula>
    </cfRule>
  </conditionalFormatting>
  <conditionalFormatting sqref="H10:H1048576">
    <cfRule type="cellIs" dxfId="788" priority="2946" operator="lessThan">
      <formula>0</formula>
    </cfRule>
  </conditionalFormatting>
  <conditionalFormatting sqref="H10:H1048576">
    <cfRule type="cellIs" dxfId="787" priority="2945" operator="lessThan">
      <formula>0</formula>
    </cfRule>
  </conditionalFormatting>
  <conditionalFormatting sqref="H10:H1048576">
    <cfRule type="cellIs" dxfId="786" priority="2944" operator="lessThan">
      <formula>0</formula>
    </cfRule>
  </conditionalFormatting>
  <conditionalFormatting sqref="H10:H1048576">
    <cfRule type="cellIs" dxfId="785" priority="2943" operator="lessThan">
      <formula>0</formula>
    </cfRule>
  </conditionalFormatting>
  <conditionalFormatting sqref="H10:H1048576">
    <cfRule type="cellIs" dxfId="784" priority="2942" operator="lessThan">
      <formula>0</formula>
    </cfRule>
  </conditionalFormatting>
  <conditionalFormatting sqref="H10:H1048576">
    <cfRule type="cellIs" dxfId="783" priority="2941" operator="lessThan">
      <formula>0</formula>
    </cfRule>
  </conditionalFormatting>
  <conditionalFormatting sqref="H10:H1048576">
    <cfRule type="cellIs" dxfId="782" priority="2940" operator="lessThan">
      <formula>0</formula>
    </cfRule>
  </conditionalFormatting>
  <conditionalFormatting sqref="H10:H1048576">
    <cfRule type="cellIs" dxfId="781" priority="2939" operator="lessThan">
      <formula>0</formula>
    </cfRule>
  </conditionalFormatting>
  <conditionalFormatting sqref="H10:H1048576">
    <cfRule type="cellIs" dxfId="780" priority="2938" operator="lessThan">
      <formula>0</formula>
    </cfRule>
  </conditionalFormatting>
  <conditionalFormatting sqref="H10:H1048576">
    <cfRule type="cellIs" dxfId="779" priority="2937" operator="lessThan">
      <formula>0</formula>
    </cfRule>
  </conditionalFormatting>
  <conditionalFormatting sqref="H10:H1048576">
    <cfRule type="cellIs" dxfId="778" priority="2936" operator="lessThan">
      <formula>0</formula>
    </cfRule>
  </conditionalFormatting>
  <conditionalFormatting sqref="H10:H1048576">
    <cfRule type="cellIs" dxfId="777" priority="2935" operator="lessThan">
      <formula>0</formula>
    </cfRule>
  </conditionalFormatting>
  <conditionalFormatting sqref="H10:H1048576">
    <cfRule type="cellIs" dxfId="776" priority="2934" operator="lessThan">
      <formula>0</formula>
    </cfRule>
  </conditionalFormatting>
  <conditionalFormatting sqref="H10:H1048576">
    <cfRule type="cellIs" dxfId="775" priority="2933" operator="lessThan">
      <formula>0</formula>
    </cfRule>
  </conditionalFormatting>
  <conditionalFormatting sqref="H10:H1048576">
    <cfRule type="cellIs" dxfId="774" priority="2932" operator="lessThan">
      <formula>0</formula>
    </cfRule>
  </conditionalFormatting>
  <conditionalFormatting sqref="H10:H1048576">
    <cfRule type="cellIs" dxfId="773" priority="2931" operator="lessThan">
      <formula>0</formula>
    </cfRule>
  </conditionalFormatting>
  <conditionalFormatting sqref="H10:H1048576">
    <cfRule type="cellIs" dxfId="772" priority="2930" operator="lessThan">
      <formula>0</formula>
    </cfRule>
  </conditionalFormatting>
  <conditionalFormatting sqref="H10:H1048576">
    <cfRule type="cellIs" dxfId="771" priority="2929" operator="lessThan">
      <formula>0</formula>
    </cfRule>
  </conditionalFormatting>
  <conditionalFormatting sqref="H10:H1048576">
    <cfRule type="cellIs" dxfId="770" priority="2928" operator="lessThan">
      <formula>0</formula>
    </cfRule>
  </conditionalFormatting>
  <conditionalFormatting sqref="H10:H1048576">
    <cfRule type="cellIs" dxfId="769" priority="2927" operator="lessThan">
      <formula>0</formula>
    </cfRule>
  </conditionalFormatting>
  <conditionalFormatting sqref="H10:H1048576">
    <cfRule type="cellIs" dxfId="768" priority="2926" operator="lessThan">
      <formula>0</formula>
    </cfRule>
  </conditionalFormatting>
  <conditionalFormatting sqref="H10:H1048576">
    <cfRule type="cellIs" dxfId="767" priority="2925" operator="lessThan">
      <formula>0</formula>
    </cfRule>
  </conditionalFormatting>
  <conditionalFormatting sqref="H10:H1048576">
    <cfRule type="cellIs" dxfId="766" priority="2924" operator="lessThan">
      <formula>0</formula>
    </cfRule>
  </conditionalFormatting>
  <conditionalFormatting sqref="H10:H1048576">
    <cfRule type="cellIs" dxfId="765" priority="2923" operator="lessThan">
      <formula>0</formula>
    </cfRule>
  </conditionalFormatting>
  <conditionalFormatting sqref="H10:H1048576">
    <cfRule type="cellIs" dxfId="764" priority="2922" operator="lessThan">
      <formula>0</formula>
    </cfRule>
  </conditionalFormatting>
  <conditionalFormatting sqref="H10:H1048576">
    <cfRule type="cellIs" dxfId="763" priority="2921" operator="lessThan">
      <formula>0</formula>
    </cfRule>
  </conditionalFormatting>
  <conditionalFormatting sqref="H10:H1048576">
    <cfRule type="cellIs" dxfId="762" priority="2920" operator="lessThan">
      <formula>0</formula>
    </cfRule>
  </conditionalFormatting>
  <conditionalFormatting sqref="H10:H1048576">
    <cfRule type="cellIs" dxfId="761" priority="2919" operator="lessThan">
      <formula>0</formula>
    </cfRule>
  </conditionalFormatting>
  <conditionalFormatting sqref="H10:H1048576">
    <cfRule type="cellIs" dxfId="760" priority="2918" operator="lessThan">
      <formula>0</formula>
    </cfRule>
  </conditionalFormatting>
  <conditionalFormatting sqref="H10:H1048576">
    <cfRule type="cellIs" dxfId="759" priority="2917" operator="lessThan">
      <formula>0</formula>
    </cfRule>
  </conditionalFormatting>
  <conditionalFormatting sqref="H10:H1048576">
    <cfRule type="cellIs" dxfId="758" priority="2916" operator="lessThan">
      <formula>0</formula>
    </cfRule>
  </conditionalFormatting>
  <conditionalFormatting sqref="H10:H1048576">
    <cfRule type="cellIs" dxfId="757" priority="2915" operator="lessThan">
      <formula>0</formula>
    </cfRule>
  </conditionalFormatting>
  <conditionalFormatting sqref="H10:H1048576">
    <cfRule type="cellIs" dxfId="756" priority="2914" operator="lessThan">
      <formula>0</formula>
    </cfRule>
  </conditionalFormatting>
  <conditionalFormatting sqref="H10:H1048576">
    <cfRule type="cellIs" dxfId="755" priority="2913" operator="lessThan">
      <formula>0</formula>
    </cfRule>
  </conditionalFormatting>
  <conditionalFormatting sqref="H10:H1048576">
    <cfRule type="cellIs" dxfId="754" priority="2912" operator="lessThan">
      <formula>0</formula>
    </cfRule>
  </conditionalFormatting>
  <conditionalFormatting sqref="H10:H1048576">
    <cfRule type="cellIs" dxfId="753" priority="2911" operator="lessThan">
      <formula>0</formula>
    </cfRule>
  </conditionalFormatting>
  <conditionalFormatting sqref="H10:H1048576">
    <cfRule type="cellIs" dxfId="752" priority="2910" operator="lessThan">
      <formula>0</formula>
    </cfRule>
  </conditionalFormatting>
  <conditionalFormatting sqref="H10:H1048576">
    <cfRule type="cellIs" dxfId="751" priority="2909" operator="lessThan">
      <formula>0</formula>
    </cfRule>
  </conditionalFormatting>
  <conditionalFormatting sqref="H10:H1048576">
    <cfRule type="cellIs" dxfId="750" priority="2908" operator="lessThan">
      <formula>0</formula>
    </cfRule>
  </conditionalFormatting>
  <conditionalFormatting sqref="H10:H1048576">
    <cfRule type="cellIs" dxfId="749" priority="2907" operator="lessThan">
      <formula>0</formula>
    </cfRule>
  </conditionalFormatting>
  <conditionalFormatting sqref="H10:H1048576">
    <cfRule type="cellIs" dxfId="748" priority="2906" operator="lessThan">
      <formula>0</formula>
    </cfRule>
  </conditionalFormatting>
  <conditionalFormatting sqref="H10:H1048576">
    <cfRule type="cellIs" dxfId="747" priority="2905" operator="lessThan">
      <formula>0</formula>
    </cfRule>
  </conditionalFormatting>
  <conditionalFormatting sqref="H10:H1048576">
    <cfRule type="cellIs" dxfId="746" priority="2904" operator="lessThan">
      <formula>0</formula>
    </cfRule>
  </conditionalFormatting>
  <conditionalFormatting sqref="H10:H1048576">
    <cfRule type="cellIs" dxfId="745" priority="2903" operator="lessThan">
      <formula>0</formula>
    </cfRule>
  </conditionalFormatting>
  <conditionalFormatting sqref="H10:H1048576">
    <cfRule type="cellIs" dxfId="744" priority="2902" operator="lessThan">
      <formula>0</formula>
    </cfRule>
  </conditionalFormatting>
  <conditionalFormatting sqref="H10:H1048576">
    <cfRule type="cellIs" dxfId="743" priority="2901" operator="lessThan">
      <formula>0</formula>
    </cfRule>
  </conditionalFormatting>
  <conditionalFormatting sqref="H10:H1048576">
    <cfRule type="cellIs" dxfId="742" priority="2900" operator="lessThan">
      <formula>0</formula>
    </cfRule>
  </conditionalFormatting>
  <conditionalFormatting sqref="H10:H1048576">
    <cfRule type="cellIs" dxfId="741" priority="2899" operator="lessThan">
      <formula>0</formula>
    </cfRule>
  </conditionalFormatting>
  <conditionalFormatting sqref="H10:H1048576">
    <cfRule type="cellIs" dxfId="740" priority="2898" operator="lessThan">
      <formula>0</formula>
    </cfRule>
  </conditionalFormatting>
  <conditionalFormatting sqref="H10:H1048576">
    <cfRule type="cellIs" dxfId="739" priority="2897" operator="lessThan">
      <formula>0</formula>
    </cfRule>
  </conditionalFormatting>
  <conditionalFormatting sqref="H10:H1048576">
    <cfRule type="cellIs" dxfId="738" priority="2896" operator="lessThan">
      <formula>0</formula>
    </cfRule>
  </conditionalFormatting>
  <conditionalFormatting sqref="H10:H1048576">
    <cfRule type="cellIs" dxfId="737" priority="2895" operator="lessThan">
      <formula>0</formula>
    </cfRule>
  </conditionalFormatting>
  <conditionalFormatting sqref="H10:H1048576">
    <cfRule type="cellIs" dxfId="736" priority="2894" operator="lessThan">
      <formula>0</formula>
    </cfRule>
  </conditionalFormatting>
  <conditionalFormatting sqref="H10:H1048576">
    <cfRule type="cellIs" dxfId="735" priority="2893" operator="lessThan">
      <formula>0</formula>
    </cfRule>
  </conditionalFormatting>
  <conditionalFormatting sqref="H10:H1048576">
    <cfRule type="cellIs" dxfId="734" priority="2892" operator="lessThan">
      <formula>0</formula>
    </cfRule>
  </conditionalFormatting>
  <conditionalFormatting sqref="H10:H1048576">
    <cfRule type="cellIs" dxfId="733" priority="2891" operator="lessThan">
      <formula>0</formula>
    </cfRule>
  </conditionalFormatting>
  <conditionalFormatting sqref="H10:H1048576">
    <cfRule type="cellIs" dxfId="732" priority="2890" operator="lessThan">
      <formula>0</formula>
    </cfRule>
  </conditionalFormatting>
  <conditionalFormatting sqref="H10:H1048576">
    <cfRule type="cellIs" dxfId="731" priority="2889" operator="lessThan">
      <formula>0</formula>
    </cfRule>
  </conditionalFormatting>
  <conditionalFormatting sqref="H10:H1048576">
    <cfRule type="cellIs" dxfId="730" priority="2888" operator="lessThan">
      <formula>0</formula>
    </cfRule>
  </conditionalFormatting>
  <conditionalFormatting sqref="H10:H1048576">
    <cfRule type="cellIs" dxfId="729" priority="2887" operator="lessThan">
      <formula>0</formula>
    </cfRule>
  </conditionalFormatting>
  <conditionalFormatting sqref="H10:H1048576">
    <cfRule type="cellIs" dxfId="728" priority="2886" operator="lessThan">
      <formula>0</formula>
    </cfRule>
  </conditionalFormatting>
  <conditionalFormatting sqref="H10:H1048576">
    <cfRule type="cellIs" dxfId="727" priority="2885" operator="lessThan">
      <formula>0</formula>
    </cfRule>
  </conditionalFormatting>
  <conditionalFormatting sqref="H10:H1048576">
    <cfRule type="cellIs" dxfId="726" priority="2884" operator="lessThan">
      <formula>0</formula>
    </cfRule>
  </conditionalFormatting>
  <conditionalFormatting sqref="H10:H1048576">
    <cfRule type="cellIs" dxfId="725" priority="2883" operator="lessThan">
      <formula>0</formula>
    </cfRule>
  </conditionalFormatting>
  <conditionalFormatting sqref="H10:H1048576">
    <cfRule type="cellIs" dxfId="724" priority="2882" operator="lessThan">
      <formula>0</formula>
    </cfRule>
  </conditionalFormatting>
  <conditionalFormatting sqref="H10:H1048576">
    <cfRule type="cellIs" dxfId="723" priority="2881" operator="lessThan">
      <formula>0</formula>
    </cfRule>
  </conditionalFormatting>
  <conditionalFormatting sqref="H10:H1048576">
    <cfRule type="cellIs" dxfId="722" priority="2880" operator="lessThan">
      <formula>0</formula>
    </cfRule>
  </conditionalFormatting>
  <conditionalFormatting sqref="H10:H1048576">
    <cfRule type="cellIs" dxfId="721" priority="2879" operator="lessThan">
      <formula>0</formula>
    </cfRule>
  </conditionalFormatting>
  <conditionalFormatting sqref="H10:H1048576">
    <cfRule type="cellIs" dxfId="720" priority="2878" operator="lessThan">
      <formula>0</formula>
    </cfRule>
  </conditionalFormatting>
  <conditionalFormatting sqref="H10:H1048576">
    <cfRule type="cellIs" dxfId="719" priority="2877" operator="lessThan">
      <formula>0</formula>
    </cfRule>
  </conditionalFormatting>
  <conditionalFormatting sqref="H10:H1048576">
    <cfRule type="cellIs" dxfId="718" priority="2876" operator="lessThan">
      <formula>0</formula>
    </cfRule>
  </conditionalFormatting>
  <conditionalFormatting sqref="H10:H1048576">
    <cfRule type="cellIs" dxfId="717" priority="2875" operator="lessThan">
      <formula>0</formula>
    </cfRule>
  </conditionalFormatting>
  <conditionalFormatting sqref="H10:H1048576">
    <cfRule type="cellIs" dxfId="716" priority="2874" operator="lessThan">
      <formula>0</formula>
    </cfRule>
  </conditionalFormatting>
  <conditionalFormatting sqref="H10:H1048576">
    <cfRule type="cellIs" dxfId="715" priority="2873" operator="lessThan">
      <formula>0</formula>
    </cfRule>
  </conditionalFormatting>
  <conditionalFormatting sqref="H10:H1048576">
    <cfRule type="cellIs" dxfId="714" priority="2872" operator="lessThan">
      <formula>0</formula>
    </cfRule>
  </conditionalFormatting>
  <conditionalFormatting sqref="H10:H1048576">
    <cfRule type="cellIs" dxfId="713" priority="2871" operator="lessThan">
      <formula>0</formula>
    </cfRule>
  </conditionalFormatting>
  <conditionalFormatting sqref="H10:H1048576">
    <cfRule type="cellIs" dxfId="712" priority="2870" operator="lessThan">
      <formula>0</formula>
    </cfRule>
  </conditionalFormatting>
  <conditionalFormatting sqref="H10:H1048576">
    <cfRule type="cellIs" dxfId="711" priority="2869" operator="lessThan">
      <formula>0</formula>
    </cfRule>
  </conditionalFormatting>
  <conditionalFormatting sqref="H10:H1048576">
    <cfRule type="cellIs" dxfId="710" priority="2868" operator="lessThan">
      <formula>0</formula>
    </cfRule>
  </conditionalFormatting>
  <conditionalFormatting sqref="H10:H1048576">
    <cfRule type="cellIs" dxfId="709" priority="2867" operator="lessThan">
      <formula>0</formula>
    </cfRule>
  </conditionalFormatting>
  <conditionalFormatting sqref="H10:H1048576">
    <cfRule type="cellIs" dxfId="708" priority="2866" operator="lessThan">
      <formula>0</formula>
    </cfRule>
  </conditionalFormatting>
  <conditionalFormatting sqref="H10:H1048576">
    <cfRule type="cellIs" dxfId="707" priority="2865" operator="lessThan">
      <formula>0</formula>
    </cfRule>
  </conditionalFormatting>
  <conditionalFormatting sqref="H10:H1048576">
    <cfRule type="cellIs" dxfId="706" priority="2864" operator="lessThan">
      <formula>0</formula>
    </cfRule>
  </conditionalFormatting>
  <conditionalFormatting sqref="H10:H1048576">
    <cfRule type="cellIs" dxfId="705" priority="2863" operator="lessThan">
      <formula>0</formula>
    </cfRule>
  </conditionalFormatting>
  <conditionalFormatting sqref="H10:H1048576">
    <cfRule type="cellIs" dxfId="704" priority="2862" operator="lessThan">
      <formula>0</formula>
    </cfRule>
  </conditionalFormatting>
  <conditionalFormatting sqref="H10:H1048576">
    <cfRule type="cellIs" dxfId="703" priority="2861" operator="lessThan">
      <formula>0</formula>
    </cfRule>
  </conditionalFormatting>
  <conditionalFormatting sqref="H10:H1048576">
    <cfRule type="cellIs" dxfId="702" priority="2860" operator="lessThan">
      <formula>0</formula>
    </cfRule>
  </conditionalFormatting>
  <conditionalFormatting sqref="H10:H1048576">
    <cfRule type="cellIs" dxfId="701" priority="2859" operator="lessThan">
      <formula>0</formula>
    </cfRule>
  </conditionalFormatting>
  <conditionalFormatting sqref="H10:H1048576">
    <cfRule type="cellIs" dxfId="700" priority="2858" operator="lessThan">
      <formula>0</formula>
    </cfRule>
  </conditionalFormatting>
  <conditionalFormatting sqref="H10:H1048576">
    <cfRule type="cellIs" dxfId="699" priority="2857" operator="lessThan">
      <formula>0</formula>
    </cfRule>
  </conditionalFormatting>
  <conditionalFormatting sqref="H10:H1048576">
    <cfRule type="cellIs" dxfId="698" priority="2856" operator="lessThan">
      <formula>0</formula>
    </cfRule>
  </conditionalFormatting>
  <conditionalFormatting sqref="H10:H1048576">
    <cfRule type="cellIs" dxfId="697" priority="2855" operator="lessThan">
      <formula>0</formula>
    </cfRule>
  </conditionalFormatting>
  <conditionalFormatting sqref="H10:H1048576">
    <cfRule type="cellIs" dxfId="696" priority="2854" operator="lessThan">
      <formula>0</formula>
    </cfRule>
  </conditionalFormatting>
  <conditionalFormatting sqref="H10:H1048576">
    <cfRule type="cellIs" dxfId="695" priority="2853" operator="lessThan">
      <formula>0</formula>
    </cfRule>
  </conditionalFormatting>
  <conditionalFormatting sqref="H10:H1048576">
    <cfRule type="cellIs" dxfId="694" priority="2852" operator="lessThan">
      <formula>0</formula>
    </cfRule>
  </conditionalFormatting>
  <conditionalFormatting sqref="H10:H1048576">
    <cfRule type="cellIs" dxfId="693" priority="2851" operator="lessThan">
      <formula>0</formula>
    </cfRule>
  </conditionalFormatting>
  <conditionalFormatting sqref="H10:H1048576">
    <cfRule type="cellIs" dxfId="692" priority="2850" operator="lessThan">
      <formula>0</formula>
    </cfRule>
  </conditionalFormatting>
  <conditionalFormatting sqref="H10:H1048576">
    <cfRule type="cellIs" dxfId="691" priority="2849" operator="lessThan">
      <formula>0</formula>
    </cfRule>
  </conditionalFormatting>
  <conditionalFormatting sqref="H10:H1048576">
    <cfRule type="cellIs" dxfId="690" priority="2848" operator="lessThan">
      <formula>0</formula>
    </cfRule>
  </conditionalFormatting>
  <conditionalFormatting sqref="H10:H1048576">
    <cfRule type="cellIs" dxfId="689" priority="2847" operator="lessThan">
      <formula>0</formula>
    </cfRule>
  </conditionalFormatting>
  <conditionalFormatting sqref="H10:H1048576">
    <cfRule type="cellIs" dxfId="688" priority="2846" operator="lessThan">
      <formula>0</formula>
    </cfRule>
  </conditionalFormatting>
  <conditionalFormatting sqref="H10:H1048576">
    <cfRule type="cellIs" dxfId="687" priority="2845" operator="lessThan">
      <formula>0</formula>
    </cfRule>
  </conditionalFormatting>
  <conditionalFormatting sqref="H10:H1048576">
    <cfRule type="cellIs" dxfId="686" priority="2844" operator="lessThan">
      <formula>0</formula>
    </cfRule>
  </conditionalFormatting>
  <conditionalFormatting sqref="H10:H1048576">
    <cfRule type="cellIs" dxfId="685" priority="2843" operator="lessThan">
      <formula>0</formula>
    </cfRule>
  </conditionalFormatting>
  <conditionalFormatting sqref="H10:H1048576">
    <cfRule type="cellIs" dxfId="684" priority="2842" operator="lessThan">
      <formula>0</formula>
    </cfRule>
  </conditionalFormatting>
  <conditionalFormatting sqref="H10:H1048576">
    <cfRule type="cellIs" dxfId="683" priority="2841" operator="lessThan">
      <formula>0</formula>
    </cfRule>
  </conditionalFormatting>
  <conditionalFormatting sqref="H10:H1048576">
    <cfRule type="cellIs" dxfId="682" priority="2840" operator="lessThan">
      <formula>0</formula>
    </cfRule>
  </conditionalFormatting>
  <conditionalFormatting sqref="H10:H1048576">
    <cfRule type="cellIs" dxfId="681" priority="2839" operator="lessThan">
      <formula>0</formula>
    </cfRule>
  </conditionalFormatting>
  <conditionalFormatting sqref="H10:H1048576">
    <cfRule type="cellIs" dxfId="680" priority="2838" operator="lessThan">
      <formula>0</formula>
    </cfRule>
  </conditionalFormatting>
  <conditionalFormatting sqref="H10:H1048576">
    <cfRule type="cellIs" dxfId="679" priority="2837" operator="lessThan">
      <formula>0</formula>
    </cfRule>
  </conditionalFormatting>
  <conditionalFormatting sqref="H10:H1048576">
    <cfRule type="cellIs" dxfId="678" priority="2836" operator="lessThan">
      <formula>0</formula>
    </cfRule>
  </conditionalFormatting>
  <conditionalFormatting sqref="H10:H1048576">
    <cfRule type="cellIs" dxfId="677" priority="2835" operator="lessThan">
      <formula>0</formula>
    </cfRule>
  </conditionalFormatting>
  <conditionalFormatting sqref="H10:H1048576">
    <cfRule type="cellIs" dxfId="676" priority="2834" operator="lessThan">
      <formula>0</formula>
    </cfRule>
  </conditionalFormatting>
  <conditionalFormatting sqref="H10:H1048576">
    <cfRule type="cellIs" dxfId="675" priority="2833" operator="lessThan">
      <formula>0</formula>
    </cfRule>
  </conditionalFormatting>
  <conditionalFormatting sqref="H10:H1048576">
    <cfRule type="cellIs" dxfId="674" priority="2832" operator="lessThan">
      <formula>0</formula>
    </cfRule>
  </conditionalFormatting>
  <conditionalFormatting sqref="H10:H1048576">
    <cfRule type="cellIs" dxfId="673" priority="2831" operator="lessThan">
      <formula>0</formula>
    </cfRule>
  </conditionalFormatting>
  <conditionalFormatting sqref="H10:H1048576">
    <cfRule type="cellIs" dxfId="672" priority="2830" operator="lessThan">
      <formula>0</formula>
    </cfRule>
  </conditionalFormatting>
  <conditionalFormatting sqref="H10:H1048576">
    <cfRule type="cellIs" dxfId="671" priority="2829" operator="lessThan">
      <formula>0</formula>
    </cfRule>
  </conditionalFormatting>
  <conditionalFormatting sqref="H10:H1048576">
    <cfRule type="cellIs" dxfId="670" priority="2828" operator="lessThan">
      <formula>0</formula>
    </cfRule>
  </conditionalFormatting>
  <conditionalFormatting sqref="H10:H1048576">
    <cfRule type="cellIs" dxfId="669" priority="2827" operator="lessThan">
      <formula>0</formula>
    </cfRule>
  </conditionalFormatting>
  <conditionalFormatting sqref="H10:H1048576">
    <cfRule type="cellIs" dxfId="668" priority="2826" operator="lessThan">
      <formula>0</formula>
    </cfRule>
  </conditionalFormatting>
  <conditionalFormatting sqref="H10:H1048576">
    <cfRule type="cellIs" dxfId="667" priority="2825" operator="lessThan">
      <formula>0</formula>
    </cfRule>
  </conditionalFormatting>
  <conditionalFormatting sqref="H10:H1048576">
    <cfRule type="cellIs" dxfId="666" priority="2824" operator="lessThan">
      <formula>0</formula>
    </cfRule>
  </conditionalFormatting>
  <conditionalFormatting sqref="H10:H1048576">
    <cfRule type="cellIs" dxfId="665" priority="2823" operator="lessThan">
      <formula>0</formula>
    </cfRule>
  </conditionalFormatting>
  <conditionalFormatting sqref="H10:H1048576">
    <cfRule type="cellIs" dxfId="664" priority="2822" operator="lessThan">
      <formula>0</formula>
    </cfRule>
  </conditionalFormatting>
  <conditionalFormatting sqref="H10:H1048576">
    <cfRule type="cellIs" dxfId="663" priority="2821" operator="lessThan">
      <formula>0</formula>
    </cfRule>
  </conditionalFormatting>
  <conditionalFormatting sqref="H10:H1048576">
    <cfRule type="cellIs" dxfId="662" priority="2820" operator="lessThan">
      <formula>0</formula>
    </cfRule>
  </conditionalFormatting>
  <conditionalFormatting sqref="H10:H1048576">
    <cfRule type="cellIs" dxfId="661" priority="2819" operator="lessThan">
      <formula>0</formula>
    </cfRule>
  </conditionalFormatting>
  <conditionalFormatting sqref="H10:H1048576">
    <cfRule type="cellIs" dxfId="660" priority="2818" operator="lessThan">
      <formula>0</formula>
    </cfRule>
  </conditionalFormatting>
  <conditionalFormatting sqref="H10:H1048576">
    <cfRule type="cellIs" dxfId="659" priority="2817" operator="lessThan">
      <formula>0</formula>
    </cfRule>
  </conditionalFormatting>
  <conditionalFormatting sqref="H10:H1048576">
    <cfRule type="cellIs" dxfId="658" priority="2816" operator="lessThan">
      <formula>0</formula>
    </cfRule>
  </conditionalFormatting>
  <conditionalFormatting sqref="H10:H1048576">
    <cfRule type="cellIs" dxfId="657" priority="2815" operator="lessThan">
      <formula>0</formula>
    </cfRule>
  </conditionalFormatting>
  <conditionalFormatting sqref="H10:H1048576">
    <cfRule type="cellIs" dxfId="656" priority="2814" operator="lessThan">
      <formula>0</formula>
    </cfRule>
  </conditionalFormatting>
  <conditionalFormatting sqref="H10:H1048576">
    <cfRule type="cellIs" dxfId="655" priority="2813" operator="lessThan">
      <formula>0</formula>
    </cfRule>
  </conditionalFormatting>
  <conditionalFormatting sqref="H10:H1048576">
    <cfRule type="cellIs" dxfId="654" priority="2812" operator="lessThan">
      <formula>0</formula>
    </cfRule>
  </conditionalFormatting>
  <conditionalFormatting sqref="H10:H1048576">
    <cfRule type="cellIs" dxfId="653" priority="2811" operator="lessThan">
      <formula>0</formula>
    </cfRule>
  </conditionalFormatting>
  <conditionalFormatting sqref="H10:H1048576">
    <cfRule type="cellIs" dxfId="652" priority="2810" operator="lessThan">
      <formula>0</formula>
    </cfRule>
  </conditionalFormatting>
  <conditionalFormatting sqref="H10:H1048576">
    <cfRule type="cellIs" dxfId="651" priority="2809" operator="lessThan">
      <formula>0</formula>
    </cfRule>
  </conditionalFormatting>
  <conditionalFormatting sqref="H10:H1048576">
    <cfRule type="cellIs" dxfId="650" priority="2808" operator="lessThan">
      <formula>0</formula>
    </cfRule>
  </conditionalFormatting>
  <conditionalFormatting sqref="H10:H1048576">
    <cfRule type="cellIs" dxfId="649" priority="2807" operator="lessThan">
      <formula>0</formula>
    </cfRule>
  </conditionalFormatting>
  <conditionalFormatting sqref="H10:H1048576">
    <cfRule type="cellIs" dxfId="648" priority="2806" operator="lessThan">
      <formula>0</formula>
    </cfRule>
  </conditionalFormatting>
  <conditionalFormatting sqref="H10:H1048576">
    <cfRule type="cellIs" dxfId="647" priority="2805" operator="lessThan">
      <formula>0</formula>
    </cfRule>
  </conditionalFormatting>
  <conditionalFormatting sqref="H10:H1048576">
    <cfRule type="cellIs" dxfId="646" priority="2804" operator="lessThan">
      <formula>0</formula>
    </cfRule>
  </conditionalFormatting>
  <conditionalFormatting sqref="H10:H1048576">
    <cfRule type="cellIs" dxfId="645" priority="2803" operator="lessThan">
      <formula>0</formula>
    </cfRule>
  </conditionalFormatting>
  <conditionalFormatting sqref="H10:H1048576">
    <cfRule type="cellIs" dxfId="644" priority="2802" operator="lessThan">
      <formula>0</formula>
    </cfRule>
  </conditionalFormatting>
  <conditionalFormatting sqref="H10:H1048576">
    <cfRule type="cellIs" dxfId="643" priority="2801" operator="lessThan">
      <formula>0</formula>
    </cfRule>
  </conditionalFormatting>
  <conditionalFormatting sqref="H10:H1048576">
    <cfRule type="cellIs" dxfId="642" priority="2800" operator="lessThan">
      <formula>0</formula>
    </cfRule>
  </conditionalFormatting>
  <conditionalFormatting sqref="H10:H1048576">
    <cfRule type="cellIs" dxfId="641" priority="2799" operator="lessThan">
      <formula>0</formula>
    </cfRule>
  </conditionalFormatting>
  <conditionalFormatting sqref="H10:H1048576">
    <cfRule type="cellIs" dxfId="640" priority="2798" operator="lessThan">
      <formula>0</formula>
    </cfRule>
  </conditionalFormatting>
  <conditionalFormatting sqref="H10:H1048576">
    <cfRule type="cellIs" dxfId="639" priority="2797" operator="lessThan">
      <formula>0</formula>
    </cfRule>
  </conditionalFormatting>
  <conditionalFormatting sqref="H10:H1048576">
    <cfRule type="cellIs" dxfId="638" priority="2796" operator="lessThan">
      <formula>0</formula>
    </cfRule>
  </conditionalFormatting>
  <conditionalFormatting sqref="H10:H1048576">
    <cfRule type="cellIs" dxfId="637" priority="2795" operator="lessThan">
      <formula>0</formula>
    </cfRule>
  </conditionalFormatting>
  <conditionalFormatting sqref="H10:H1048576">
    <cfRule type="cellIs" dxfId="636" priority="2794" operator="lessThan">
      <formula>0</formula>
    </cfRule>
  </conditionalFormatting>
  <conditionalFormatting sqref="H10:H1048576">
    <cfRule type="cellIs" dxfId="635" priority="2793" operator="lessThan">
      <formula>0</formula>
    </cfRule>
  </conditionalFormatting>
  <conditionalFormatting sqref="H10:H1048576">
    <cfRule type="cellIs" dxfId="634" priority="2792" operator="lessThan">
      <formula>0</formula>
    </cfRule>
  </conditionalFormatting>
  <conditionalFormatting sqref="H10:H1048576">
    <cfRule type="cellIs" dxfId="633" priority="2791" operator="lessThan">
      <formula>0</formula>
    </cfRule>
  </conditionalFormatting>
  <conditionalFormatting sqref="H10:H1048576">
    <cfRule type="cellIs" dxfId="632" priority="2790" operator="lessThan">
      <formula>0</formula>
    </cfRule>
  </conditionalFormatting>
  <conditionalFormatting sqref="H10:H1048576">
    <cfRule type="cellIs" dxfId="631" priority="2789" operator="lessThan">
      <formula>0</formula>
    </cfRule>
  </conditionalFormatting>
  <conditionalFormatting sqref="H10:H1048576">
    <cfRule type="cellIs" dxfId="630" priority="2788" operator="lessThan">
      <formula>0</formula>
    </cfRule>
  </conditionalFormatting>
  <conditionalFormatting sqref="H10:H1048576">
    <cfRule type="cellIs" dxfId="629" priority="2787" operator="lessThan">
      <formula>0</formula>
    </cfRule>
  </conditionalFormatting>
  <conditionalFormatting sqref="H10:H1048576">
    <cfRule type="cellIs" dxfId="628" priority="2786" operator="lessThan">
      <formula>0</formula>
    </cfRule>
  </conditionalFormatting>
  <conditionalFormatting sqref="H10:H1048576">
    <cfRule type="cellIs" dxfId="627" priority="2785" operator="lessThan">
      <formula>0</formula>
    </cfRule>
  </conditionalFormatting>
  <conditionalFormatting sqref="H10:H1048576">
    <cfRule type="cellIs" dxfId="626" priority="2784" operator="lessThan">
      <formula>0</formula>
    </cfRule>
  </conditionalFormatting>
  <conditionalFormatting sqref="H10:H1048576">
    <cfRule type="cellIs" dxfId="625" priority="2783" operator="lessThan">
      <formula>0</formula>
    </cfRule>
  </conditionalFormatting>
  <conditionalFormatting sqref="H10:H1048576">
    <cfRule type="cellIs" dxfId="624" priority="2782" operator="lessThan">
      <formula>0</formula>
    </cfRule>
  </conditionalFormatting>
  <conditionalFormatting sqref="H10:H1048576">
    <cfRule type="cellIs" dxfId="623" priority="2781" operator="lessThan">
      <formula>0</formula>
    </cfRule>
  </conditionalFormatting>
  <conditionalFormatting sqref="H10:H1048576">
    <cfRule type="cellIs" dxfId="622" priority="2780" operator="lessThan">
      <formula>0</formula>
    </cfRule>
  </conditionalFormatting>
  <conditionalFormatting sqref="H10:H1048576">
    <cfRule type="cellIs" dxfId="621" priority="2779" operator="lessThan">
      <formula>0</formula>
    </cfRule>
  </conditionalFormatting>
  <conditionalFormatting sqref="H10:H1048576">
    <cfRule type="cellIs" dxfId="620" priority="2778" operator="lessThan">
      <formula>0</formula>
    </cfRule>
  </conditionalFormatting>
  <conditionalFormatting sqref="H10:H1048576">
    <cfRule type="cellIs" dxfId="619" priority="2777" operator="lessThan">
      <formula>0</formula>
    </cfRule>
  </conditionalFormatting>
  <conditionalFormatting sqref="H10:H1048576">
    <cfRule type="cellIs" dxfId="618" priority="2776" operator="lessThan">
      <formula>0</formula>
    </cfRule>
  </conditionalFormatting>
  <conditionalFormatting sqref="H10:H1048576">
    <cfRule type="cellIs" dxfId="617" priority="2775" operator="lessThan">
      <formula>0</formula>
    </cfRule>
  </conditionalFormatting>
  <conditionalFormatting sqref="H10:H1048576">
    <cfRule type="cellIs" dxfId="616" priority="2774" operator="lessThan">
      <formula>0</formula>
    </cfRule>
  </conditionalFormatting>
  <conditionalFormatting sqref="H10:H1048576">
    <cfRule type="cellIs" dxfId="615" priority="2773" operator="lessThan">
      <formula>0</formula>
    </cfRule>
  </conditionalFormatting>
  <conditionalFormatting sqref="H10:H1048576">
    <cfRule type="cellIs" dxfId="614" priority="2772" operator="lessThan">
      <formula>0</formula>
    </cfRule>
  </conditionalFormatting>
  <conditionalFormatting sqref="H10:H1048576">
    <cfRule type="cellIs" dxfId="613" priority="2771" operator="lessThan">
      <formula>0</formula>
    </cfRule>
  </conditionalFormatting>
  <conditionalFormatting sqref="H10:H1048576">
    <cfRule type="cellIs" dxfId="612" priority="2770" operator="lessThan">
      <formula>0</formula>
    </cfRule>
  </conditionalFormatting>
  <conditionalFormatting sqref="H10:H1048576">
    <cfRule type="cellIs" dxfId="611" priority="2769" operator="lessThan">
      <formula>0</formula>
    </cfRule>
  </conditionalFormatting>
  <conditionalFormatting sqref="H10:H1048576">
    <cfRule type="cellIs" dxfId="610" priority="2768" operator="lessThan">
      <formula>0</formula>
    </cfRule>
  </conditionalFormatting>
  <conditionalFormatting sqref="H10:H1048576">
    <cfRule type="cellIs" dxfId="609" priority="2767" operator="lessThan">
      <formula>0</formula>
    </cfRule>
  </conditionalFormatting>
  <conditionalFormatting sqref="H10:H1048576">
    <cfRule type="cellIs" dxfId="608" priority="2766" operator="lessThan">
      <formula>0</formula>
    </cfRule>
  </conditionalFormatting>
  <conditionalFormatting sqref="H10:H1048576">
    <cfRule type="cellIs" dxfId="607" priority="2765" operator="lessThan">
      <formula>0</formula>
    </cfRule>
  </conditionalFormatting>
  <conditionalFormatting sqref="H10:H1048576">
    <cfRule type="cellIs" dxfId="606" priority="2764" operator="lessThan">
      <formula>0</formula>
    </cfRule>
  </conditionalFormatting>
  <conditionalFormatting sqref="H10:H1048576">
    <cfRule type="cellIs" dxfId="605" priority="2763" operator="lessThan">
      <formula>0</formula>
    </cfRule>
  </conditionalFormatting>
  <conditionalFormatting sqref="H10:H1048576">
    <cfRule type="cellIs" dxfId="604" priority="2762" operator="lessThan">
      <formula>0</formula>
    </cfRule>
  </conditionalFormatting>
  <conditionalFormatting sqref="H10:H1048576">
    <cfRule type="cellIs" dxfId="603" priority="2761" operator="lessThan">
      <formula>0</formula>
    </cfRule>
  </conditionalFormatting>
  <conditionalFormatting sqref="H10:H1048576">
    <cfRule type="cellIs" dxfId="602" priority="2760" operator="lessThan">
      <formula>0</formula>
    </cfRule>
  </conditionalFormatting>
  <conditionalFormatting sqref="H10:H1048576">
    <cfRule type="cellIs" dxfId="601" priority="2759" operator="lessThan">
      <formula>0</formula>
    </cfRule>
  </conditionalFormatting>
  <conditionalFormatting sqref="H10:H1048576">
    <cfRule type="cellIs" dxfId="600" priority="2758" operator="lessThan">
      <formula>0</formula>
    </cfRule>
  </conditionalFormatting>
  <conditionalFormatting sqref="H10:H1048576">
    <cfRule type="cellIs" dxfId="599" priority="2757" operator="lessThan">
      <formula>0</formula>
    </cfRule>
  </conditionalFormatting>
  <conditionalFormatting sqref="H10:H1048576">
    <cfRule type="cellIs" dxfId="598" priority="2756" operator="lessThan">
      <formula>0</formula>
    </cfRule>
  </conditionalFormatting>
  <conditionalFormatting sqref="H10:H1048576">
    <cfRule type="cellIs" dxfId="597" priority="2755" operator="lessThan">
      <formula>0</formula>
    </cfRule>
  </conditionalFormatting>
  <conditionalFormatting sqref="H10:H1048576">
    <cfRule type="cellIs" dxfId="596" priority="2754" operator="lessThan">
      <formula>0</formula>
    </cfRule>
  </conditionalFormatting>
  <conditionalFormatting sqref="H10:H1048576">
    <cfRule type="cellIs" dxfId="595" priority="2753" operator="lessThan">
      <formula>0</formula>
    </cfRule>
  </conditionalFormatting>
  <conditionalFormatting sqref="H10:H1048576">
    <cfRule type="cellIs" dxfId="594" priority="2752" operator="lessThan">
      <formula>0</formula>
    </cfRule>
  </conditionalFormatting>
  <conditionalFormatting sqref="H10:H1048576">
    <cfRule type="cellIs" dxfId="593" priority="2751" operator="lessThan">
      <formula>0</formula>
    </cfRule>
  </conditionalFormatting>
  <conditionalFormatting sqref="H10:H1048576">
    <cfRule type="cellIs" dxfId="592" priority="2750" operator="lessThan">
      <formula>0</formula>
    </cfRule>
  </conditionalFormatting>
  <conditionalFormatting sqref="H10:H1048576">
    <cfRule type="cellIs" dxfId="591" priority="2749" operator="lessThan">
      <formula>0</formula>
    </cfRule>
  </conditionalFormatting>
  <conditionalFormatting sqref="H10:H1048576">
    <cfRule type="cellIs" dxfId="590" priority="2748" operator="lessThan">
      <formula>0</formula>
    </cfRule>
  </conditionalFormatting>
  <conditionalFormatting sqref="H10:H1048576">
    <cfRule type="cellIs" dxfId="589" priority="2747" operator="lessThan">
      <formula>0</formula>
    </cfRule>
  </conditionalFormatting>
  <conditionalFormatting sqref="H10:H1048576">
    <cfRule type="cellIs" dxfId="588" priority="2746" operator="lessThan">
      <formula>0</formula>
    </cfRule>
  </conditionalFormatting>
  <conditionalFormatting sqref="H10:H1048576">
    <cfRule type="cellIs" dxfId="587" priority="2745" operator="lessThan">
      <formula>0</formula>
    </cfRule>
  </conditionalFormatting>
  <conditionalFormatting sqref="H10:H1048576">
    <cfRule type="cellIs" dxfId="586" priority="2744" operator="lessThan">
      <formula>0</formula>
    </cfRule>
  </conditionalFormatting>
  <conditionalFormatting sqref="H10:H1048576">
    <cfRule type="cellIs" dxfId="585" priority="2743" operator="lessThan">
      <formula>0</formula>
    </cfRule>
  </conditionalFormatting>
  <conditionalFormatting sqref="H10:H1048576">
    <cfRule type="cellIs" dxfId="584" priority="2742" operator="lessThan">
      <formula>0</formula>
    </cfRule>
  </conditionalFormatting>
  <conditionalFormatting sqref="H10:H1048576">
    <cfRule type="cellIs" dxfId="583" priority="2741" operator="lessThan">
      <formula>0</formula>
    </cfRule>
  </conditionalFormatting>
  <conditionalFormatting sqref="H10:H1048576">
    <cfRule type="cellIs" dxfId="582" priority="2740" operator="lessThan">
      <formula>0</formula>
    </cfRule>
  </conditionalFormatting>
  <conditionalFormatting sqref="H10:H1048576">
    <cfRule type="cellIs" dxfId="581" priority="2739" operator="lessThan">
      <formula>0</formula>
    </cfRule>
  </conditionalFormatting>
  <conditionalFormatting sqref="H10:H1048576">
    <cfRule type="cellIs" dxfId="580" priority="2738" operator="lessThan">
      <formula>0</formula>
    </cfRule>
  </conditionalFormatting>
  <conditionalFormatting sqref="H10:H1048576">
    <cfRule type="cellIs" dxfId="579" priority="2737" operator="lessThan">
      <formula>0</formula>
    </cfRule>
  </conditionalFormatting>
  <conditionalFormatting sqref="H10:H1048576">
    <cfRule type="cellIs" dxfId="578" priority="2736" operator="lessThan">
      <formula>0</formula>
    </cfRule>
  </conditionalFormatting>
  <conditionalFormatting sqref="H10:H1048576">
    <cfRule type="cellIs" dxfId="577" priority="2735" operator="lessThan">
      <formula>0</formula>
    </cfRule>
  </conditionalFormatting>
  <conditionalFormatting sqref="H10:H1048576">
    <cfRule type="cellIs" dxfId="576" priority="2734" operator="lessThan">
      <formula>0</formula>
    </cfRule>
  </conditionalFormatting>
  <conditionalFormatting sqref="H10:H1048576">
    <cfRule type="cellIs" dxfId="575" priority="2733" operator="lessThan">
      <formula>0</formula>
    </cfRule>
  </conditionalFormatting>
  <conditionalFormatting sqref="H10:H1048576">
    <cfRule type="cellIs" dxfId="574" priority="2732" operator="lessThan">
      <formula>0</formula>
    </cfRule>
  </conditionalFormatting>
  <conditionalFormatting sqref="H10:H1048576">
    <cfRule type="cellIs" dxfId="573" priority="2731" operator="lessThan">
      <formula>0</formula>
    </cfRule>
  </conditionalFormatting>
  <conditionalFormatting sqref="H10:H1048576">
    <cfRule type="cellIs" dxfId="572" priority="2730" operator="lessThan">
      <formula>0</formula>
    </cfRule>
  </conditionalFormatting>
  <conditionalFormatting sqref="H10:H1048576">
    <cfRule type="cellIs" dxfId="571" priority="2729" operator="lessThan">
      <formula>0</formula>
    </cfRule>
  </conditionalFormatting>
  <conditionalFormatting sqref="H10:H1048576">
    <cfRule type="cellIs" dxfId="570" priority="2728" operator="lessThan">
      <formula>0</formula>
    </cfRule>
  </conditionalFormatting>
  <conditionalFormatting sqref="H10:H1048576">
    <cfRule type="cellIs" dxfId="569" priority="2727" operator="lessThan">
      <formula>0</formula>
    </cfRule>
  </conditionalFormatting>
  <conditionalFormatting sqref="H10:H1048576">
    <cfRule type="cellIs" dxfId="568" priority="2726" operator="lessThan">
      <formula>0</formula>
    </cfRule>
  </conditionalFormatting>
  <conditionalFormatting sqref="H10:H1048576">
    <cfRule type="cellIs" dxfId="567" priority="2725" operator="lessThan">
      <formula>0</formula>
    </cfRule>
  </conditionalFormatting>
  <conditionalFormatting sqref="H10:H1048576">
    <cfRule type="cellIs" dxfId="566" priority="2724" operator="lessThan">
      <formula>0</formula>
    </cfRule>
  </conditionalFormatting>
  <conditionalFormatting sqref="H10:H1048576">
    <cfRule type="cellIs" dxfId="565" priority="2723" operator="lessThan">
      <formula>0</formula>
    </cfRule>
  </conditionalFormatting>
  <conditionalFormatting sqref="H10:H1048576">
    <cfRule type="cellIs" dxfId="564" priority="2722" operator="lessThan">
      <formula>0</formula>
    </cfRule>
  </conditionalFormatting>
  <conditionalFormatting sqref="H10:H1048576">
    <cfRule type="cellIs" dxfId="563" priority="2721" operator="lessThan">
      <formula>0</formula>
    </cfRule>
  </conditionalFormatting>
  <conditionalFormatting sqref="H10:H1048576">
    <cfRule type="cellIs" dxfId="562" priority="2720" operator="lessThan">
      <formula>0</formula>
    </cfRule>
  </conditionalFormatting>
  <conditionalFormatting sqref="H10:H1048576">
    <cfRule type="cellIs" dxfId="561" priority="2719" operator="lessThan">
      <formula>0</formula>
    </cfRule>
  </conditionalFormatting>
  <conditionalFormatting sqref="H10:H1048576">
    <cfRule type="cellIs" dxfId="560" priority="2718" operator="lessThan">
      <formula>0</formula>
    </cfRule>
  </conditionalFormatting>
  <conditionalFormatting sqref="H10:H1048576">
    <cfRule type="cellIs" dxfId="559" priority="2717" operator="lessThan">
      <formula>0</formula>
    </cfRule>
  </conditionalFormatting>
  <conditionalFormatting sqref="H10:H1048576">
    <cfRule type="cellIs" dxfId="558" priority="2716" operator="lessThan">
      <formula>0</formula>
    </cfRule>
  </conditionalFormatting>
  <conditionalFormatting sqref="H10:H1048576">
    <cfRule type="cellIs" dxfId="557" priority="2715" operator="lessThan">
      <formula>0</formula>
    </cfRule>
  </conditionalFormatting>
  <conditionalFormatting sqref="H10:H1048576">
    <cfRule type="cellIs" dxfId="556" priority="2714" operator="lessThan">
      <formula>0</formula>
    </cfRule>
  </conditionalFormatting>
  <conditionalFormatting sqref="H10:H1048576">
    <cfRule type="cellIs" dxfId="555" priority="2713" operator="lessThan">
      <formula>0</formula>
    </cfRule>
  </conditionalFormatting>
  <conditionalFormatting sqref="H10:H1048576">
    <cfRule type="cellIs" dxfId="554" priority="2712" operator="lessThan">
      <formula>0</formula>
    </cfRule>
  </conditionalFormatting>
  <conditionalFormatting sqref="H10:H1048576">
    <cfRule type="cellIs" dxfId="553" priority="2711" operator="lessThan">
      <formula>0</formula>
    </cfRule>
  </conditionalFormatting>
  <conditionalFormatting sqref="H10:H1048576">
    <cfRule type="cellIs" dxfId="552" priority="2710" operator="lessThan">
      <formula>0</formula>
    </cfRule>
  </conditionalFormatting>
  <conditionalFormatting sqref="H10:H1048576">
    <cfRule type="cellIs" dxfId="551" priority="2709" operator="lessThan">
      <formula>0</formula>
    </cfRule>
  </conditionalFormatting>
  <conditionalFormatting sqref="H10:H1048576">
    <cfRule type="cellIs" dxfId="550" priority="2708" operator="lessThan">
      <formula>0</formula>
    </cfRule>
  </conditionalFormatting>
  <conditionalFormatting sqref="H10:H1048576">
    <cfRule type="cellIs" dxfId="549" priority="2707" operator="lessThan">
      <formula>0</formula>
    </cfRule>
  </conditionalFormatting>
  <conditionalFormatting sqref="H10:H1048576">
    <cfRule type="cellIs" dxfId="548" priority="2706" operator="lessThan">
      <formula>0</formula>
    </cfRule>
  </conditionalFormatting>
  <conditionalFormatting sqref="H10:H1048576">
    <cfRule type="cellIs" dxfId="547" priority="2705" operator="lessThan">
      <formula>0</formula>
    </cfRule>
  </conditionalFormatting>
  <conditionalFormatting sqref="H10:H1048576">
    <cfRule type="cellIs" dxfId="546" priority="2704" operator="lessThan">
      <formula>0</formula>
    </cfRule>
  </conditionalFormatting>
  <conditionalFormatting sqref="H10:H1048576">
    <cfRule type="cellIs" dxfId="545" priority="2703" operator="lessThan">
      <formula>0</formula>
    </cfRule>
  </conditionalFormatting>
  <conditionalFormatting sqref="H10:H1048576">
    <cfRule type="cellIs" dxfId="544" priority="2702" operator="lessThan">
      <formula>0</formula>
    </cfRule>
  </conditionalFormatting>
  <conditionalFormatting sqref="H10:H1048576">
    <cfRule type="cellIs" dxfId="543" priority="2701" operator="lessThan">
      <formula>0</formula>
    </cfRule>
  </conditionalFormatting>
  <conditionalFormatting sqref="H10:H1048576">
    <cfRule type="cellIs" dxfId="542" priority="2700" operator="lessThan">
      <formula>0</formula>
    </cfRule>
  </conditionalFormatting>
  <conditionalFormatting sqref="H10:H1048576">
    <cfRule type="cellIs" dxfId="541" priority="2699" operator="lessThan">
      <formula>0</formula>
    </cfRule>
  </conditionalFormatting>
  <conditionalFormatting sqref="H10:H1048576">
    <cfRule type="cellIs" dxfId="540" priority="2698" operator="lessThan">
      <formula>0</formula>
    </cfRule>
  </conditionalFormatting>
  <conditionalFormatting sqref="H10:H1048576">
    <cfRule type="cellIs" dxfId="539" priority="2697" operator="lessThan">
      <formula>0</formula>
    </cfRule>
  </conditionalFormatting>
  <conditionalFormatting sqref="H10:H1048576">
    <cfRule type="cellIs" dxfId="538" priority="2696" operator="lessThan">
      <formula>0</formula>
    </cfRule>
  </conditionalFormatting>
  <conditionalFormatting sqref="H10:H1048576">
    <cfRule type="cellIs" dxfId="537" priority="2695" operator="lessThan">
      <formula>0</formula>
    </cfRule>
  </conditionalFormatting>
  <conditionalFormatting sqref="H10:H1048576">
    <cfRule type="cellIs" dxfId="536" priority="2694" operator="lessThan">
      <formula>0</formula>
    </cfRule>
  </conditionalFormatting>
  <conditionalFormatting sqref="H10:H1048576">
    <cfRule type="cellIs" dxfId="535" priority="2693" operator="lessThan">
      <formula>0</formula>
    </cfRule>
  </conditionalFormatting>
  <conditionalFormatting sqref="H10:H1048576">
    <cfRule type="cellIs" dxfId="534" priority="2692" operator="lessThan">
      <formula>0</formula>
    </cfRule>
  </conditionalFormatting>
  <conditionalFormatting sqref="H10:H1048576">
    <cfRule type="cellIs" dxfId="533" priority="2691" operator="lessThan">
      <formula>0</formula>
    </cfRule>
  </conditionalFormatting>
  <conditionalFormatting sqref="H10:H1048576">
    <cfRule type="cellIs" dxfId="532" priority="2690" operator="lessThan">
      <formula>0</formula>
    </cfRule>
  </conditionalFormatting>
  <conditionalFormatting sqref="H10:H1048576">
    <cfRule type="cellIs" dxfId="531" priority="2689" operator="lessThan">
      <formula>0</formula>
    </cfRule>
  </conditionalFormatting>
  <conditionalFormatting sqref="H10:H1048576">
    <cfRule type="cellIs" dxfId="530" priority="2688" operator="lessThan">
      <formula>0</formula>
    </cfRule>
  </conditionalFormatting>
  <conditionalFormatting sqref="H10:H1048576">
    <cfRule type="cellIs" dxfId="529" priority="2687" operator="lessThan">
      <formula>0</formula>
    </cfRule>
  </conditionalFormatting>
  <conditionalFormatting sqref="H10:H1048576">
    <cfRule type="cellIs" dxfId="528" priority="2686" operator="lessThan">
      <formula>0</formula>
    </cfRule>
  </conditionalFormatting>
  <conditionalFormatting sqref="H10:H1048576">
    <cfRule type="cellIs" dxfId="527" priority="2685" operator="lessThan">
      <formula>0</formula>
    </cfRule>
  </conditionalFormatting>
  <conditionalFormatting sqref="H10:H1048576">
    <cfRule type="cellIs" dxfId="526" priority="2684" operator="lessThan">
      <formula>0</formula>
    </cfRule>
  </conditionalFormatting>
  <conditionalFormatting sqref="H10:H1048576">
    <cfRule type="cellIs" dxfId="525" priority="2683" operator="lessThan">
      <formula>0</formula>
    </cfRule>
  </conditionalFormatting>
  <conditionalFormatting sqref="H10:H1048576">
    <cfRule type="cellIs" dxfId="524" priority="2682" operator="lessThan">
      <formula>0</formula>
    </cfRule>
  </conditionalFormatting>
  <conditionalFormatting sqref="H10:H1048576">
    <cfRule type="cellIs" dxfId="523" priority="2681" operator="lessThan">
      <formula>0</formula>
    </cfRule>
  </conditionalFormatting>
  <conditionalFormatting sqref="H10:H1048576">
    <cfRule type="cellIs" dxfId="522" priority="2680" operator="lessThan">
      <formula>0</formula>
    </cfRule>
  </conditionalFormatting>
  <conditionalFormatting sqref="H10:H1048576">
    <cfRule type="cellIs" dxfId="521" priority="2679" operator="lessThan">
      <formula>0</formula>
    </cfRule>
  </conditionalFormatting>
  <conditionalFormatting sqref="H10:H1048576">
    <cfRule type="cellIs" dxfId="520" priority="2678" operator="lessThan">
      <formula>0</formula>
    </cfRule>
  </conditionalFormatting>
  <conditionalFormatting sqref="H10:H1048576">
    <cfRule type="cellIs" dxfId="519" priority="2677" operator="lessThan">
      <formula>0</formula>
    </cfRule>
  </conditionalFormatting>
  <conditionalFormatting sqref="H10:H1048576">
    <cfRule type="cellIs" dxfId="518" priority="2676" operator="lessThan">
      <formula>0</formula>
    </cfRule>
  </conditionalFormatting>
  <conditionalFormatting sqref="H10:H1048576">
    <cfRule type="cellIs" dxfId="517" priority="2675" operator="lessThan">
      <formula>0</formula>
    </cfRule>
  </conditionalFormatting>
  <conditionalFormatting sqref="H10:H1048576">
    <cfRule type="cellIs" dxfId="516" priority="2674" operator="lessThan">
      <formula>0</formula>
    </cfRule>
  </conditionalFormatting>
  <conditionalFormatting sqref="H10:H1048576">
    <cfRule type="cellIs" dxfId="515" priority="2673" operator="lessThan">
      <formula>0</formula>
    </cfRule>
  </conditionalFormatting>
  <conditionalFormatting sqref="H10:H1048576">
    <cfRule type="cellIs" dxfId="514" priority="2672" operator="lessThan">
      <formula>0</formula>
    </cfRule>
  </conditionalFormatting>
  <conditionalFormatting sqref="H10:H1048576">
    <cfRule type="cellIs" dxfId="513" priority="2671" operator="lessThan">
      <formula>0</formula>
    </cfRule>
  </conditionalFormatting>
  <conditionalFormatting sqref="H10:H1048576">
    <cfRule type="cellIs" dxfId="512" priority="2670" operator="lessThan">
      <formula>0</formula>
    </cfRule>
  </conditionalFormatting>
  <conditionalFormatting sqref="H10:H1048576">
    <cfRule type="cellIs" dxfId="511" priority="2669" operator="lessThan">
      <formula>0</formula>
    </cfRule>
  </conditionalFormatting>
  <conditionalFormatting sqref="H10:H1048576">
    <cfRule type="cellIs" dxfId="510" priority="2668" operator="lessThan">
      <formula>0</formula>
    </cfRule>
  </conditionalFormatting>
  <conditionalFormatting sqref="H10:H1048576">
    <cfRule type="cellIs" dxfId="509" priority="2667" operator="lessThan">
      <formula>0</formula>
    </cfRule>
  </conditionalFormatting>
  <conditionalFormatting sqref="H10:H1048576">
    <cfRule type="cellIs" dxfId="508" priority="2666" operator="lessThan">
      <formula>0</formula>
    </cfRule>
  </conditionalFormatting>
  <conditionalFormatting sqref="H10:H1048576">
    <cfRule type="cellIs" dxfId="507" priority="2665" operator="lessThan">
      <formula>0</formula>
    </cfRule>
  </conditionalFormatting>
  <conditionalFormatting sqref="H10:H1048576">
    <cfRule type="cellIs" dxfId="506" priority="2664" operator="lessThan">
      <formula>0</formula>
    </cfRule>
  </conditionalFormatting>
  <conditionalFormatting sqref="H10:H1048576">
    <cfRule type="cellIs" dxfId="505" priority="2663" operator="lessThan">
      <formula>0</formula>
    </cfRule>
  </conditionalFormatting>
  <conditionalFormatting sqref="H10:H1048576">
    <cfRule type="cellIs" dxfId="504" priority="2662" operator="lessThan">
      <formula>0</formula>
    </cfRule>
  </conditionalFormatting>
  <conditionalFormatting sqref="H10:H1048576">
    <cfRule type="cellIs" dxfId="503" priority="2661" operator="lessThan">
      <formula>0</formula>
    </cfRule>
  </conditionalFormatting>
  <conditionalFormatting sqref="H10:H1048576">
    <cfRule type="cellIs" dxfId="502" priority="2660" operator="lessThan">
      <formula>0</formula>
    </cfRule>
  </conditionalFormatting>
  <conditionalFormatting sqref="H10:H1048576">
    <cfRule type="cellIs" dxfId="501" priority="2659" operator="lessThan">
      <formula>0</formula>
    </cfRule>
  </conditionalFormatting>
  <conditionalFormatting sqref="H10:H1048576">
    <cfRule type="cellIs" dxfId="500" priority="2658" operator="lessThan">
      <formula>0</formula>
    </cfRule>
  </conditionalFormatting>
  <conditionalFormatting sqref="H10:H1048576">
    <cfRule type="cellIs" dxfId="499" priority="2657" operator="lessThan">
      <formula>0</formula>
    </cfRule>
  </conditionalFormatting>
  <conditionalFormatting sqref="H10:H1048576">
    <cfRule type="cellIs" dxfId="498" priority="2656" operator="lessThan">
      <formula>0</formula>
    </cfRule>
  </conditionalFormatting>
  <conditionalFormatting sqref="H10:H1048576">
    <cfRule type="cellIs" dxfId="497" priority="2655" operator="lessThan">
      <formula>0</formula>
    </cfRule>
  </conditionalFormatting>
  <conditionalFormatting sqref="H10:H1048576">
    <cfRule type="cellIs" dxfId="496" priority="2654" operator="lessThan">
      <formula>0</formula>
    </cfRule>
  </conditionalFormatting>
  <conditionalFormatting sqref="H10:H1048576">
    <cfRule type="cellIs" dxfId="495" priority="2653" operator="lessThan">
      <formula>0</formula>
    </cfRule>
  </conditionalFormatting>
  <conditionalFormatting sqref="H10:H1048576">
    <cfRule type="cellIs" dxfId="494" priority="2652" operator="lessThan">
      <formula>0</formula>
    </cfRule>
  </conditionalFormatting>
  <conditionalFormatting sqref="H10:H1048576">
    <cfRule type="cellIs" dxfId="493" priority="2651" operator="lessThan">
      <formula>0</formula>
    </cfRule>
  </conditionalFormatting>
  <conditionalFormatting sqref="H10:H1048576">
    <cfRule type="cellIs" dxfId="492" priority="2650" operator="lessThan">
      <formula>0</formula>
    </cfRule>
  </conditionalFormatting>
  <conditionalFormatting sqref="H10:H1048576">
    <cfRule type="cellIs" dxfId="491" priority="2649" operator="lessThan">
      <formula>0</formula>
    </cfRule>
  </conditionalFormatting>
  <conditionalFormatting sqref="H10:H1048576">
    <cfRule type="cellIs" dxfId="490" priority="2648" operator="lessThan">
      <formula>0</formula>
    </cfRule>
  </conditionalFormatting>
  <conditionalFormatting sqref="H10:H1048576">
    <cfRule type="cellIs" dxfId="489" priority="2647" operator="lessThan">
      <formula>0</formula>
    </cfRule>
  </conditionalFormatting>
  <conditionalFormatting sqref="H10:H1048576">
    <cfRule type="cellIs" dxfId="488" priority="2646" operator="lessThan">
      <formula>0</formula>
    </cfRule>
  </conditionalFormatting>
  <conditionalFormatting sqref="H10:H1048576">
    <cfRule type="cellIs" dxfId="487" priority="2645" operator="lessThan">
      <formula>0</formula>
    </cfRule>
  </conditionalFormatting>
  <conditionalFormatting sqref="H10:H1048576">
    <cfRule type="cellIs" dxfId="486" priority="2644" operator="lessThan">
      <formula>0</formula>
    </cfRule>
  </conditionalFormatting>
  <conditionalFormatting sqref="H10:H1048576">
    <cfRule type="cellIs" dxfId="485" priority="2643" operator="lessThan">
      <formula>0</formula>
    </cfRule>
  </conditionalFormatting>
  <conditionalFormatting sqref="H10:H1048576">
    <cfRule type="cellIs" dxfId="484" priority="2642" operator="lessThan">
      <formula>0</formula>
    </cfRule>
  </conditionalFormatting>
  <conditionalFormatting sqref="H10:H1048576">
    <cfRule type="cellIs" dxfId="483" priority="2641" operator="lessThan">
      <formula>0</formula>
    </cfRule>
  </conditionalFormatting>
  <conditionalFormatting sqref="H10:H1048576">
    <cfRule type="cellIs" dxfId="482" priority="2640" operator="lessThan">
      <formula>0</formula>
    </cfRule>
  </conditionalFormatting>
  <conditionalFormatting sqref="H10:H1048576">
    <cfRule type="cellIs" dxfId="481" priority="2639" operator="lessThan">
      <formula>0</formula>
    </cfRule>
  </conditionalFormatting>
  <conditionalFormatting sqref="H10:H1048576">
    <cfRule type="cellIs" dxfId="480" priority="2638" operator="lessThan">
      <formula>0</formula>
    </cfRule>
  </conditionalFormatting>
  <conditionalFormatting sqref="H10:H1048576">
    <cfRule type="cellIs" dxfId="479" priority="2637" operator="lessThan">
      <formula>0</formula>
    </cfRule>
  </conditionalFormatting>
  <conditionalFormatting sqref="H10:H1048576">
    <cfRule type="cellIs" dxfId="478" priority="2636" operator="lessThan">
      <formula>0</formula>
    </cfRule>
  </conditionalFormatting>
  <conditionalFormatting sqref="H10:H1048576">
    <cfRule type="cellIs" dxfId="477" priority="2635" operator="lessThan">
      <formula>0</formula>
    </cfRule>
  </conditionalFormatting>
  <conditionalFormatting sqref="H10:H1048576">
    <cfRule type="cellIs" dxfId="476" priority="2634" operator="lessThan">
      <formula>0</formula>
    </cfRule>
  </conditionalFormatting>
  <conditionalFormatting sqref="H10:H1048576">
    <cfRule type="cellIs" dxfId="475" priority="2633" operator="lessThan">
      <formula>0</formula>
    </cfRule>
  </conditionalFormatting>
  <conditionalFormatting sqref="H10:H1048576">
    <cfRule type="cellIs" dxfId="474" priority="2632" operator="lessThan">
      <formula>0</formula>
    </cfRule>
  </conditionalFormatting>
  <conditionalFormatting sqref="H10:H1048576">
    <cfRule type="cellIs" dxfId="473" priority="2631" operator="lessThan">
      <formula>0</formula>
    </cfRule>
  </conditionalFormatting>
  <conditionalFormatting sqref="H10:H1048576">
    <cfRule type="cellIs" dxfId="472" priority="2630" operator="lessThan">
      <formula>0</formula>
    </cfRule>
  </conditionalFormatting>
  <conditionalFormatting sqref="H10:H1048576">
    <cfRule type="cellIs" dxfId="471" priority="2629" operator="lessThan">
      <formula>0</formula>
    </cfRule>
  </conditionalFormatting>
  <conditionalFormatting sqref="H10:H1048576">
    <cfRule type="cellIs" dxfId="470" priority="2628" operator="lessThan">
      <formula>0</formula>
    </cfRule>
  </conditionalFormatting>
  <conditionalFormatting sqref="H10:H1048576">
    <cfRule type="cellIs" dxfId="469" priority="2627" operator="lessThan">
      <formula>0</formula>
    </cfRule>
  </conditionalFormatting>
  <conditionalFormatting sqref="H10:H1048576">
    <cfRule type="cellIs" dxfId="468" priority="2626" operator="lessThan">
      <formula>0</formula>
    </cfRule>
  </conditionalFormatting>
  <conditionalFormatting sqref="H10:H1048576">
    <cfRule type="cellIs" dxfId="467" priority="2625" operator="lessThan">
      <formula>0</formula>
    </cfRule>
  </conditionalFormatting>
  <conditionalFormatting sqref="H10:H1048576">
    <cfRule type="cellIs" dxfId="466" priority="2624" operator="lessThan">
      <formula>0</formula>
    </cfRule>
  </conditionalFormatting>
  <conditionalFormatting sqref="H10:H1048576">
    <cfRule type="cellIs" dxfId="465" priority="2623" operator="lessThan">
      <formula>0</formula>
    </cfRule>
  </conditionalFormatting>
  <conditionalFormatting sqref="H10:H1048576">
    <cfRule type="cellIs" dxfId="464" priority="2622" operator="lessThan">
      <formula>0</formula>
    </cfRule>
  </conditionalFormatting>
  <conditionalFormatting sqref="H10:H1048576">
    <cfRule type="cellIs" dxfId="463" priority="2621" operator="lessThan">
      <formula>0</formula>
    </cfRule>
  </conditionalFormatting>
  <conditionalFormatting sqref="H10:H1048576">
    <cfRule type="cellIs" dxfId="462" priority="2620" operator="lessThan">
      <formula>0</formula>
    </cfRule>
  </conditionalFormatting>
  <conditionalFormatting sqref="H10:H1048576">
    <cfRule type="cellIs" dxfId="461" priority="2619" operator="lessThan">
      <formula>0</formula>
    </cfRule>
  </conditionalFormatting>
  <conditionalFormatting sqref="H10:H1048576">
    <cfRule type="cellIs" dxfId="460" priority="2618" operator="lessThan">
      <formula>0</formula>
    </cfRule>
  </conditionalFormatting>
  <conditionalFormatting sqref="H10:H1048576">
    <cfRule type="cellIs" dxfId="459" priority="2617" operator="lessThan">
      <formula>0</formula>
    </cfRule>
  </conditionalFormatting>
  <conditionalFormatting sqref="H10:H1048576">
    <cfRule type="cellIs" dxfId="458" priority="2616" operator="lessThan">
      <formula>0</formula>
    </cfRule>
  </conditionalFormatting>
  <conditionalFormatting sqref="H10:H1048576">
    <cfRule type="cellIs" dxfId="457" priority="2615" operator="lessThan">
      <formula>0</formula>
    </cfRule>
  </conditionalFormatting>
  <conditionalFormatting sqref="H10:H1048576">
    <cfRule type="cellIs" dxfId="456" priority="2614" operator="lessThan">
      <formula>0</formula>
    </cfRule>
  </conditionalFormatting>
  <conditionalFormatting sqref="H10:H1048576">
    <cfRule type="cellIs" dxfId="455" priority="2613" operator="lessThan">
      <formula>0</formula>
    </cfRule>
  </conditionalFormatting>
  <conditionalFormatting sqref="H10:H1048576">
    <cfRule type="cellIs" dxfId="454" priority="2612" operator="lessThan">
      <formula>0</formula>
    </cfRule>
  </conditionalFormatting>
  <conditionalFormatting sqref="H10:H1048576">
    <cfRule type="cellIs" dxfId="453" priority="2611" operator="lessThan">
      <formula>0</formula>
    </cfRule>
  </conditionalFormatting>
  <conditionalFormatting sqref="H10:H1048576">
    <cfRule type="cellIs" dxfId="452" priority="2610" operator="lessThan">
      <formula>0</formula>
    </cfRule>
  </conditionalFormatting>
  <conditionalFormatting sqref="H10:H1048576">
    <cfRule type="cellIs" dxfId="451" priority="2609" operator="lessThan">
      <formula>0</formula>
    </cfRule>
  </conditionalFormatting>
  <conditionalFormatting sqref="H10:H1048576">
    <cfRule type="cellIs" dxfId="450" priority="2608" operator="lessThan">
      <formula>0</formula>
    </cfRule>
  </conditionalFormatting>
  <conditionalFormatting sqref="H10:H1048576">
    <cfRule type="cellIs" dxfId="449" priority="2607" operator="lessThan">
      <formula>0</formula>
    </cfRule>
  </conditionalFormatting>
  <conditionalFormatting sqref="H10:H1048576">
    <cfRule type="cellIs" dxfId="448" priority="2606" operator="lessThan">
      <formula>0</formula>
    </cfRule>
  </conditionalFormatting>
  <conditionalFormatting sqref="H10:H1048576">
    <cfRule type="cellIs" dxfId="447" priority="2605" operator="lessThan">
      <formula>0</formula>
    </cfRule>
  </conditionalFormatting>
  <conditionalFormatting sqref="H10:H1048576">
    <cfRule type="cellIs" dxfId="446" priority="2604" operator="lessThan">
      <formula>0</formula>
    </cfRule>
  </conditionalFormatting>
  <conditionalFormatting sqref="H10:H1048576">
    <cfRule type="cellIs" dxfId="445" priority="2603" operator="lessThan">
      <formula>0</formula>
    </cfRule>
  </conditionalFormatting>
  <conditionalFormatting sqref="H10:H1048576">
    <cfRule type="cellIs" dxfId="444" priority="2602" operator="lessThan">
      <formula>0</formula>
    </cfRule>
  </conditionalFormatting>
  <conditionalFormatting sqref="H10:H1048576">
    <cfRule type="cellIs" dxfId="443" priority="2601" operator="lessThan">
      <formula>0</formula>
    </cfRule>
  </conditionalFormatting>
  <conditionalFormatting sqref="H10:H1048576">
    <cfRule type="cellIs" dxfId="442" priority="2600" operator="lessThan">
      <formula>0</formula>
    </cfRule>
  </conditionalFormatting>
  <conditionalFormatting sqref="H10:H1048576">
    <cfRule type="cellIs" dxfId="441" priority="2599" operator="lessThan">
      <formula>0</formula>
    </cfRule>
  </conditionalFormatting>
  <conditionalFormatting sqref="H10:H1048576">
    <cfRule type="cellIs" dxfId="440" priority="2598" operator="lessThan">
      <formula>0</formula>
    </cfRule>
  </conditionalFormatting>
  <conditionalFormatting sqref="H10:H1048576">
    <cfRule type="cellIs" dxfId="439" priority="2597" operator="lessThan">
      <formula>0</formula>
    </cfRule>
  </conditionalFormatting>
  <conditionalFormatting sqref="H10:H1048576">
    <cfRule type="cellIs" dxfId="438" priority="2596" operator="lessThan">
      <formula>0</formula>
    </cfRule>
  </conditionalFormatting>
  <conditionalFormatting sqref="H10:H1048576">
    <cfRule type="cellIs" dxfId="437" priority="2595" operator="lessThan">
      <formula>0</formula>
    </cfRule>
  </conditionalFormatting>
  <conditionalFormatting sqref="H10:H1048576">
    <cfRule type="cellIs" dxfId="436" priority="2594" operator="lessThan">
      <formula>0</formula>
    </cfRule>
  </conditionalFormatting>
  <conditionalFormatting sqref="H10:H1048576">
    <cfRule type="cellIs" dxfId="435" priority="2593" operator="lessThan">
      <formula>0</formula>
    </cfRule>
  </conditionalFormatting>
  <conditionalFormatting sqref="H10:H1048576">
    <cfRule type="cellIs" dxfId="434" priority="2592" operator="lessThan">
      <formula>0</formula>
    </cfRule>
  </conditionalFormatting>
  <conditionalFormatting sqref="H10:H1048576">
    <cfRule type="cellIs" dxfId="433" priority="2591" operator="lessThan">
      <formula>0</formula>
    </cfRule>
  </conditionalFormatting>
  <conditionalFormatting sqref="H10:H1048576">
    <cfRule type="cellIs" dxfId="432" priority="2590" operator="lessThan">
      <formula>0</formula>
    </cfRule>
  </conditionalFormatting>
  <conditionalFormatting sqref="H10:H1048576">
    <cfRule type="cellIs" dxfId="431" priority="2589" operator="lessThan">
      <formula>0</formula>
    </cfRule>
  </conditionalFormatting>
  <conditionalFormatting sqref="H10:H1048576">
    <cfRule type="cellIs" dxfId="430" priority="2588" operator="lessThan">
      <formula>0</formula>
    </cfRule>
  </conditionalFormatting>
  <conditionalFormatting sqref="H10:H1048576">
    <cfRule type="cellIs" dxfId="429" priority="2587" operator="lessThan">
      <formula>0</formula>
    </cfRule>
  </conditionalFormatting>
  <conditionalFormatting sqref="H10:H1048576">
    <cfRule type="cellIs" dxfId="428" priority="2586" operator="lessThan">
      <formula>0</formula>
    </cfRule>
  </conditionalFormatting>
  <conditionalFormatting sqref="H10:H1048576">
    <cfRule type="cellIs" dxfId="427" priority="2585" operator="lessThan">
      <formula>0</formula>
    </cfRule>
  </conditionalFormatting>
  <conditionalFormatting sqref="H10:H1048576">
    <cfRule type="cellIs" dxfId="426" priority="2584" operator="lessThan">
      <formula>0</formula>
    </cfRule>
  </conditionalFormatting>
  <conditionalFormatting sqref="H10:H1048576">
    <cfRule type="cellIs" dxfId="425" priority="2583" operator="lessThan">
      <formula>0</formula>
    </cfRule>
  </conditionalFormatting>
  <conditionalFormatting sqref="H10:H1048576">
    <cfRule type="cellIs" dxfId="424" priority="2582" operator="lessThan">
      <formula>0</formula>
    </cfRule>
  </conditionalFormatting>
  <conditionalFormatting sqref="H10:H1048576">
    <cfRule type="cellIs" dxfId="423" priority="2581" operator="lessThan">
      <formula>0</formula>
    </cfRule>
  </conditionalFormatting>
  <conditionalFormatting sqref="H10:H1048576">
    <cfRule type="cellIs" dxfId="422" priority="2580" operator="lessThan">
      <formula>0</formula>
    </cfRule>
  </conditionalFormatting>
  <conditionalFormatting sqref="H10:H1048576">
    <cfRule type="cellIs" dxfId="421" priority="2579" operator="lessThan">
      <formula>0</formula>
    </cfRule>
  </conditionalFormatting>
  <conditionalFormatting sqref="H10:H1048576">
    <cfRule type="cellIs" dxfId="420" priority="2578" operator="lessThan">
      <formula>0</formula>
    </cfRule>
  </conditionalFormatting>
  <conditionalFormatting sqref="H10:H1048576">
    <cfRule type="cellIs" dxfId="419" priority="2577" operator="lessThan">
      <formula>0</formula>
    </cfRule>
  </conditionalFormatting>
  <conditionalFormatting sqref="H10:H1048576">
    <cfRule type="cellIs" dxfId="418" priority="2576" operator="lessThan">
      <formula>0</formula>
    </cfRule>
  </conditionalFormatting>
  <conditionalFormatting sqref="H10:H1048576">
    <cfRule type="cellIs" dxfId="417" priority="2575" operator="lessThan">
      <formula>0</formula>
    </cfRule>
  </conditionalFormatting>
  <conditionalFormatting sqref="H10:H1048576">
    <cfRule type="cellIs" dxfId="416" priority="2574" operator="lessThan">
      <formula>0</formula>
    </cfRule>
  </conditionalFormatting>
  <conditionalFormatting sqref="H10:H1048576">
    <cfRule type="cellIs" dxfId="415" priority="2573" operator="lessThan">
      <formula>0</formula>
    </cfRule>
  </conditionalFormatting>
  <conditionalFormatting sqref="H10:H1048576">
    <cfRule type="cellIs" dxfId="414" priority="2572" operator="lessThan">
      <formula>0</formula>
    </cfRule>
  </conditionalFormatting>
  <conditionalFormatting sqref="H10:H1048576">
    <cfRule type="cellIs" dxfId="413" priority="2571" operator="lessThan">
      <formula>0</formula>
    </cfRule>
  </conditionalFormatting>
  <conditionalFormatting sqref="H10:H1048576">
    <cfRule type="cellIs" dxfId="412" priority="2570" operator="lessThan">
      <formula>0</formula>
    </cfRule>
  </conditionalFormatting>
  <conditionalFormatting sqref="H10:H1048576">
    <cfRule type="cellIs" dxfId="411" priority="2569" operator="lessThan">
      <formula>0</formula>
    </cfRule>
  </conditionalFormatting>
  <conditionalFormatting sqref="H10:H1048576">
    <cfRule type="cellIs" dxfId="410" priority="2568" operator="lessThan">
      <formula>0</formula>
    </cfRule>
  </conditionalFormatting>
  <conditionalFormatting sqref="H10:H1048576">
    <cfRule type="cellIs" dxfId="409" priority="2567" operator="lessThan">
      <formula>0</formula>
    </cfRule>
  </conditionalFormatting>
  <conditionalFormatting sqref="H10:H1048576">
    <cfRule type="cellIs" dxfId="408" priority="2566" operator="lessThan">
      <formula>0</formula>
    </cfRule>
  </conditionalFormatting>
  <conditionalFormatting sqref="H10:H1048576">
    <cfRule type="cellIs" dxfId="407" priority="2565" operator="lessThan">
      <formula>0</formula>
    </cfRule>
  </conditionalFormatting>
  <conditionalFormatting sqref="H10:H1048576">
    <cfRule type="cellIs" dxfId="406" priority="2564" operator="lessThan">
      <formula>0</formula>
    </cfRule>
  </conditionalFormatting>
  <conditionalFormatting sqref="H10:H1048576">
    <cfRule type="cellIs" dxfId="405" priority="2563" operator="lessThan">
      <formula>0</formula>
    </cfRule>
  </conditionalFormatting>
  <conditionalFormatting sqref="H10:H1048576">
    <cfRule type="cellIs" dxfId="404" priority="2562" operator="lessThan">
      <formula>0</formula>
    </cfRule>
  </conditionalFormatting>
  <conditionalFormatting sqref="H10:H1048576">
    <cfRule type="cellIs" dxfId="403" priority="2561" operator="lessThan">
      <formula>0</formula>
    </cfRule>
  </conditionalFormatting>
  <conditionalFormatting sqref="H10:H1048576">
    <cfRule type="cellIs" dxfId="402" priority="2560" operator="lessThan">
      <formula>0</formula>
    </cfRule>
  </conditionalFormatting>
  <conditionalFormatting sqref="H10:H1048576">
    <cfRule type="cellIs" dxfId="401" priority="2559" operator="lessThan">
      <formula>0</formula>
    </cfRule>
  </conditionalFormatting>
  <conditionalFormatting sqref="H10:H1048576">
    <cfRule type="cellIs" dxfId="400" priority="2558" operator="lessThan">
      <formula>0</formula>
    </cfRule>
  </conditionalFormatting>
  <conditionalFormatting sqref="H10:H1048576">
    <cfRule type="cellIs" dxfId="399" priority="2557" operator="lessThan">
      <formula>0</formula>
    </cfRule>
  </conditionalFormatting>
  <conditionalFormatting sqref="H10:H1048576">
    <cfRule type="cellIs" dxfId="398" priority="2556" operator="lessThan">
      <formula>0</formula>
    </cfRule>
  </conditionalFormatting>
  <conditionalFormatting sqref="H10:H1048576">
    <cfRule type="cellIs" dxfId="397" priority="2555" operator="lessThan">
      <formula>0</formula>
    </cfRule>
  </conditionalFormatting>
  <conditionalFormatting sqref="H10:H1048576">
    <cfRule type="cellIs" dxfId="396" priority="2554" operator="lessThan">
      <formula>0</formula>
    </cfRule>
  </conditionalFormatting>
  <conditionalFormatting sqref="H10:H1048576">
    <cfRule type="cellIs" dxfId="395" priority="2553" operator="lessThan">
      <formula>0</formula>
    </cfRule>
  </conditionalFormatting>
  <conditionalFormatting sqref="H10:H1048576">
    <cfRule type="cellIs" dxfId="394" priority="2552" operator="lessThan">
      <formula>0</formula>
    </cfRule>
  </conditionalFormatting>
  <conditionalFormatting sqref="H10:H1048576">
    <cfRule type="cellIs" dxfId="393" priority="2551" operator="lessThan">
      <formula>0</formula>
    </cfRule>
  </conditionalFormatting>
  <conditionalFormatting sqref="H10:H1048576">
    <cfRule type="cellIs" dxfId="392" priority="2550" operator="lessThan">
      <formula>0</formula>
    </cfRule>
  </conditionalFormatting>
  <conditionalFormatting sqref="H10:H1048576">
    <cfRule type="cellIs" dxfId="391" priority="2549" operator="lessThan">
      <formula>0</formula>
    </cfRule>
  </conditionalFormatting>
  <conditionalFormatting sqref="H10:H1048576">
    <cfRule type="cellIs" dxfId="390" priority="2548" operator="lessThan">
      <formula>0</formula>
    </cfRule>
  </conditionalFormatting>
  <conditionalFormatting sqref="H10:H1048576">
    <cfRule type="cellIs" dxfId="389" priority="2547" operator="lessThan">
      <formula>0</formula>
    </cfRule>
  </conditionalFormatting>
  <conditionalFormatting sqref="H10:H1048576">
    <cfRule type="cellIs" dxfId="388" priority="2546" operator="lessThan">
      <formula>0</formula>
    </cfRule>
  </conditionalFormatting>
  <conditionalFormatting sqref="H10:H1048576">
    <cfRule type="cellIs" dxfId="387" priority="2545" operator="lessThan">
      <formula>0</formula>
    </cfRule>
  </conditionalFormatting>
  <conditionalFormatting sqref="H10:H1048576">
    <cfRule type="cellIs" dxfId="386" priority="2544" operator="lessThan">
      <formula>0</formula>
    </cfRule>
  </conditionalFormatting>
  <conditionalFormatting sqref="H10:H1048576">
    <cfRule type="cellIs" dxfId="385" priority="2543" operator="lessThan">
      <formula>0</formula>
    </cfRule>
  </conditionalFormatting>
  <conditionalFormatting sqref="H10:H1048576">
    <cfRule type="cellIs" dxfId="384" priority="2542" operator="lessThan">
      <formula>0</formula>
    </cfRule>
  </conditionalFormatting>
  <conditionalFormatting sqref="H10:H1048576">
    <cfRule type="cellIs" dxfId="383" priority="2541" operator="lessThan">
      <formula>0</formula>
    </cfRule>
  </conditionalFormatting>
  <conditionalFormatting sqref="H10:H1048576">
    <cfRule type="cellIs" dxfId="382" priority="2540" operator="lessThan">
      <formula>0</formula>
    </cfRule>
  </conditionalFormatting>
  <conditionalFormatting sqref="H10:H1048576">
    <cfRule type="cellIs" dxfId="381" priority="2539" operator="lessThan">
      <formula>0</formula>
    </cfRule>
  </conditionalFormatting>
  <conditionalFormatting sqref="H10:H1048576">
    <cfRule type="cellIs" dxfId="380" priority="2538" operator="lessThan">
      <formula>0</formula>
    </cfRule>
  </conditionalFormatting>
  <conditionalFormatting sqref="H10:H1048576">
    <cfRule type="cellIs" dxfId="379" priority="2537" operator="lessThan">
      <formula>0</formula>
    </cfRule>
  </conditionalFormatting>
  <conditionalFormatting sqref="H10:H1048576">
    <cfRule type="cellIs" dxfId="378" priority="2536" operator="lessThan">
      <formula>0</formula>
    </cfRule>
  </conditionalFormatting>
  <conditionalFormatting sqref="H10:H1048576">
    <cfRule type="cellIs" dxfId="377" priority="2535" operator="lessThan">
      <formula>0</formula>
    </cfRule>
  </conditionalFormatting>
  <conditionalFormatting sqref="H10:H1048576">
    <cfRule type="cellIs" dxfId="376" priority="2534" operator="lessThan">
      <formula>0</formula>
    </cfRule>
  </conditionalFormatting>
  <conditionalFormatting sqref="H10:H1048576">
    <cfRule type="cellIs" dxfId="375" priority="2533" operator="lessThan">
      <formula>0</formula>
    </cfRule>
  </conditionalFormatting>
  <conditionalFormatting sqref="H10:H1048576">
    <cfRule type="cellIs" dxfId="374" priority="2532" operator="lessThan">
      <formula>0</formula>
    </cfRule>
  </conditionalFormatting>
  <conditionalFormatting sqref="H10:H1048576">
    <cfRule type="cellIs" dxfId="373" priority="2531" operator="lessThan">
      <formula>0</formula>
    </cfRule>
  </conditionalFormatting>
  <conditionalFormatting sqref="H10:H1048576">
    <cfRule type="cellIs" dxfId="372" priority="2530" operator="lessThan">
      <formula>0</formula>
    </cfRule>
  </conditionalFormatting>
  <conditionalFormatting sqref="H10:H1048576">
    <cfRule type="cellIs" dxfId="371" priority="2529" operator="lessThan">
      <formula>0</formula>
    </cfRule>
  </conditionalFormatting>
  <conditionalFormatting sqref="H10:H1048576">
    <cfRule type="cellIs" dxfId="370" priority="2528" operator="lessThan">
      <formula>0</formula>
    </cfRule>
  </conditionalFormatting>
  <conditionalFormatting sqref="H10:H1048576">
    <cfRule type="cellIs" dxfId="369" priority="2527" operator="lessThan">
      <formula>0</formula>
    </cfRule>
  </conditionalFormatting>
  <conditionalFormatting sqref="H10:H1048576">
    <cfRule type="cellIs" dxfId="368" priority="2526" operator="lessThan">
      <formula>0</formula>
    </cfRule>
  </conditionalFormatting>
  <conditionalFormatting sqref="H10:H1048576">
    <cfRule type="cellIs" dxfId="367" priority="2525" operator="lessThan">
      <formula>0</formula>
    </cfRule>
  </conditionalFormatting>
  <conditionalFormatting sqref="H10:H1048576">
    <cfRule type="cellIs" dxfId="366" priority="2524" operator="lessThan">
      <formula>0</formula>
    </cfRule>
  </conditionalFormatting>
  <conditionalFormatting sqref="H10:H1048576">
    <cfRule type="cellIs" dxfId="365" priority="2523" operator="lessThan">
      <formula>0</formula>
    </cfRule>
  </conditionalFormatting>
  <conditionalFormatting sqref="H10:H1048576">
    <cfRule type="cellIs" dxfId="364" priority="2522" operator="lessThan">
      <formula>0</formula>
    </cfRule>
  </conditionalFormatting>
  <conditionalFormatting sqref="H10:H1048576">
    <cfRule type="cellIs" dxfId="363" priority="2521" operator="lessThan">
      <formula>0</formula>
    </cfRule>
  </conditionalFormatting>
  <conditionalFormatting sqref="H10:H1048576">
    <cfRule type="cellIs" dxfId="362" priority="2520" operator="lessThan">
      <formula>0</formula>
    </cfRule>
  </conditionalFormatting>
  <conditionalFormatting sqref="H10:H1048576">
    <cfRule type="cellIs" dxfId="361" priority="2519" operator="lessThan">
      <formula>0</formula>
    </cfRule>
  </conditionalFormatting>
  <conditionalFormatting sqref="H10:H1048576">
    <cfRule type="cellIs" dxfId="360" priority="2518" operator="lessThan">
      <formula>0</formula>
    </cfRule>
  </conditionalFormatting>
  <conditionalFormatting sqref="H10:H1048576">
    <cfRule type="cellIs" dxfId="359" priority="2517" operator="lessThan">
      <formula>0</formula>
    </cfRule>
  </conditionalFormatting>
  <conditionalFormatting sqref="H10:H1048576">
    <cfRule type="cellIs" dxfId="358" priority="2516" operator="lessThan">
      <formula>0</formula>
    </cfRule>
  </conditionalFormatting>
  <conditionalFormatting sqref="H10:H1048576">
    <cfRule type="cellIs" dxfId="357" priority="2515" operator="lessThan">
      <formula>0</formula>
    </cfRule>
  </conditionalFormatting>
  <conditionalFormatting sqref="H10:H1048576">
    <cfRule type="cellIs" dxfId="356" priority="2514" operator="lessThan">
      <formula>0</formula>
    </cfRule>
  </conditionalFormatting>
  <conditionalFormatting sqref="H10:H1048576">
    <cfRule type="cellIs" dxfId="355" priority="2513" operator="lessThan">
      <formula>0</formula>
    </cfRule>
  </conditionalFormatting>
  <conditionalFormatting sqref="H10:H1048576">
    <cfRule type="cellIs" dxfId="354" priority="2512" operator="lessThan">
      <formula>0</formula>
    </cfRule>
  </conditionalFormatting>
  <conditionalFormatting sqref="H10:H1048576">
    <cfRule type="cellIs" dxfId="353" priority="2511" operator="lessThan">
      <formula>0</formula>
    </cfRule>
  </conditionalFormatting>
  <conditionalFormatting sqref="H10:H1048576">
    <cfRule type="cellIs" dxfId="352" priority="2510" operator="lessThan">
      <formula>0</formula>
    </cfRule>
  </conditionalFormatting>
  <conditionalFormatting sqref="H10:H1048576">
    <cfRule type="cellIs" dxfId="351" priority="2509" operator="lessThan">
      <formula>0</formula>
    </cfRule>
  </conditionalFormatting>
  <conditionalFormatting sqref="H10:H1048576">
    <cfRule type="cellIs" dxfId="350" priority="2508" operator="lessThan">
      <formula>0</formula>
    </cfRule>
  </conditionalFormatting>
  <conditionalFormatting sqref="H10:H1048576">
    <cfRule type="cellIs" dxfId="349" priority="2507" operator="lessThan">
      <formula>0</formula>
    </cfRule>
  </conditionalFormatting>
  <conditionalFormatting sqref="H10:H1048576">
    <cfRule type="cellIs" dxfId="348" priority="2506" operator="lessThan">
      <formula>0</formula>
    </cfRule>
  </conditionalFormatting>
  <conditionalFormatting sqref="H10:H1048576">
    <cfRule type="cellIs" dxfId="347" priority="2505" operator="lessThan">
      <formula>0</formula>
    </cfRule>
  </conditionalFormatting>
  <conditionalFormatting sqref="H10:H1048576">
    <cfRule type="cellIs" dxfId="346" priority="2504" operator="lessThan">
      <formula>0</formula>
    </cfRule>
  </conditionalFormatting>
  <conditionalFormatting sqref="H10:H1048576">
    <cfRule type="cellIs" dxfId="345" priority="2503" operator="lessThan">
      <formula>0</formula>
    </cfRule>
  </conditionalFormatting>
  <conditionalFormatting sqref="H10:H1048576">
    <cfRule type="cellIs" dxfId="344" priority="2502" operator="lessThan">
      <formula>0</formula>
    </cfRule>
  </conditionalFormatting>
  <conditionalFormatting sqref="H10:H1048576">
    <cfRule type="cellIs" dxfId="343" priority="2501" operator="lessThan">
      <formula>0</formula>
    </cfRule>
  </conditionalFormatting>
  <conditionalFormatting sqref="H10:H1048576">
    <cfRule type="cellIs" dxfId="342" priority="2500" operator="lessThan">
      <formula>0</formula>
    </cfRule>
  </conditionalFormatting>
  <conditionalFormatting sqref="H10:H1048576">
    <cfRule type="cellIs" dxfId="341" priority="2499" operator="lessThan">
      <formula>0</formula>
    </cfRule>
  </conditionalFormatting>
  <conditionalFormatting sqref="H10:H1048576">
    <cfRule type="cellIs" dxfId="340" priority="2498" operator="lessThan">
      <formula>0</formula>
    </cfRule>
  </conditionalFormatting>
  <conditionalFormatting sqref="H10:H1048576">
    <cfRule type="cellIs" dxfId="339" priority="2497" operator="lessThan">
      <formula>0</formula>
    </cfRule>
  </conditionalFormatting>
  <conditionalFormatting sqref="H10:H1048576">
    <cfRule type="cellIs" dxfId="338" priority="2496" operator="lessThan">
      <formula>0</formula>
    </cfRule>
  </conditionalFormatting>
  <conditionalFormatting sqref="H10:H1048576">
    <cfRule type="cellIs" dxfId="337" priority="2495" operator="lessThan">
      <formula>0</formula>
    </cfRule>
  </conditionalFormatting>
  <conditionalFormatting sqref="H10:H1048576">
    <cfRule type="cellIs" dxfId="336" priority="2494" operator="lessThan">
      <formula>0</formula>
    </cfRule>
  </conditionalFormatting>
  <conditionalFormatting sqref="H10:H1048576">
    <cfRule type="cellIs" dxfId="335" priority="2493" operator="lessThan">
      <formula>0</formula>
    </cfRule>
  </conditionalFormatting>
  <conditionalFormatting sqref="H10:H1048576">
    <cfRule type="cellIs" dxfId="334" priority="2492" operator="lessThan">
      <formula>0</formula>
    </cfRule>
  </conditionalFormatting>
  <conditionalFormatting sqref="H10:H1048576">
    <cfRule type="cellIs" dxfId="333" priority="2491" operator="lessThan">
      <formula>0</formula>
    </cfRule>
  </conditionalFormatting>
  <conditionalFormatting sqref="H10:H1048576">
    <cfRule type="cellIs" dxfId="332" priority="2490" operator="lessThan">
      <formula>0</formula>
    </cfRule>
  </conditionalFormatting>
  <conditionalFormatting sqref="H10:H1048576">
    <cfRule type="cellIs" dxfId="331" priority="2489" operator="lessThan">
      <formula>0</formula>
    </cfRule>
  </conditionalFormatting>
  <conditionalFormatting sqref="H10:H1048576">
    <cfRule type="cellIs" dxfId="330" priority="2488" operator="lessThan">
      <formula>0</formula>
    </cfRule>
  </conditionalFormatting>
  <conditionalFormatting sqref="H10:H1048576">
    <cfRule type="cellIs" dxfId="329" priority="2487" operator="lessThan">
      <formula>0</formula>
    </cfRule>
  </conditionalFormatting>
  <conditionalFormatting sqref="H10:H1048576">
    <cfRule type="cellIs" dxfId="328" priority="2486" operator="lessThan">
      <formula>0</formula>
    </cfRule>
  </conditionalFormatting>
  <conditionalFormatting sqref="H10:H1048576">
    <cfRule type="cellIs" dxfId="327" priority="2485" operator="lessThan">
      <formula>0</formula>
    </cfRule>
  </conditionalFormatting>
  <conditionalFormatting sqref="H10:H1048576">
    <cfRule type="cellIs" dxfId="326" priority="2484" operator="lessThan">
      <formula>0</formula>
    </cfRule>
  </conditionalFormatting>
  <conditionalFormatting sqref="H10:H1048576">
    <cfRule type="cellIs" dxfId="325" priority="2483" operator="lessThan">
      <formula>0</formula>
    </cfRule>
  </conditionalFormatting>
  <conditionalFormatting sqref="H10:H1048576">
    <cfRule type="cellIs" dxfId="324" priority="2482" operator="lessThan">
      <formula>0</formula>
    </cfRule>
  </conditionalFormatting>
  <conditionalFormatting sqref="H10:H1048576">
    <cfRule type="cellIs" dxfId="323" priority="2481" operator="lessThan">
      <formula>0</formula>
    </cfRule>
  </conditionalFormatting>
  <conditionalFormatting sqref="H10:H1048576">
    <cfRule type="cellIs" dxfId="322" priority="2480" operator="lessThan">
      <formula>0</formula>
    </cfRule>
  </conditionalFormatting>
  <conditionalFormatting sqref="H10:H1048576">
    <cfRule type="cellIs" dxfId="321" priority="2479" operator="lessThan">
      <formula>0</formula>
    </cfRule>
  </conditionalFormatting>
  <conditionalFormatting sqref="H10:H1048576">
    <cfRule type="cellIs" dxfId="320" priority="2478" operator="lessThan">
      <formula>0</formula>
    </cfRule>
  </conditionalFormatting>
  <conditionalFormatting sqref="H10:H1048576">
    <cfRule type="cellIs" dxfId="319" priority="2477" operator="lessThan">
      <formula>0</formula>
    </cfRule>
  </conditionalFormatting>
  <conditionalFormatting sqref="H10:H1048576">
    <cfRule type="cellIs" dxfId="318" priority="2476" operator="lessThan">
      <formula>0</formula>
    </cfRule>
  </conditionalFormatting>
  <conditionalFormatting sqref="H10:H1048576">
    <cfRule type="cellIs" dxfId="317" priority="2475" operator="lessThan">
      <formula>0</formula>
    </cfRule>
  </conditionalFormatting>
  <conditionalFormatting sqref="H10:H1048576">
    <cfRule type="cellIs" dxfId="316" priority="2474" operator="lessThan">
      <formula>0</formula>
    </cfRule>
  </conditionalFormatting>
  <conditionalFormatting sqref="H10:H1048576">
    <cfRule type="cellIs" dxfId="315" priority="2473" operator="lessThan">
      <formula>0</formula>
    </cfRule>
  </conditionalFormatting>
  <conditionalFormatting sqref="H10:H1048576">
    <cfRule type="cellIs" dxfId="314" priority="2472" operator="lessThan">
      <formula>0</formula>
    </cfRule>
  </conditionalFormatting>
  <conditionalFormatting sqref="H10:H1048576">
    <cfRule type="cellIs" dxfId="313" priority="2471" operator="lessThan">
      <formula>0</formula>
    </cfRule>
  </conditionalFormatting>
  <conditionalFormatting sqref="H10:H1048576">
    <cfRule type="cellIs" dxfId="312" priority="2470" operator="lessThan">
      <formula>0</formula>
    </cfRule>
  </conditionalFormatting>
  <conditionalFormatting sqref="H10:H1048576">
    <cfRule type="cellIs" dxfId="311" priority="2469" operator="lessThan">
      <formula>0</formula>
    </cfRule>
  </conditionalFormatting>
  <conditionalFormatting sqref="H10:H1048576">
    <cfRule type="cellIs" dxfId="310" priority="2468" operator="lessThan">
      <formula>0</formula>
    </cfRule>
  </conditionalFormatting>
  <conditionalFormatting sqref="H10:H1048576">
    <cfRule type="cellIs" dxfId="309" priority="2467" operator="lessThan">
      <formula>0</formula>
    </cfRule>
  </conditionalFormatting>
  <conditionalFormatting sqref="H10:H1048576">
    <cfRule type="cellIs" dxfId="308" priority="2466" operator="lessThan">
      <formula>0</formula>
    </cfRule>
  </conditionalFormatting>
  <conditionalFormatting sqref="H10:H1048576">
    <cfRule type="cellIs" dxfId="307" priority="2465" operator="lessThan">
      <formula>0</formula>
    </cfRule>
  </conditionalFormatting>
  <conditionalFormatting sqref="H10:H1048576">
    <cfRule type="cellIs" dxfId="306" priority="2464" operator="lessThan">
      <formula>0</formula>
    </cfRule>
  </conditionalFormatting>
  <conditionalFormatting sqref="H10:H1048576">
    <cfRule type="cellIs" dxfId="305" priority="2463" operator="lessThan">
      <formula>0</formula>
    </cfRule>
  </conditionalFormatting>
  <conditionalFormatting sqref="H10:H1048576">
    <cfRule type="cellIs" dxfId="304" priority="2462" operator="lessThan">
      <formula>0</formula>
    </cfRule>
  </conditionalFormatting>
  <conditionalFormatting sqref="H10:H1048576">
    <cfRule type="cellIs" dxfId="303" priority="2461" operator="lessThan">
      <formula>0</formula>
    </cfRule>
  </conditionalFormatting>
  <conditionalFormatting sqref="H10:H1048576">
    <cfRule type="cellIs" dxfId="302" priority="2460" operator="lessThan">
      <formula>0</formula>
    </cfRule>
  </conditionalFormatting>
  <conditionalFormatting sqref="H10:H1048576">
    <cfRule type="cellIs" dxfId="301" priority="2459" operator="lessThan">
      <formula>0</formula>
    </cfRule>
  </conditionalFormatting>
  <conditionalFormatting sqref="H10:H1048576">
    <cfRule type="cellIs" dxfId="300" priority="2458" operator="lessThan">
      <formula>0</formula>
    </cfRule>
  </conditionalFormatting>
  <conditionalFormatting sqref="H10:H1048576">
    <cfRule type="cellIs" dxfId="299" priority="2457" operator="lessThan">
      <formula>0</formula>
    </cfRule>
  </conditionalFormatting>
  <conditionalFormatting sqref="H10:H1048576">
    <cfRule type="cellIs" dxfId="298" priority="2456" operator="lessThan">
      <formula>0</formula>
    </cfRule>
  </conditionalFormatting>
  <conditionalFormatting sqref="H10:H1048576">
    <cfRule type="cellIs" dxfId="297" priority="2455" operator="lessThan">
      <formula>0</formula>
    </cfRule>
  </conditionalFormatting>
  <conditionalFormatting sqref="H10:H1048576">
    <cfRule type="cellIs" dxfId="296" priority="2454" operator="lessThan">
      <formula>0</formula>
    </cfRule>
  </conditionalFormatting>
  <conditionalFormatting sqref="H10:H1048576">
    <cfRule type="cellIs" dxfId="295" priority="2453" operator="lessThan">
      <formula>0</formula>
    </cfRule>
  </conditionalFormatting>
  <conditionalFormatting sqref="H10:H1048576">
    <cfRule type="cellIs" dxfId="294" priority="2452" operator="lessThan">
      <formula>0</formula>
    </cfRule>
  </conditionalFormatting>
  <conditionalFormatting sqref="H10:H1048576">
    <cfRule type="cellIs" dxfId="293" priority="2451" operator="lessThan">
      <formula>0</formula>
    </cfRule>
  </conditionalFormatting>
  <conditionalFormatting sqref="H10:H1048576">
    <cfRule type="cellIs" dxfId="292" priority="2450" operator="lessThan">
      <formula>0</formula>
    </cfRule>
  </conditionalFormatting>
  <conditionalFormatting sqref="H10:H1048576">
    <cfRule type="cellIs" dxfId="291" priority="2449" operator="lessThan">
      <formula>0</formula>
    </cfRule>
  </conditionalFormatting>
  <conditionalFormatting sqref="H10:H1048576">
    <cfRule type="cellIs" dxfId="290" priority="2448" operator="lessThan">
      <formula>0</formula>
    </cfRule>
  </conditionalFormatting>
  <conditionalFormatting sqref="H10:H1048576">
    <cfRule type="cellIs" dxfId="289" priority="2447" operator="lessThan">
      <formula>0</formula>
    </cfRule>
  </conditionalFormatting>
  <conditionalFormatting sqref="H10:H1048576">
    <cfRule type="cellIs" dxfId="288" priority="2446" operator="lessThan">
      <formula>0</formula>
    </cfRule>
  </conditionalFormatting>
  <conditionalFormatting sqref="H10:H1048576">
    <cfRule type="cellIs" dxfId="287" priority="2445" operator="lessThan">
      <formula>0</formula>
    </cfRule>
  </conditionalFormatting>
  <conditionalFormatting sqref="H10:H1048576">
    <cfRule type="cellIs" dxfId="286" priority="2444" operator="lessThan">
      <formula>0</formula>
    </cfRule>
  </conditionalFormatting>
  <conditionalFormatting sqref="H10:H1048576">
    <cfRule type="cellIs" dxfId="285" priority="2443" operator="lessThan">
      <formula>0</formula>
    </cfRule>
  </conditionalFormatting>
  <conditionalFormatting sqref="H10:H1048576">
    <cfRule type="cellIs" dxfId="284" priority="2442" operator="lessThan">
      <formula>0</formula>
    </cfRule>
  </conditionalFormatting>
  <conditionalFormatting sqref="H10:H1048576">
    <cfRule type="cellIs" dxfId="283" priority="2441" operator="lessThan">
      <formula>0</formula>
    </cfRule>
  </conditionalFormatting>
  <conditionalFormatting sqref="H10:H1048576">
    <cfRule type="cellIs" dxfId="282" priority="2440" operator="lessThan">
      <formula>0</formula>
    </cfRule>
  </conditionalFormatting>
  <conditionalFormatting sqref="H10:H1048576">
    <cfRule type="cellIs" dxfId="281" priority="2439" operator="lessThan">
      <formula>0</formula>
    </cfRule>
  </conditionalFormatting>
  <conditionalFormatting sqref="H10:H1048576">
    <cfRule type="cellIs" dxfId="280" priority="2438" operator="lessThan">
      <formula>0</formula>
    </cfRule>
  </conditionalFormatting>
  <conditionalFormatting sqref="H10:H1048576">
    <cfRule type="cellIs" dxfId="279" priority="2437" operator="lessThan">
      <formula>0</formula>
    </cfRule>
  </conditionalFormatting>
  <conditionalFormatting sqref="H10:H1048576">
    <cfRule type="cellIs" dxfId="278" priority="2436" operator="lessThan">
      <formula>0</formula>
    </cfRule>
  </conditionalFormatting>
  <conditionalFormatting sqref="H10:H1048576">
    <cfRule type="cellIs" dxfId="277" priority="2435" operator="lessThan">
      <formula>0</formula>
    </cfRule>
  </conditionalFormatting>
  <conditionalFormatting sqref="H10:H1048576">
    <cfRule type="cellIs" dxfId="276" priority="2434" operator="lessThan">
      <formula>0</formula>
    </cfRule>
  </conditionalFormatting>
  <conditionalFormatting sqref="H10:H1048576">
    <cfRule type="cellIs" dxfId="275" priority="2433" operator="lessThan">
      <formula>0</formula>
    </cfRule>
  </conditionalFormatting>
  <conditionalFormatting sqref="H10:H1048576">
    <cfRule type="cellIs" dxfId="274" priority="2432" operator="lessThan">
      <formula>0</formula>
    </cfRule>
  </conditionalFormatting>
  <conditionalFormatting sqref="H10:H1048576">
    <cfRule type="cellIs" dxfId="273" priority="2431" operator="lessThan">
      <formula>0</formula>
    </cfRule>
  </conditionalFormatting>
  <conditionalFormatting sqref="H10:H1048576">
    <cfRule type="cellIs" dxfId="272" priority="2430" operator="lessThan">
      <formula>0</formula>
    </cfRule>
  </conditionalFormatting>
  <conditionalFormatting sqref="H10:H1048576">
    <cfRule type="cellIs" dxfId="271" priority="2429" operator="lessThan">
      <formula>0</formula>
    </cfRule>
  </conditionalFormatting>
  <conditionalFormatting sqref="H10:H1048576">
    <cfRule type="cellIs" dxfId="270" priority="2428" operator="lessThan">
      <formula>0</formula>
    </cfRule>
  </conditionalFormatting>
  <conditionalFormatting sqref="H10:H1048576">
    <cfRule type="cellIs" dxfId="269" priority="2427" operator="lessThan">
      <formula>0</formula>
    </cfRule>
  </conditionalFormatting>
  <conditionalFormatting sqref="H10:H1048576">
    <cfRule type="cellIs" dxfId="268" priority="2426" operator="lessThan">
      <formula>0</formula>
    </cfRule>
  </conditionalFormatting>
  <conditionalFormatting sqref="H10:H1048576">
    <cfRule type="cellIs" dxfId="267" priority="2425" operator="lessThan">
      <formula>0</formula>
    </cfRule>
  </conditionalFormatting>
  <conditionalFormatting sqref="H10:H1048576">
    <cfRule type="cellIs" dxfId="266" priority="2424" operator="lessThan">
      <formula>0</formula>
    </cfRule>
  </conditionalFormatting>
  <conditionalFormatting sqref="H10:H1048576">
    <cfRule type="cellIs" dxfId="265" priority="2423" operator="lessThan">
      <formula>0</formula>
    </cfRule>
  </conditionalFormatting>
  <conditionalFormatting sqref="H10:H1048576">
    <cfRule type="cellIs" dxfId="264" priority="2422" operator="lessThan">
      <formula>0</formula>
    </cfRule>
  </conditionalFormatting>
  <conditionalFormatting sqref="H10:H1048576">
    <cfRule type="cellIs" dxfId="263" priority="2421" operator="lessThan">
      <formula>0</formula>
    </cfRule>
  </conditionalFormatting>
  <conditionalFormatting sqref="H10:H1048576">
    <cfRule type="cellIs" dxfId="262" priority="2420" operator="lessThan">
      <formula>0</formula>
    </cfRule>
  </conditionalFormatting>
  <conditionalFormatting sqref="H10:H1048576">
    <cfRule type="cellIs" dxfId="261" priority="2419" operator="lessThan">
      <formula>0</formula>
    </cfRule>
  </conditionalFormatting>
  <conditionalFormatting sqref="H10:H1048576">
    <cfRule type="cellIs" dxfId="260" priority="2418" operator="lessThan">
      <formula>0</formula>
    </cfRule>
  </conditionalFormatting>
  <conditionalFormatting sqref="H10:H1048576">
    <cfRule type="cellIs" dxfId="259" priority="2417" operator="lessThan">
      <formula>0</formula>
    </cfRule>
  </conditionalFormatting>
  <conditionalFormatting sqref="H10:H1048576">
    <cfRule type="cellIs" dxfId="258" priority="2416" operator="lessThan">
      <formula>0</formula>
    </cfRule>
  </conditionalFormatting>
  <conditionalFormatting sqref="H10:H1048576">
    <cfRule type="cellIs" dxfId="257" priority="2415" operator="lessThan">
      <formula>0</formula>
    </cfRule>
  </conditionalFormatting>
  <conditionalFormatting sqref="H10:H1048576">
    <cfRule type="cellIs" dxfId="256" priority="2414" operator="lessThan">
      <formula>0</formula>
    </cfRule>
  </conditionalFormatting>
  <conditionalFormatting sqref="H10:H1048576">
    <cfRule type="cellIs" dxfId="255" priority="2413" operator="lessThan">
      <formula>0</formula>
    </cfRule>
  </conditionalFormatting>
  <conditionalFormatting sqref="H10:H1048576">
    <cfRule type="cellIs" dxfId="254" priority="2412" operator="lessThan">
      <formula>0</formula>
    </cfRule>
  </conditionalFormatting>
  <conditionalFormatting sqref="H10:H1048576">
    <cfRule type="cellIs" dxfId="253" priority="2411" operator="lessThan">
      <formula>0</formula>
    </cfRule>
  </conditionalFormatting>
  <conditionalFormatting sqref="H10:H1048576">
    <cfRule type="cellIs" dxfId="252" priority="2410" operator="lessThan">
      <formula>0</formula>
    </cfRule>
  </conditionalFormatting>
  <conditionalFormatting sqref="H10:H1048576">
    <cfRule type="cellIs" dxfId="251" priority="2409" operator="lessThan">
      <formula>0</formula>
    </cfRule>
  </conditionalFormatting>
  <conditionalFormatting sqref="H10:H1048576">
    <cfRule type="cellIs" dxfId="250" priority="2408" operator="lessThan">
      <formula>0</formula>
    </cfRule>
  </conditionalFormatting>
  <conditionalFormatting sqref="H10:H1048576">
    <cfRule type="cellIs" dxfId="249" priority="2407" operator="lessThan">
      <formula>0</formula>
    </cfRule>
  </conditionalFormatting>
  <conditionalFormatting sqref="H10:H1048576">
    <cfRule type="cellIs" dxfId="248" priority="2406" operator="lessThan">
      <formula>0</formula>
    </cfRule>
  </conditionalFormatting>
  <conditionalFormatting sqref="H10:H1048576">
    <cfRule type="cellIs" dxfId="247" priority="2405" operator="lessThan">
      <formula>0</formula>
    </cfRule>
  </conditionalFormatting>
  <conditionalFormatting sqref="H10:H1048576">
    <cfRule type="cellIs" dxfId="246" priority="2404" operator="lessThan">
      <formula>0</formula>
    </cfRule>
  </conditionalFormatting>
  <conditionalFormatting sqref="H10:H1048576">
    <cfRule type="cellIs" dxfId="245" priority="2403" operator="lessThan">
      <formula>0</formula>
    </cfRule>
  </conditionalFormatting>
  <conditionalFormatting sqref="H10:H1048576">
    <cfRule type="cellIs" dxfId="244" priority="2402" operator="lessThan">
      <formula>0</formula>
    </cfRule>
  </conditionalFormatting>
  <conditionalFormatting sqref="H10:H1048576">
    <cfRule type="cellIs" dxfId="243" priority="2401" operator="lessThan">
      <formula>0</formula>
    </cfRule>
  </conditionalFormatting>
  <conditionalFormatting sqref="H10:H1048576">
    <cfRule type="cellIs" dxfId="242" priority="2400" operator="lessThan">
      <formula>0</formula>
    </cfRule>
  </conditionalFormatting>
  <conditionalFormatting sqref="H10:H1048576">
    <cfRule type="cellIs" dxfId="241" priority="2399" operator="lessThan">
      <formula>0</formula>
    </cfRule>
  </conditionalFormatting>
  <conditionalFormatting sqref="H10:H1048576">
    <cfRule type="cellIs" dxfId="240" priority="2398" operator="lessThan">
      <formula>0</formula>
    </cfRule>
  </conditionalFormatting>
  <conditionalFormatting sqref="H10:H1048576">
    <cfRule type="cellIs" dxfId="239" priority="2397" operator="lessThan">
      <formula>0</formula>
    </cfRule>
  </conditionalFormatting>
  <conditionalFormatting sqref="H10:H1048576">
    <cfRule type="cellIs" dxfId="238" priority="2396" operator="lessThan">
      <formula>0</formula>
    </cfRule>
  </conditionalFormatting>
  <conditionalFormatting sqref="H10:H1048576">
    <cfRule type="cellIs" dxfId="237" priority="2395" operator="lessThan">
      <formula>0</formula>
    </cfRule>
  </conditionalFormatting>
  <conditionalFormatting sqref="H10:H1048576">
    <cfRule type="cellIs" dxfId="236" priority="2394" operator="lessThan">
      <formula>0</formula>
    </cfRule>
  </conditionalFormatting>
  <conditionalFormatting sqref="H10:H1048576">
    <cfRule type="cellIs" dxfId="235" priority="2393" operator="lessThan">
      <formula>0</formula>
    </cfRule>
  </conditionalFormatting>
  <conditionalFormatting sqref="H10:H1048576">
    <cfRule type="cellIs" dxfId="234" priority="2392" operator="lessThan">
      <formula>0</formula>
    </cfRule>
  </conditionalFormatting>
  <conditionalFormatting sqref="H10:H1048576">
    <cfRule type="cellIs" dxfId="233" priority="2391" operator="lessThan">
      <formula>0</formula>
    </cfRule>
  </conditionalFormatting>
  <conditionalFormatting sqref="H10:H1048576">
    <cfRule type="cellIs" dxfId="232" priority="2390" operator="lessThan">
      <formula>0</formula>
    </cfRule>
  </conditionalFormatting>
  <conditionalFormatting sqref="H10:H1048576">
    <cfRule type="cellIs" dxfId="231" priority="2389" operator="lessThan">
      <formula>0</formula>
    </cfRule>
  </conditionalFormatting>
  <conditionalFormatting sqref="H10:H1048576">
    <cfRule type="cellIs" dxfId="230" priority="2388" operator="lessThan">
      <formula>0</formula>
    </cfRule>
  </conditionalFormatting>
  <conditionalFormatting sqref="H10:H1048576">
    <cfRule type="cellIs" dxfId="229" priority="2387" operator="lessThan">
      <formula>0</formula>
    </cfRule>
  </conditionalFormatting>
  <conditionalFormatting sqref="H10:H1048576">
    <cfRule type="cellIs" dxfId="228" priority="2386" operator="lessThan">
      <formula>0</formula>
    </cfRule>
  </conditionalFormatting>
  <conditionalFormatting sqref="H10:H1048576">
    <cfRule type="cellIs" dxfId="227" priority="2385" operator="lessThan">
      <formula>0</formula>
    </cfRule>
  </conditionalFormatting>
  <conditionalFormatting sqref="H10:H1048576">
    <cfRule type="cellIs" dxfId="226" priority="2384" operator="lessThan">
      <formula>0</formula>
    </cfRule>
  </conditionalFormatting>
  <conditionalFormatting sqref="H10:H1048576">
    <cfRule type="cellIs" dxfId="225" priority="2383" operator="lessThan">
      <formula>0</formula>
    </cfRule>
  </conditionalFormatting>
  <conditionalFormatting sqref="H10:H1048576">
    <cfRule type="cellIs" dxfId="224" priority="2382" operator="lessThan">
      <formula>0</formula>
    </cfRule>
  </conditionalFormatting>
  <conditionalFormatting sqref="H10:H1048576">
    <cfRule type="cellIs" dxfId="223" priority="2381" operator="lessThan">
      <formula>0</formula>
    </cfRule>
  </conditionalFormatting>
  <conditionalFormatting sqref="H10:H1048576">
    <cfRule type="cellIs" dxfId="222" priority="2380" operator="lessThan">
      <formula>0</formula>
    </cfRule>
  </conditionalFormatting>
  <conditionalFormatting sqref="H10:H1048576">
    <cfRule type="cellIs" dxfId="221" priority="2379" operator="lessThan">
      <formula>0</formula>
    </cfRule>
  </conditionalFormatting>
  <conditionalFormatting sqref="H10:H1048576">
    <cfRule type="cellIs" dxfId="220" priority="2378" operator="lessThan">
      <formula>0</formula>
    </cfRule>
  </conditionalFormatting>
  <conditionalFormatting sqref="H1:H1048576">
    <cfRule type="cellIs" dxfId="219" priority="2377" operator="lessThan">
      <formula>0</formula>
    </cfRule>
  </conditionalFormatting>
  <conditionalFormatting sqref="H1:H1048576">
    <cfRule type="cellIs" dxfId="218" priority="2376" operator="lessThan">
      <formula>0</formula>
    </cfRule>
  </conditionalFormatting>
  <conditionalFormatting sqref="H1:H1048576">
    <cfRule type="cellIs" dxfId="217" priority="2375" operator="lessThan">
      <formula>0</formula>
    </cfRule>
  </conditionalFormatting>
  <conditionalFormatting sqref="H1:H1048576">
    <cfRule type="cellIs" dxfId="216" priority="2374" operator="lessThan">
      <formula>0</formula>
    </cfRule>
  </conditionalFormatting>
  <conditionalFormatting sqref="H1:H1048576">
    <cfRule type="cellIs" dxfId="215" priority="2373" operator="lessThan">
      <formula>0</formula>
    </cfRule>
  </conditionalFormatting>
  <conditionalFormatting sqref="H1:H1048576">
    <cfRule type="cellIs" dxfId="214" priority="2372" operator="lessThan">
      <formula>0</formula>
    </cfRule>
  </conditionalFormatting>
  <conditionalFormatting sqref="H1:H1048576">
    <cfRule type="cellIs" dxfId="213" priority="2371" operator="lessThan">
      <formula>0</formula>
    </cfRule>
  </conditionalFormatting>
  <conditionalFormatting sqref="H1:H1048576">
    <cfRule type="cellIs" dxfId="212" priority="2370" operator="lessThan">
      <formula>0</formula>
    </cfRule>
  </conditionalFormatting>
  <conditionalFormatting sqref="H1:H1048576">
    <cfRule type="cellIs" dxfId="211" priority="2369" operator="lessThan">
      <formula>0</formula>
    </cfRule>
  </conditionalFormatting>
  <conditionalFormatting sqref="H1:H1048576">
    <cfRule type="cellIs" dxfId="210" priority="2368" operator="lessThan">
      <formula>0</formula>
    </cfRule>
  </conditionalFormatting>
  <conditionalFormatting sqref="H1:H1048576">
    <cfRule type="cellIs" dxfId="209" priority="2367" operator="lessThan">
      <formula>0</formula>
    </cfRule>
  </conditionalFormatting>
  <conditionalFormatting sqref="H1:H1048576">
    <cfRule type="cellIs" dxfId="208" priority="2366" operator="lessThan">
      <formula>0</formula>
    </cfRule>
  </conditionalFormatting>
  <conditionalFormatting sqref="H1:H1048576">
    <cfRule type="cellIs" dxfId="207" priority="2365" operator="lessThan">
      <formula>0</formula>
    </cfRule>
  </conditionalFormatting>
  <conditionalFormatting sqref="H1:H1048576">
    <cfRule type="cellIs" dxfId="206" priority="2364" operator="lessThan">
      <formula>0</formula>
    </cfRule>
  </conditionalFormatting>
  <conditionalFormatting sqref="H1:H1048576">
    <cfRule type="cellIs" dxfId="205" priority="2363" operator="lessThan">
      <formula>0</formula>
    </cfRule>
  </conditionalFormatting>
  <conditionalFormatting sqref="H1:H1048576">
    <cfRule type="cellIs" dxfId="204" priority="2362" operator="lessThan">
      <formula>0</formula>
    </cfRule>
  </conditionalFormatting>
  <conditionalFormatting sqref="H1:H1048576">
    <cfRule type="cellIs" dxfId="203" priority="2361" operator="lessThan">
      <formula>0</formula>
    </cfRule>
  </conditionalFormatting>
  <conditionalFormatting sqref="H1:H1048576">
    <cfRule type="cellIs" dxfId="202" priority="2360" operator="lessThan">
      <formula>0</formula>
    </cfRule>
  </conditionalFormatting>
  <conditionalFormatting sqref="H1:H1048576">
    <cfRule type="cellIs" dxfId="201" priority="2359" operator="lessThan">
      <formula>0</formula>
    </cfRule>
  </conditionalFormatting>
  <conditionalFormatting sqref="H1:H1048576">
    <cfRule type="cellIs" dxfId="200" priority="2358" operator="lessThan">
      <formula>0</formula>
    </cfRule>
  </conditionalFormatting>
  <conditionalFormatting sqref="H1:H1048576">
    <cfRule type="cellIs" dxfId="199" priority="2357" operator="lessThan">
      <formula>0</formula>
    </cfRule>
  </conditionalFormatting>
  <conditionalFormatting sqref="H1:H1048576">
    <cfRule type="cellIs" dxfId="198" priority="2356" operator="lessThan">
      <formula>0</formula>
    </cfRule>
  </conditionalFormatting>
  <conditionalFormatting sqref="H1:H1048576">
    <cfRule type="cellIs" dxfId="197" priority="2355" operator="lessThan">
      <formula>0</formula>
    </cfRule>
  </conditionalFormatting>
  <conditionalFormatting sqref="H1:H1048576">
    <cfRule type="cellIs" dxfId="196" priority="2354" operator="lessThan">
      <formula>0</formula>
    </cfRule>
  </conditionalFormatting>
  <conditionalFormatting sqref="H1:H1048576">
    <cfRule type="cellIs" dxfId="195" priority="2353" operator="lessThan">
      <formula>0</formula>
    </cfRule>
  </conditionalFormatting>
  <conditionalFormatting sqref="H1:H1048576">
    <cfRule type="cellIs" dxfId="194" priority="2352" operator="lessThan">
      <formula>0</formula>
    </cfRule>
  </conditionalFormatting>
  <conditionalFormatting sqref="H1:H1048576">
    <cfRule type="cellIs" dxfId="193" priority="2351" operator="lessThan">
      <formula>0</formula>
    </cfRule>
  </conditionalFormatting>
  <conditionalFormatting sqref="H1:H1048576">
    <cfRule type="cellIs" dxfId="192" priority="2350" operator="lessThan">
      <formula>0</formula>
    </cfRule>
  </conditionalFormatting>
  <conditionalFormatting sqref="H1:H1048576">
    <cfRule type="cellIs" dxfId="191" priority="2349" operator="lessThan">
      <formula>0</formula>
    </cfRule>
  </conditionalFormatting>
  <conditionalFormatting sqref="H1:H1048576">
    <cfRule type="cellIs" dxfId="190" priority="2348" operator="lessThan">
      <formula>0</formula>
    </cfRule>
  </conditionalFormatting>
  <conditionalFormatting sqref="H1:H1048576">
    <cfRule type="cellIs" dxfId="189" priority="2347" operator="lessThan">
      <formula>0</formula>
    </cfRule>
  </conditionalFormatting>
  <conditionalFormatting sqref="H1:H1048576">
    <cfRule type="cellIs" dxfId="188" priority="2346" operator="lessThan">
      <formula>0</formula>
    </cfRule>
  </conditionalFormatting>
  <conditionalFormatting sqref="H1:H1048576">
    <cfRule type="cellIs" dxfId="187" priority="2345" operator="lessThan">
      <formula>0</formula>
    </cfRule>
  </conditionalFormatting>
  <conditionalFormatting sqref="H1:H1048576">
    <cfRule type="cellIs" dxfId="186" priority="2344" operator="lessThan">
      <formula>0</formula>
    </cfRule>
  </conditionalFormatting>
  <conditionalFormatting sqref="H1:H1048576">
    <cfRule type="cellIs" dxfId="185" priority="2343" operator="lessThan">
      <formula>0</formula>
    </cfRule>
  </conditionalFormatting>
  <conditionalFormatting sqref="H1:H1048576">
    <cfRule type="cellIs" dxfId="184" priority="2342" operator="lessThan">
      <formula>0</formula>
    </cfRule>
  </conditionalFormatting>
  <conditionalFormatting sqref="H1:H1048576">
    <cfRule type="cellIs" dxfId="183" priority="2341" operator="lessThan">
      <formula>0</formula>
    </cfRule>
  </conditionalFormatting>
  <conditionalFormatting sqref="H1:H1048576">
    <cfRule type="cellIs" dxfId="182" priority="2340" operator="lessThan">
      <formula>0</formula>
    </cfRule>
  </conditionalFormatting>
  <conditionalFormatting sqref="H1:H1048576">
    <cfRule type="cellIs" dxfId="181" priority="2339" operator="lessThan">
      <formula>0</formula>
    </cfRule>
  </conditionalFormatting>
  <conditionalFormatting sqref="H1:H1048576">
    <cfRule type="cellIs" dxfId="180" priority="2338" operator="lessThan">
      <formula>0</formula>
    </cfRule>
  </conditionalFormatting>
  <conditionalFormatting sqref="H1:H1048576">
    <cfRule type="cellIs" dxfId="179" priority="2337" operator="lessThan">
      <formula>0</formula>
    </cfRule>
  </conditionalFormatting>
  <conditionalFormatting sqref="H1:H1048576">
    <cfRule type="cellIs" dxfId="178" priority="2336" operator="lessThan">
      <formula>0</formula>
    </cfRule>
  </conditionalFormatting>
  <conditionalFormatting sqref="H1:H1048576">
    <cfRule type="cellIs" dxfId="177" priority="2335" operator="lessThan">
      <formula>0</formula>
    </cfRule>
  </conditionalFormatting>
  <conditionalFormatting sqref="H1:H1048576">
    <cfRule type="cellIs" dxfId="176" priority="2334" operator="lessThan">
      <formula>0</formula>
    </cfRule>
  </conditionalFormatting>
  <conditionalFormatting sqref="H1:H1048576">
    <cfRule type="cellIs" dxfId="175" priority="2333" operator="lessThan">
      <formula>0</formula>
    </cfRule>
  </conditionalFormatting>
  <conditionalFormatting sqref="H1:H1048576">
    <cfRule type="cellIs" dxfId="174" priority="2332" operator="lessThan">
      <formula>0</formula>
    </cfRule>
  </conditionalFormatting>
  <conditionalFormatting sqref="H1:H1048576">
    <cfRule type="cellIs" dxfId="173" priority="2331" operator="lessThan">
      <formula>0</formula>
    </cfRule>
  </conditionalFormatting>
  <conditionalFormatting sqref="H1:H1048576">
    <cfRule type="cellIs" dxfId="172" priority="2330" operator="lessThan">
      <formula>0</formula>
    </cfRule>
  </conditionalFormatting>
  <conditionalFormatting sqref="H1:H1048576">
    <cfRule type="cellIs" dxfId="171" priority="2329" operator="lessThan">
      <formula>0</formula>
    </cfRule>
  </conditionalFormatting>
  <conditionalFormatting sqref="H1:H1048576">
    <cfRule type="cellIs" dxfId="170" priority="2328" operator="lessThan">
      <formula>0</formula>
    </cfRule>
  </conditionalFormatting>
  <conditionalFormatting sqref="H1:H1048576">
    <cfRule type="cellIs" dxfId="169" priority="2327" operator="lessThan">
      <formula>0</formula>
    </cfRule>
  </conditionalFormatting>
  <conditionalFormatting sqref="H1:H1048576">
    <cfRule type="cellIs" dxfId="168" priority="2326" operator="lessThan">
      <formula>0</formula>
    </cfRule>
  </conditionalFormatting>
  <conditionalFormatting sqref="H1:H1048576">
    <cfRule type="cellIs" dxfId="167" priority="2325" operator="lessThan">
      <formula>0</formula>
    </cfRule>
  </conditionalFormatting>
  <conditionalFormatting sqref="H1:H1048576">
    <cfRule type="cellIs" dxfId="166" priority="2324" operator="lessThan">
      <formula>0</formula>
    </cfRule>
  </conditionalFormatting>
  <conditionalFormatting sqref="H1:H1048576">
    <cfRule type="cellIs" dxfId="165" priority="2323" operator="lessThan">
      <formula>0</formula>
    </cfRule>
  </conditionalFormatting>
  <conditionalFormatting sqref="H1:H1048576">
    <cfRule type="cellIs" dxfId="164" priority="2322" operator="lessThan">
      <formula>0</formula>
    </cfRule>
  </conditionalFormatting>
  <conditionalFormatting sqref="H1:H1048576">
    <cfRule type="cellIs" dxfId="163" priority="2321" operator="lessThan">
      <formula>0</formula>
    </cfRule>
  </conditionalFormatting>
  <conditionalFormatting sqref="H1:H1048576">
    <cfRule type="cellIs" dxfId="162" priority="2320" operator="lessThan">
      <formula>0</formula>
    </cfRule>
  </conditionalFormatting>
  <conditionalFormatting sqref="H1:H1048576">
    <cfRule type="cellIs" dxfId="161" priority="2319" operator="lessThan">
      <formula>0</formula>
    </cfRule>
  </conditionalFormatting>
  <conditionalFormatting sqref="H1:H1048576">
    <cfRule type="cellIs" dxfId="160" priority="2318" operator="lessThan">
      <formula>0</formula>
    </cfRule>
  </conditionalFormatting>
  <conditionalFormatting sqref="H1:H1048576">
    <cfRule type="cellIs" dxfId="159" priority="2317" operator="lessThan">
      <formula>0</formula>
    </cfRule>
  </conditionalFormatting>
  <conditionalFormatting sqref="H1:H1048576">
    <cfRule type="cellIs" dxfId="158" priority="2316" operator="lessThan">
      <formula>0</formula>
    </cfRule>
  </conditionalFormatting>
  <conditionalFormatting sqref="H1:H1048576">
    <cfRule type="cellIs" dxfId="157" priority="2315" operator="lessThan">
      <formula>0</formula>
    </cfRule>
  </conditionalFormatting>
  <conditionalFormatting sqref="H1:H1048576">
    <cfRule type="cellIs" dxfId="156" priority="2314" operator="lessThan">
      <formula>0</formula>
    </cfRule>
  </conditionalFormatting>
  <conditionalFormatting sqref="H1:H1048576">
    <cfRule type="cellIs" dxfId="155" priority="2313" operator="lessThan">
      <formula>0</formula>
    </cfRule>
  </conditionalFormatting>
  <conditionalFormatting sqref="H1:H1048576">
    <cfRule type="cellIs" dxfId="154" priority="2312" operator="lessThan">
      <formula>0</formula>
    </cfRule>
  </conditionalFormatting>
  <conditionalFormatting sqref="H1:H1048576">
    <cfRule type="cellIs" dxfId="153" priority="2311" operator="lessThan">
      <formula>0</formula>
    </cfRule>
  </conditionalFormatting>
  <conditionalFormatting sqref="H1:H1048576">
    <cfRule type="cellIs" dxfId="152" priority="2310" operator="lessThan">
      <formula>0</formula>
    </cfRule>
  </conditionalFormatting>
  <conditionalFormatting sqref="H1:H1048576">
    <cfRule type="cellIs" dxfId="151" priority="2309" operator="lessThan">
      <formula>0</formula>
    </cfRule>
  </conditionalFormatting>
  <conditionalFormatting sqref="H1:H1048576">
    <cfRule type="cellIs" dxfId="150" priority="2308" operator="lessThan">
      <formula>0</formula>
    </cfRule>
  </conditionalFormatting>
  <conditionalFormatting sqref="H1:H1048576">
    <cfRule type="cellIs" dxfId="149" priority="2307" operator="lessThan">
      <formula>0</formula>
    </cfRule>
  </conditionalFormatting>
  <conditionalFormatting sqref="H1:H1048576">
    <cfRule type="cellIs" dxfId="148" priority="2306" operator="lessThan">
      <formula>0</formula>
    </cfRule>
  </conditionalFormatting>
  <conditionalFormatting sqref="H1:H1048576">
    <cfRule type="cellIs" dxfId="147" priority="2305" operator="lessThan">
      <formula>0</formula>
    </cfRule>
  </conditionalFormatting>
  <conditionalFormatting sqref="H1:H1048576">
    <cfRule type="cellIs" dxfId="146" priority="2304" operator="lessThan">
      <formula>0</formula>
    </cfRule>
  </conditionalFormatting>
  <conditionalFormatting sqref="H1:H1048576">
    <cfRule type="cellIs" dxfId="145" priority="2303" operator="lessThan">
      <formula>0</formula>
    </cfRule>
  </conditionalFormatting>
  <conditionalFormatting sqref="H1:H1048576">
    <cfRule type="cellIs" dxfId="144" priority="2302" operator="lessThan">
      <formula>0</formula>
    </cfRule>
  </conditionalFormatting>
  <conditionalFormatting sqref="H1:H1048576">
    <cfRule type="cellIs" dxfId="143" priority="2301" operator="lessThan">
      <formula>0</formula>
    </cfRule>
  </conditionalFormatting>
  <conditionalFormatting sqref="H1:H1048576">
    <cfRule type="cellIs" dxfId="142" priority="2300" operator="lessThan">
      <formula>0</formula>
    </cfRule>
  </conditionalFormatting>
  <conditionalFormatting sqref="H1:H1048576">
    <cfRule type="cellIs" dxfId="141" priority="2299" operator="lessThan">
      <formula>0</formula>
    </cfRule>
  </conditionalFormatting>
  <conditionalFormatting sqref="H1:H1048576">
    <cfRule type="cellIs" dxfId="140" priority="2298" operator="lessThan">
      <formula>0</formula>
    </cfRule>
  </conditionalFormatting>
  <conditionalFormatting sqref="H1:H1048576">
    <cfRule type="cellIs" dxfId="139" priority="2297" operator="lessThan">
      <formula>0</formula>
    </cfRule>
  </conditionalFormatting>
  <conditionalFormatting sqref="H1:H1048576">
    <cfRule type="cellIs" dxfId="138" priority="2296" operator="lessThan">
      <formula>0</formula>
    </cfRule>
  </conditionalFormatting>
  <conditionalFormatting sqref="H1:H1048576">
    <cfRule type="cellIs" dxfId="137" priority="2295" operator="lessThan">
      <formula>0</formula>
    </cfRule>
  </conditionalFormatting>
  <conditionalFormatting sqref="H1:H1048576">
    <cfRule type="cellIs" dxfId="136" priority="2294" operator="lessThan">
      <formula>0</formula>
    </cfRule>
  </conditionalFormatting>
  <conditionalFormatting sqref="H1:H1048576">
    <cfRule type="cellIs" dxfId="135" priority="2293" operator="lessThan">
      <formula>0</formula>
    </cfRule>
  </conditionalFormatting>
  <conditionalFormatting sqref="H1:H1048576">
    <cfRule type="cellIs" dxfId="134" priority="2292" operator="lessThan">
      <formula>0</formula>
    </cfRule>
  </conditionalFormatting>
  <conditionalFormatting sqref="H1:H1048576">
    <cfRule type="cellIs" dxfId="133" priority="2291" operator="lessThan">
      <formula>0</formula>
    </cfRule>
  </conditionalFormatting>
  <conditionalFormatting sqref="H1:H1048576">
    <cfRule type="cellIs" dxfId="132" priority="2290" operator="lessThan">
      <formula>0</formula>
    </cfRule>
  </conditionalFormatting>
  <conditionalFormatting sqref="H1:H1048576">
    <cfRule type="cellIs" dxfId="131" priority="2289" operator="lessThan">
      <formula>0</formula>
    </cfRule>
  </conditionalFormatting>
  <conditionalFormatting sqref="H1:H1048576">
    <cfRule type="cellIs" dxfId="130" priority="2288" operator="lessThan">
      <formula>0</formula>
    </cfRule>
  </conditionalFormatting>
  <conditionalFormatting sqref="H1:H1048576">
    <cfRule type="cellIs" dxfId="129" priority="2287" operator="lessThan">
      <formula>0</formula>
    </cfRule>
  </conditionalFormatting>
  <conditionalFormatting sqref="H1:H1048576">
    <cfRule type="cellIs" dxfId="128" priority="2286" operator="lessThan">
      <formula>0</formula>
    </cfRule>
  </conditionalFormatting>
  <conditionalFormatting sqref="H1:H1048576">
    <cfRule type="cellIs" dxfId="127" priority="2285" operator="lessThan">
      <formula>0</formula>
    </cfRule>
  </conditionalFormatting>
  <conditionalFormatting sqref="H1:H1048576">
    <cfRule type="cellIs" dxfId="126" priority="2284" operator="lessThan">
      <formula>0</formula>
    </cfRule>
  </conditionalFormatting>
  <conditionalFormatting sqref="H1:H1048576">
    <cfRule type="cellIs" dxfId="125" priority="2283" operator="lessThan">
      <formula>0</formula>
    </cfRule>
  </conditionalFormatting>
  <conditionalFormatting sqref="H1:H1048576">
    <cfRule type="cellIs" dxfId="124" priority="2282" operator="lessThan">
      <formula>0</formula>
    </cfRule>
  </conditionalFormatting>
  <conditionalFormatting sqref="H1:H1048576">
    <cfRule type="cellIs" dxfId="123" priority="2281" operator="lessThan">
      <formula>0</formula>
    </cfRule>
  </conditionalFormatting>
  <conditionalFormatting sqref="H1:H1048576">
    <cfRule type="cellIs" dxfId="122" priority="2280" operator="lessThan">
      <formula>0</formula>
    </cfRule>
  </conditionalFormatting>
  <conditionalFormatting sqref="H1:H1048576">
    <cfRule type="cellIs" dxfId="121" priority="2279" operator="lessThan">
      <formula>0</formula>
    </cfRule>
  </conditionalFormatting>
  <conditionalFormatting sqref="H1:H1048576">
    <cfRule type="cellIs" dxfId="120" priority="2278" operator="lessThan">
      <formula>0</formula>
    </cfRule>
  </conditionalFormatting>
  <conditionalFormatting sqref="H1:H1048576">
    <cfRule type="cellIs" dxfId="119" priority="2277" operator="lessThan">
      <formula>0</formula>
    </cfRule>
  </conditionalFormatting>
  <conditionalFormatting sqref="H1:H1048576">
    <cfRule type="cellIs" dxfId="118" priority="2276" operator="lessThan">
      <formula>0</formula>
    </cfRule>
  </conditionalFormatting>
  <conditionalFormatting sqref="H1:H1048576">
    <cfRule type="cellIs" dxfId="117" priority="2275" operator="lessThan">
      <formula>0</formula>
    </cfRule>
  </conditionalFormatting>
  <conditionalFormatting sqref="H1:H1048576">
    <cfRule type="cellIs" dxfId="116" priority="2274" operator="lessThan">
      <formula>0</formula>
    </cfRule>
  </conditionalFormatting>
  <conditionalFormatting sqref="H1:H1048576">
    <cfRule type="cellIs" dxfId="115" priority="2273" operator="lessThan">
      <formula>0</formula>
    </cfRule>
  </conditionalFormatting>
  <conditionalFormatting sqref="H1:H1048576">
    <cfRule type="cellIs" dxfId="114" priority="2272" operator="lessThan">
      <formula>0</formula>
    </cfRule>
  </conditionalFormatting>
  <conditionalFormatting sqref="H1:H1048576">
    <cfRule type="cellIs" dxfId="113" priority="2271" operator="lessThan">
      <formula>0</formula>
    </cfRule>
  </conditionalFormatting>
  <conditionalFormatting sqref="H1:H1048576">
    <cfRule type="cellIs" dxfId="112" priority="2270" operator="lessThan">
      <formula>0</formula>
    </cfRule>
  </conditionalFormatting>
  <conditionalFormatting sqref="H1:H1048576">
    <cfRule type="cellIs" dxfId="111" priority="2269" operator="lessThan">
      <formula>0</formula>
    </cfRule>
  </conditionalFormatting>
  <conditionalFormatting sqref="H1:H1048576">
    <cfRule type="cellIs" dxfId="110" priority="2268" operator="lessThan">
      <formula>0</formula>
    </cfRule>
  </conditionalFormatting>
  <conditionalFormatting sqref="H1:H1048576">
    <cfRule type="cellIs" dxfId="109" priority="2267" operator="lessThan">
      <formula>0</formula>
    </cfRule>
  </conditionalFormatting>
  <conditionalFormatting sqref="H1:H1048576">
    <cfRule type="cellIs" dxfId="108" priority="2266" operator="lessThan">
      <formula>0</formula>
    </cfRule>
  </conditionalFormatting>
  <conditionalFormatting sqref="H1:H1048576">
    <cfRule type="cellIs" dxfId="107" priority="2265" operator="lessThan">
      <formula>0</formula>
    </cfRule>
  </conditionalFormatting>
  <conditionalFormatting sqref="H1:H1048576">
    <cfRule type="cellIs" dxfId="106" priority="2264" operator="lessThan">
      <formula>0</formula>
    </cfRule>
  </conditionalFormatting>
  <conditionalFormatting sqref="H1:H1048576">
    <cfRule type="cellIs" dxfId="105" priority="2263" operator="lessThan">
      <formula>0</formula>
    </cfRule>
  </conditionalFormatting>
  <conditionalFormatting sqref="H1:H1048576">
    <cfRule type="cellIs" dxfId="104" priority="2262" operator="lessThan">
      <formula>0</formula>
    </cfRule>
  </conditionalFormatting>
  <conditionalFormatting sqref="H1:H1048576">
    <cfRule type="cellIs" dxfId="103" priority="2261" operator="lessThan">
      <formula>0</formula>
    </cfRule>
  </conditionalFormatting>
  <conditionalFormatting sqref="H1:H1048576">
    <cfRule type="cellIs" dxfId="102" priority="2260" operator="lessThan">
      <formula>0</formula>
    </cfRule>
  </conditionalFormatting>
  <conditionalFormatting sqref="H1:H1048576">
    <cfRule type="cellIs" dxfId="101" priority="2259" operator="lessThan">
      <formula>0</formula>
    </cfRule>
  </conditionalFormatting>
  <conditionalFormatting sqref="H1:H1048576">
    <cfRule type="cellIs" dxfId="100" priority="2258" operator="lessThan">
      <formula>0</formula>
    </cfRule>
  </conditionalFormatting>
  <conditionalFormatting sqref="H1:H1048576">
    <cfRule type="cellIs" dxfId="99" priority="2257" operator="lessThan">
      <formula>0</formula>
    </cfRule>
  </conditionalFormatting>
  <conditionalFormatting sqref="H1:H1048576">
    <cfRule type="cellIs" dxfId="98" priority="2256" operator="lessThan">
      <formula>0</formula>
    </cfRule>
  </conditionalFormatting>
  <conditionalFormatting sqref="H1:H1048576">
    <cfRule type="cellIs" dxfId="97" priority="2255" operator="lessThan">
      <formula>0</formula>
    </cfRule>
  </conditionalFormatting>
  <conditionalFormatting sqref="H1:H1048576">
    <cfRule type="cellIs" dxfId="96" priority="2254" operator="lessThan">
      <formula>0</formula>
    </cfRule>
  </conditionalFormatting>
  <conditionalFormatting sqref="H1:H1048576">
    <cfRule type="cellIs" dxfId="95" priority="2253" operator="lessThan">
      <formula>0</formula>
    </cfRule>
  </conditionalFormatting>
  <conditionalFormatting sqref="H1:H1048576">
    <cfRule type="cellIs" dxfId="94" priority="2252" operator="lessThan">
      <formula>0</formula>
    </cfRule>
  </conditionalFormatting>
  <conditionalFormatting sqref="H1:H1048576">
    <cfRule type="cellIs" dxfId="93" priority="2251" operator="lessThan">
      <formula>0</formula>
    </cfRule>
  </conditionalFormatting>
  <conditionalFormatting sqref="H1:H1048576">
    <cfRule type="cellIs" dxfId="92" priority="2250" operator="lessThan">
      <formula>0</formula>
    </cfRule>
  </conditionalFormatting>
  <conditionalFormatting sqref="H1:H1048576">
    <cfRule type="cellIs" dxfId="91" priority="2249" operator="lessThan">
      <formula>0</formula>
    </cfRule>
  </conditionalFormatting>
  <conditionalFormatting sqref="H1:H1048576">
    <cfRule type="cellIs" dxfId="90" priority="2248" operator="lessThan">
      <formula>0</formula>
    </cfRule>
  </conditionalFormatting>
  <conditionalFormatting sqref="H1:H1048576">
    <cfRule type="cellIs" dxfId="89" priority="2247" operator="lessThan">
      <formula>0</formula>
    </cfRule>
  </conditionalFormatting>
  <conditionalFormatting sqref="H1:H1048576">
    <cfRule type="cellIs" dxfId="88" priority="2246" operator="lessThan">
      <formula>0</formula>
    </cfRule>
  </conditionalFormatting>
  <conditionalFormatting sqref="H1:H1048576">
    <cfRule type="cellIs" dxfId="87" priority="2245" operator="lessThan">
      <formula>0</formula>
    </cfRule>
  </conditionalFormatting>
  <conditionalFormatting sqref="H1:H1048576">
    <cfRule type="cellIs" dxfId="86" priority="2244" operator="lessThan">
      <formula>0</formula>
    </cfRule>
  </conditionalFormatting>
  <conditionalFormatting sqref="H1:H1048576">
    <cfRule type="cellIs" dxfId="85" priority="2243" operator="lessThan">
      <formula>0</formula>
    </cfRule>
  </conditionalFormatting>
  <conditionalFormatting sqref="H1:H1048576">
    <cfRule type="cellIs" dxfId="84" priority="2242" operator="lessThan">
      <formula>0</formula>
    </cfRule>
  </conditionalFormatting>
  <conditionalFormatting sqref="H1:H1048576">
    <cfRule type="cellIs" dxfId="83" priority="2241" operator="lessThan">
      <formula>0</formula>
    </cfRule>
  </conditionalFormatting>
  <conditionalFormatting sqref="H1:H1048576">
    <cfRule type="cellIs" dxfId="82" priority="2240" operator="lessThan">
      <formula>0</formula>
    </cfRule>
  </conditionalFormatting>
  <conditionalFormatting sqref="H1:H1048576">
    <cfRule type="cellIs" dxfId="81" priority="2239" operator="lessThan">
      <formula>0</formula>
    </cfRule>
  </conditionalFormatting>
  <conditionalFormatting sqref="H1:H1048576">
    <cfRule type="cellIs" dxfId="80" priority="2238" operator="lessThan">
      <formula>0</formula>
    </cfRule>
  </conditionalFormatting>
  <conditionalFormatting sqref="H1:H1048576">
    <cfRule type="cellIs" dxfId="79" priority="2237" operator="lessThan">
      <formula>0</formula>
    </cfRule>
  </conditionalFormatting>
  <conditionalFormatting sqref="H1:H1048576">
    <cfRule type="cellIs" dxfId="78" priority="2236" operator="lessThan">
      <formula>0</formula>
    </cfRule>
  </conditionalFormatting>
  <conditionalFormatting sqref="H1:H1048576">
    <cfRule type="cellIs" dxfId="77" priority="2235" operator="lessThan">
      <formula>0</formula>
    </cfRule>
  </conditionalFormatting>
  <conditionalFormatting sqref="H1:H1048576">
    <cfRule type="cellIs" dxfId="76" priority="2234" operator="lessThan">
      <formula>0</formula>
    </cfRule>
  </conditionalFormatting>
  <conditionalFormatting sqref="H1:H1048576">
    <cfRule type="cellIs" dxfId="75" priority="2233" operator="lessThan">
      <formula>0</formula>
    </cfRule>
  </conditionalFormatting>
  <conditionalFormatting sqref="H1:H1048576">
    <cfRule type="cellIs" dxfId="74" priority="2232" operator="lessThan">
      <formula>0</formula>
    </cfRule>
  </conditionalFormatting>
  <conditionalFormatting sqref="H1:H1048576">
    <cfRule type="cellIs" dxfId="73" priority="2231" operator="lessThan">
      <formula>0</formula>
    </cfRule>
  </conditionalFormatting>
  <conditionalFormatting sqref="H1:H1048576">
    <cfRule type="cellIs" dxfId="72" priority="2230" operator="lessThan">
      <formula>0</formula>
    </cfRule>
  </conditionalFormatting>
  <conditionalFormatting sqref="H1:H1048576">
    <cfRule type="cellIs" dxfId="71" priority="2229" operator="lessThan">
      <formula>0</formula>
    </cfRule>
  </conditionalFormatting>
  <conditionalFormatting sqref="H1:H1048576">
    <cfRule type="cellIs" dxfId="70" priority="2228" operator="lessThan">
      <formula>0</formula>
    </cfRule>
  </conditionalFormatting>
  <conditionalFormatting sqref="H1:H1048576">
    <cfRule type="cellIs" dxfId="69" priority="2227" operator="lessThan">
      <formula>0</formula>
    </cfRule>
  </conditionalFormatting>
  <conditionalFormatting sqref="H1:H1048576">
    <cfRule type="cellIs" dxfId="68" priority="2226" operator="lessThan">
      <formula>0</formula>
    </cfRule>
  </conditionalFormatting>
  <conditionalFormatting sqref="H1:H1048576">
    <cfRule type="cellIs" dxfId="67" priority="2225" operator="lessThan">
      <formula>0</formula>
    </cfRule>
  </conditionalFormatting>
  <conditionalFormatting sqref="H1:H1048576">
    <cfRule type="cellIs" dxfId="66" priority="2224" operator="lessThan">
      <formula>0</formula>
    </cfRule>
  </conditionalFormatting>
  <conditionalFormatting sqref="H1:H1048576">
    <cfRule type="cellIs" dxfId="65" priority="2223" operator="lessThan">
      <formula>0</formula>
    </cfRule>
  </conditionalFormatting>
  <conditionalFormatting sqref="H1:H1048576">
    <cfRule type="cellIs" dxfId="64" priority="2222" operator="lessThan">
      <formula>0</formula>
    </cfRule>
  </conditionalFormatting>
  <conditionalFormatting sqref="H1:H1048576">
    <cfRule type="cellIs" dxfId="63" priority="2221" operator="lessThan">
      <formula>0</formula>
    </cfRule>
  </conditionalFormatting>
  <conditionalFormatting sqref="H1:H1048576">
    <cfRule type="cellIs" dxfId="62" priority="2220" operator="lessThan">
      <formula>0</formula>
    </cfRule>
  </conditionalFormatting>
  <conditionalFormatting sqref="H1:H1048576">
    <cfRule type="cellIs" dxfId="61" priority="2219" operator="lessThan">
      <formula>0</formula>
    </cfRule>
  </conditionalFormatting>
  <conditionalFormatting sqref="H1:H1048576">
    <cfRule type="cellIs" dxfId="60" priority="2218" operator="lessThan">
      <formula>0</formula>
    </cfRule>
  </conditionalFormatting>
  <conditionalFormatting sqref="H1:H1048576">
    <cfRule type="cellIs" dxfId="59" priority="2217" operator="lessThan">
      <formula>0</formula>
    </cfRule>
  </conditionalFormatting>
  <conditionalFormatting sqref="H1:H1048576">
    <cfRule type="cellIs" dxfId="58" priority="2216" operator="lessThan">
      <formula>0</formula>
    </cfRule>
  </conditionalFormatting>
  <conditionalFormatting sqref="H1:H1048576">
    <cfRule type="cellIs" dxfId="57" priority="2215" operator="lessThan">
      <formula>0</formula>
    </cfRule>
  </conditionalFormatting>
  <conditionalFormatting sqref="H1:H1048576">
    <cfRule type="cellIs" dxfId="56" priority="2214" operator="lessThan">
      <formula>0</formula>
    </cfRule>
  </conditionalFormatting>
  <conditionalFormatting sqref="H1:H1048576">
    <cfRule type="cellIs" dxfId="55" priority="2213" operator="lessThan">
      <formula>0</formula>
    </cfRule>
  </conditionalFormatting>
  <conditionalFormatting sqref="H1:H1048576">
    <cfRule type="cellIs" dxfId="54" priority="2212" operator="lessThan">
      <formula>0</formula>
    </cfRule>
  </conditionalFormatting>
  <conditionalFormatting sqref="H1:H1048576">
    <cfRule type="cellIs" dxfId="53" priority="2211" operator="lessThan">
      <formula>0</formula>
    </cfRule>
  </conditionalFormatting>
  <conditionalFormatting sqref="H1:H1048576">
    <cfRule type="cellIs" dxfId="52" priority="2210" operator="lessThan">
      <formula>0</formula>
    </cfRule>
  </conditionalFormatting>
  <conditionalFormatting sqref="H1:H1048576">
    <cfRule type="cellIs" dxfId="51" priority="2209" operator="lessThan">
      <formula>0</formula>
    </cfRule>
  </conditionalFormatting>
  <conditionalFormatting sqref="H1:H1048576">
    <cfRule type="cellIs" dxfId="50" priority="2208" operator="lessThan">
      <formula>0</formula>
    </cfRule>
  </conditionalFormatting>
  <conditionalFormatting sqref="H1:H1048576">
    <cfRule type="cellIs" dxfId="49" priority="2207" operator="lessThan">
      <formula>0</formula>
    </cfRule>
  </conditionalFormatting>
  <conditionalFormatting sqref="H1:H1048576">
    <cfRule type="cellIs" dxfId="48" priority="2206" operator="lessThan">
      <formula>0</formula>
    </cfRule>
  </conditionalFormatting>
  <conditionalFormatting sqref="B1:E1048576">
    <cfRule type="cellIs" dxfId="46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60"/>
  <sheetViews>
    <sheetView tabSelected="1" zoomScale="85" zoomScaleNormal="85" zoomScaleSheetLayoutView="90" workbookViewId="0">
      <pane xSplit="6" ySplit="11" topLeftCell="H12" activePane="bottomRight" state="frozen"/>
      <selection pane="topRight" activeCell="F1" sqref="F1"/>
      <selection pane="bottomLeft" activeCell="A14" sqref="A14"/>
      <selection pane="bottomRight" activeCell="P19" sqref="P19"/>
    </sheetView>
  </sheetViews>
  <sheetFormatPr defaultRowHeight="15" outlineLevelCol="2"/>
  <cols>
    <col min="1" max="1" width="2.140625" style="336" customWidth="1"/>
    <col min="2" max="2" width="9.7109375" customWidth="1"/>
    <col min="3" max="3" width="8.42578125" customWidth="1" outlineLevel="1"/>
    <col min="4" max="4" width="7.425781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4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2" customWidth="1"/>
  </cols>
  <sheetData>
    <row r="1" spans="1:39">
      <c r="B1" t="s">
        <v>137</v>
      </c>
      <c r="C1" s="173" cm="1">
        <f t="array" ref="C1">_xll.BDP(B1&amp;" EQUITY","LAST_PRICE")</f>
        <v>332.79</v>
      </c>
      <c r="D1" s="172">
        <f t="shared" ref="D1:D10" si="0">C1/E1-1</f>
        <v>2.4442050177004848E-2</v>
      </c>
      <c r="E1" s="239">
        <f>_xll.BDP(B1&amp;" EQUITY","PX_YEST_CLOSE")</f>
        <v>324.85000000000002</v>
      </c>
      <c r="H1" t="s">
        <v>6</v>
      </c>
      <c r="I1" s="173" cm="1">
        <f t="array" ref="I1">_xll.BDP(H1&amp;" EQUITY","LAST_PRICE")</f>
        <v>85.49</v>
      </c>
      <c r="J1" s="172">
        <f t="shared" ref="J1:J10" si="1">I1/K1-1</f>
        <v>4.2288265006460435E-3</v>
      </c>
      <c r="K1" s="239">
        <f>_xll.BDP(H1&amp;" EQUITY","PX_YEST_CLOSE")</f>
        <v>85.13</v>
      </c>
      <c r="M1" s="5">
        <f>J40/4</f>
        <v>4.230410868323764E-3</v>
      </c>
      <c r="P1" s="50"/>
      <c r="Q1" t="s">
        <v>1912</v>
      </c>
      <c r="R1" s="5">
        <f>SUM(U20:U44)</f>
        <v>2.1040765261079057E-2</v>
      </c>
      <c r="S1" s="5">
        <f>T1/R1/10000</f>
        <v>2.5208828996915573E-2</v>
      </c>
      <c r="T1" s="276">
        <f>SUM(V20:V44)</f>
        <v>5.304130534307836</v>
      </c>
      <c r="U1" s="412"/>
      <c r="V1" s="368"/>
      <c r="W1" s="276"/>
      <c r="AG1" s="129">
        <v>0.28000000000000003</v>
      </c>
    </row>
    <row r="2" spans="1:39">
      <c r="B2" t="s">
        <v>94</v>
      </c>
      <c r="C2" s="173" cm="1">
        <f t="array" ref="C2">_xll.BDP(B2&amp;" EQUITY","LAST_PRICE")</f>
        <v>188.52</v>
      </c>
      <c r="D2" s="172">
        <f t="shared" si="0"/>
        <v>1.0993725532257193E-2</v>
      </c>
      <c r="E2" s="239" cm="1">
        <f t="array" ref="E2">_xll.BDP(B2&amp;" EQUITY","PX_YEST_CLOSE")</f>
        <v>186.47</v>
      </c>
      <c r="H2" t="s">
        <v>89</v>
      </c>
      <c r="I2" s="173" cm="1">
        <f t="array" ref="I2">_xll.BDP(H2&amp;" EQUITY","LAST_PRICE")</f>
        <v>97.76</v>
      </c>
      <c r="J2" s="172">
        <f t="shared" si="1"/>
        <v>-1.0626454812265984E-2</v>
      </c>
      <c r="K2" s="239">
        <f>_xll.BDP(H2&amp;" EQUITY","PX_YEST_CLOSE")</f>
        <v>98.81</v>
      </c>
      <c r="O2" s="50"/>
      <c r="P2" s="50"/>
      <c r="R2" s="5"/>
      <c r="S2" s="5"/>
      <c r="T2" s="276"/>
      <c r="U2" s="369"/>
      <c r="V2" s="368"/>
      <c r="W2" s="276">
        <f>W5/W6</f>
        <v>15.078350233425301</v>
      </c>
      <c r="Z2" s="19" t="s">
        <v>1700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/>
      <c r="AH2" s="32"/>
      <c r="AI2"/>
      <c r="AL2" t="s">
        <v>153</v>
      </c>
    </row>
    <row r="3" spans="1:39" ht="15.75" thickBot="1">
      <c r="B3" t="s">
        <v>96</v>
      </c>
      <c r="C3" s="173" cm="1">
        <f t="array" ref="C3">_xll.BDP(B3&amp;" EQUITY","LAST_PRICE")</f>
        <v>338.34</v>
      </c>
      <c r="D3" s="172">
        <f t="shared" si="0"/>
        <v>1.6921643473295056E-2</v>
      </c>
      <c r="E3" s="239">
        <f>_xll.BDP(B3&amp;" EQUITY","PX_YEST_CLOSE")</f>
        <v>332.71</v>
      </c>
      <c r="H3" t="s">
        <v>136</v>
      </c>
      <c r="I3" s="173" cm="1">
        <f t="array" ref="I3">_xll.BDP(H3&amp;" EQUITY","LAST_PRICE")</f>
        <v>407.25</v>
      </c>
      <c r="J3" s="172">
        <f t="shared" si="1"/>
        <v>2.1137355197833552E-2</v>
      </c>
      <c r="K3" s="239" cm="1">
        <f t="array" ref="K3">_xll.BDP(H3&amp;" EQUITY","PX_YEST_CLOSE")</f>
        <v>398.82</v>
      </c>
      <c r="L3" s="174"/>
      <c r="O3" s="5"/>
      <c r="R3" s="5"/>
      <c r="S3" s="5"/>
      <c r="T3" s="276"/>
      <c r="U3" s="276">
        <f>U5/-U6</f>
        <v>6.0213308259279881</v>
      </c>
      <c r="W3" s="45" t="s">
        <v>154</v>
      </c>
      <c r="X3" s="5">
        <f>_xll.BDP("SPY Equity","LAST_PRICE")/_xll.BDP("SPY Equity","PX_YEST_CLOSE")-1</f>
        <v>3.9842362825344146E-3</v>
      </c>
      <c r="AC3" s="93" cm="1">
        <f t="array" ref="AC3">_xll.BDP("brl Curncy","LAST_PRICE")</f>
        <v>5.1852</v>
      </c>
      <c r="AD3" s="8">
        <f>AD5*$AC$3</f>
        <v>11646141034.593599</v>
      </c>
      <c r="AF3" s="3"/>
      <c r="AG3"/>
      <c r="AH3" s="32"/>
      <c r="AI3"/>
    </row>
    <row r="4" spans="1:39" ht="30.75" thickBot="1">
      <c r="B4" t="s">
        <v>569</v>
      </c>
      <c r="C4" s="173" cm="1">
        <f t="array" ref="C4">_xll.BDP(B4&amp;" EQUITY","LAST_PRICE")</f>
        <v>410.24</v>
      </c>
      <c r="D4" s="172">
        <f t="shared" si="0"/>
        <v>5.435760363926101E-2</v>
      </c>
      <c r="E4" s="239" cm="1">
        <f t="array" ref="E4">_xll.BDP(B4&amp;" EQUITY","PX_YEST_CLOSE")</f>
        <v>389.09</v>
      </c>
      <c r="F4" s="7"/>
      <c r="G4" s="7"/>
      <c r="H4" t="s">
        <v>0</v>
      </c>
      <c r="I4" s="173" cm="1">
        <f t="array" ref="I4">_xll.BDP(H4&amp;" EQUITY","LAST_PRICE")</f>
        <v>695.49</v>
      </c>
      <c r="J4" s="172">
        <f t="shared" si="1"/>
        <v>3.9842362825344146E-3</v>
      </c>
      <c r="K4" s="239" cm="1">
        <f t="array" ref="K4">_xll.BDP(H4&amp;" EQUITY","PX_YEST_CLOSE")</f>
        <v>692.73</v>
      </c>
      <c r="N4" s="26"/>
      <c r="O4" s="11" t="s">
        <v>155</v>
      </c>
      <c r="P4" s="12" t="s">
        <v>156</v>
      </c>
      <c r="Q4" s="26"/>
      <c r="R4" s="11" t="s">
        <v>157</v>
      </c>
      <c r="S4" s="12" t="s">
        <v>158</v>
      </c>
      <c r="T4" s="11"/>
      <c r="U4" s="24" t="s">
        <v>159</v>
      </c>
      <c r="V4" s="25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4" t="s">
        <v>165</v>
      </c>
      <c r="AC4" s="84"/>
      <c r="AD4" s="85" t="s">
        <v>166</v>
      </c>
      <c r="AE4" s="86" t="s">
        <v>1872</v>
      </c>
      <c r="AF4" s="3"/>
      <c r="AG4"/>
      <c r="AH4" s="32"/>
      <c r="AI4"/>
    </row>
    <row r="5" spans="1:39">
      <c r="B5" t="s">
        <v>399</v>
      </c>
      <c r="C5" s="173" cm="1">
        <f t="array" ref="C5">_xll.BDP(B5&amp;" EQUITY","LAST_PRICE")</f>
        <v>244.68</v>
      </c>
      <c r="D5" s="172">
        <f t="shared" si="0"/>
        <v>2.6256186561530059E-2</v>
      </c>
      <c r="E5" s="239" cm="1">
        <f t="array" ref="E5">_xll.BDP(B5&amp;" EQUITY","PX_YEST_CLOSE")</f>
        <v>238.42</v>
      </c>
      <c r="H5" t="s">
        <v>3</v>
      </c>
      <c r="I5" s="175" cm="1">
        <f t="array" ref="I5">_xll.BDP(H5&amp;" EQUITY","LAST_PRICE")</f>
        <v>198.93</v>
      </c>
      <c r="J5" s="172">
        <f t="shared" si="1"/>
        <v>-1.5559124673760749E-3</v>
      </c>
      <c r="K5" s="239" cm="1">
        <f t="array" ref="K5">_xll.BDP(H5&amp;" EQUITY","PX_YEST_CLOSE")</f>
        <v>199.24</v>
      </c>
      <c r="L5" s="174"/>
      <c r="O5" s="27">
        <f>SUMIF(O12:O49,"&gt;0")</f>
        <v>1.5072758843758752E-2</v>
      </c>
      <c r="P5" s="20">
        <f>SUMIF($F$12:$F$49,"Long",P12:P49)</f>
        <v>3.1720369989746593</v>
      </c>
      <c r="R5" s="27">
        <f>SUMIF(R12:R49,"&gt;0")</f>
        <v>1.1013051851118024E-2</v>
      </c>
      <c r="S5" s="170">
        <f>SUMIF($F$12:$F$49,"Long",S12:S49)</f>
        <v>2.2488889870207918</v>
      </c>
      <c r="T5" t="s">
        <v>99</v>
      </c>
      <c r="U5" s="33">
        <f>SUMIF($F$12:$F$49,"Long",U12:U49)</f>
        <v>2.341319487751381E-2</v>
      </c>
      <c r="V5" s="39">
        <f>SUMIF($F$12:$F$49,"Long",V12:V49)</f>
        <v>5.4209259859954519</v>
      </c>
      <c r="W5" s="5">
        <f>V5/U5/10000</f>
        <v>2.3153294603128878E-2</v>
      </c>
      <c r="X5" s="5">
        <f>W5-$X$3</f>
        <v>1.9169058320594463E-2</v>
      </c>
      <c r="Y5" s="55">
        <f>$U5*X5*10000</f>
        <v>4.488088980785057</v>
      </c>
      <c r="Z5" s="9">
        <f>U5*$X$3*10000</f>
        <v>0.93283700521039414</v>
      </c>
      <c r="AA5" s="33">
        <f>SUMIF($F$12:$F$49,"Long",AA12:AA49)</f>
        <v>3.0343598546963516E-2</v>
      </c>
      <c r="AB5" s="276">
        <f>AA5/U5</f>
        <v>1.2960041850634281</v>
      </c>
      <c r="AC5" s="87" t="s">
        <v>167</v>
      </c>
      <c r="AD5" s="88">
        <v>2246035068</v>
      </c>
      <c r="AE5" s="89">
        <f>AD5</f>
        <v>2246035068</v>
      </c>
      <c r="AF5" s="3"/>
      <c r="AG5"/>
      <c r="AH5" s="32"/>
      <c r="AI5"/>
    </row>
    <row r="6" spans="1:39">
      <c r="B6" t="s">
        <v>79</v>
      </c>
      <c r="C6" s="173" cm="1">
        <f t="array" ref="C6">_xll.BDP(B6&amp;" EQUITY","LAST_PRICE")</f>
        <v>258.27</v>
      </c>
      <c r="D6" s="172">
        <f t="shared" si="0"/>
        <v>1.1197682158098576E-2</v>
      </c>
      <c r="E6" s="239" cm="1">
        <f t="array" ref="E6">_xll.BDP(B6&amp;" EQUITY","PX_YEST_CLOSE")</f>
        <v>255.41</v>
      </c>
      <c r="H6" t="s">
        <v>135</v>
      </c>
      <c r="I6" s="176" cm="1">
        <f t="array" ref="I6">_xll.BDP(H6&amp;" EQUITY","LAST_PRICE")</f>
        <v>631.13</v>
      </c>
      <c r="J6" s="172">
        <f t="shared" si="1"/>
        <v>9.0653279186518887E-3</v>
      </c>
      <c r="K6" s="239" cm="1">
        <f t="array" ref="K6">_xll.BDP(H6&amp;" EQUITY","PX_YEST_CLOSE")</f>
        <v>625.46</v>
      </c>
      <c r="L6" s="1">
        <f>$S$1/J6</f>
        <v>2.7807961524534015</v>
      </c>
      <c r="O6" s="27">
        <f>SUMIF(O12:O49,"&lt;0")</f>
        <v>-3.7464911720866919E-3</v>
      </c>
      <c r="P6" s="20">
        <f>SUMIF($F$12:$F$49,"Short",P12:P49)</f>
        <v>-3.2789240020440646E-2</v>
      </c>
      <c r="R6" s="27">
        <f>SUMIF(R12:R49,"&lt;0")</f>
        <v>-1.7392723940459671E-3</v>
      </c>
      <c r="S6" s="170">
        <f>SUMIF($F$12:$F$49,"Short",S12:S49)</f>
        <v>-2.6918022784203924E-2</v>
      </c>
      <c r="T6" t="s">
        <v>100</v>
      </c>
      <c r="U6" s="33">
        <f>SUMIF($F$12:$F$49,"Short",U12:U49)</f>
        <v>-3.8883754363231559E-3</v>
      </c>
      <c r="V6" s="39">
        <f>SUMIF($F$12:$F$49,"Short",V12:V49)</f>
        <v>-5.970726280464457E-2</v>
      </c>
      <c r="W6" s="5">
        <f>V6/U6/10000</f>
        <v>1.5355323523261349E-3</v>
      </c>
      <c r="X6" s="5">
        <f>$X$3-W6</f>
        <v>2.4487039302082798E-3</v>
      </c>
      <c r="Y6" s="55">
        <f>-$U6*X6*10000</f>
        <v>9.521480213049846E-2</v>
      </c>
      <c r="Z6" s="9">
        <f>U6*$X$3*10000</f>
        <v>-0.15492206493514304</v>
      </c>
      <c r="AA6" s="33">
        <f>SUMIF($F$12:$F$49,"Short",AA12:AA49)</f>
        <v>-4.0527252007683716E-3</v>
      </c>
      <c r="AB6" s="276">
        <f>AA6/U6</f>
        <v>1.0422669485332992</v>
      </c>
      <c r="AC6" s="87" t="s">
        <v>168</v>
      </c>
      <c r="AD6" s="133">
        <v>150129038</v>
      </c>
      <c r="AE6" s="89">
        <f>AD6</f>
        <v>150129038</v>
      </c>
      <c r="AF6" s="3"/>
      <c r="AG6"/>
      <c r="AH6" s="32"/>
      <c r="AI6"/>
    </row>
    <row r="7" spans="1:39" ht="15.75" thickBot="1">
      <c r="B7" t="s">
        <v>90</v>
      </c>
      <c r="C7" s="175" cm="1">
        <f t="array" ref="C7">_xll.BDP(B7&amp;" EQUITY","LAST_PRICE")</f>
        <v>480.58</v>
      </c>
      <c r="D7" s="172">
        <f t="shared" si="0"/>
        <v>2.1901845708939272E-2</v>
      </c>
      <c r="E7" s="239" cm="1">
        <f t="array" ref="E7">_xll.BDP(B7&amp;" EQUITY","PX_YEST_CLOSE")</f>
        <v>470.28</v>
      </c>
      <c r="H7" t="s">
        <v>143</v>
      </c>
      <c r="I7" s="175" cm="1">
        <f t="array" ref="I7">_xll.BDP(H7&amp;" EQUITY","LAST_PRICE")</f>
        <v>105.94</v>
      </c>
      <c r="J7" s="172">
        <f t="shared" si="1"/>
        <v>4.1706161137440301E-3</v>
      </c>
      <c r="K7" s="239">
        <f>_xll.BDP(H7&amp;" EQUITY","PX_YEST_CLOSE")</f>
        <v>105.5</v>
      </c>
      <c r="L7" s="174"/>
      <c r="M7"/>
      <c r="N7" s="28"/>
      <c r="O7" s="29">
        <f>O5+O6</f>
        <v>1.1326267671672061E-2</v>
      </c>
      <c r="P7" s="169">
        <f>SUM(P12:P49)</f>
        <v>3.2606760030679802</v>
      </c>
      <c r="Q7" s="28"/>
      <c r="R7" s="29">
        <f>R5+R6</f>
        <v>9.2737794570720566E-3</v>
      </c>
      <c r="S7" s="169">
        <f>SUM(S12:S49)</f>
        <v>1.8661939964298575</v>
      </c>
      <c r="T7" s="449" t="s">
        <v>2290</v>
      </c>
      <c r="U7" s="344">
        <f>U5+U6</f>
        <v>1.9524819441190652E-2</v>
      </c>
      <c r="V7" s="345">
        <f>V5+V6</f>
        <v>5.3612187231908077</v>
      </c>
      <c r="W7" s="44">
        <f>V7/U7/10000</f>
        <v>2.7458480419442346E-2</v>
      </c>
      <c r="X7" s="44"/>
      <c r="Y7" s="56">
        <f>Y5+Y6</f>
        <v>4.5833037829155554</v>
      </c>
      <c r="Z7" s="47">
        <f>Z5+Z6</f>
        <v>0.7779149402752511</v>
      </c>
      <c r="AA7" s="34">
        <f>AA5+AA6</f>
        <v>2.6290873346195145E-2</v>
      </c>
      <c r="AB7" s="43"/>
      <c r="AC7" s="90" t="s">
        <v>169</v>
      </c>
      <c r="AD7" s="91">
        <f>AD5+AD6</f>
        <v>2396164106</v>
      </c>
      <c r="AE7" s="92">
        <f>AE5+AE6</f>
        <v>2396164106</v>
      </c>
      <c r="AG7"/>
      <c r="AH7" s="32"/>
      <c r="AI7"/>
      <c r="AK7" s="61" t="s">
        <v>170</v>
      </c>
      <c r="AL7" s="62" t="s">
        <v>171</v>
      </c>
      <c r="AM7" s="62" t="s">
        <v>172</v>
      </c>
    </row>
    <row r="8" spans="1:39">
      <c r="B8" t="s">
        <v>303</v>
      </c>
      <c r="C8" s="176" cm="1">
        <f t="array" ref="C8">_xll.BDP(B8&amp;" EQUITY","LAST_PRICE")</f>
        <v>334.55</v>
      </c>
      <c r="D8" s="172">
        <f t="shared" si="0"/>
        <v>3.8708515873493443E-3</v>
      </c>
      <c r="E8" s="239" cm="1">
        <f t="array" ref="E8">_xll.BDP(B8&amp;" EQUITY","PX_YEST_CLOSE")</f>
        <v>333.26</v>
      </c>
      <c r="F8" s="16"/>
      <c r="G8" s="16"/>
      <c r="H8" t="s">
        <v>144</v>
      </c>
      <c r="I8" s="175" cm="1">
        <f t="array" ref="I8">_xll.BDP(H8&amp;" EQUITY","LAST_PRICE")</f>
        <v>264.73</v>
      </c>
      <c r="J8" s="172">
        <f t="shared" si="1"/>
        <v>2.8411243276005305E-3</v>
      </c>
      <c r="K8" s="239" cm="1">
        <f t="array" ref="K8">_xll.BDP(H8&amp;" EQUITY","PX_YEST_CLOSE")</f>
        <v>263.98</v>
      </c>
      <c r="M8"/>
      <c r="N8" s="6"/>
      <c r="O8" s="30">
        <f>O5-O6</f>
        <v>1.8819250015845446E-2</v>
      </c>
      <c r="P8" s="31"/>
      <c r="Q8" s="6"/>
      <c r="R8" s="30">
        <f>R5-R6</f>
        <v>1.2752324245163992E-2</v>
      </c>
      <c r="S8" s="31"/>
      <c r="T8" s="6" t="s">
        <v>67</v>
      </c>
      <c r="U8" s="35">
        <f>U5-U6</f>
        <v>2.7301570313836968E-2</v>
      </c>
      <c r="V8" s="41"/>
      <c r="AA8" s="35">
        <f>AA5-AA6</f>
        <v>3.439632374773189E-2</v>
      </c>
      <c r="AB8" s="43"/>
      <c r="AD8" s="49">
        <f>AD5/AD7</f>
        <v>0.93734609510923039</v>
      </c>
      <c r="AG8"/>
      <c r="AH8" s="32"/>
      <c r="AI8"/>
      <c r="AK8" s="63">
        <v>2025</v>
      </c>
      <c r="AL8" s="63">
        <v>10</v>
      </c>
      <c r="AM8" s="63">
        <v>16</v>
      </c>
    </row>
    <row r="9" spans="1:39">
      <c r="B9" t="s">
        <v>81</v>
      </c>
      <c r="C9" s="175" cm="1">
        <f t="array" ref="C9">_xll.BDP(B9&amp;" EQUITY","LAST_PRICE")</f>
        <v>672.97</v>
      </c>
      <c r="D9" s="172">
        <f t="shared" si="0"/>
        <v>9.0725206734498798E-4</v>
      </c>
      <c r="E9" s="239">
        <f>_xll.BDP(B9&amp;" EQUITY","PX_YEST_CLOSE")</f>
        <v>672.36</v>
      </c>
      <c r="F9" s="16"/>
      <c r="G9" s="16"/>
      <c r="H9" t="s">
        <v>484</v>
      </c>
      <c r="I9" s="175" cm="1">
        <f t="array" ref="I9">_xll.BDP(H9&amp;" EQUITY","LAST_PRICE")</f>
        <v>90.42</v>
      </c>
      <c r="J9" s="172">
        <f t="shared" si="1"/>
        <v>2.6566757493188042E-2</v>
      </c>
      <c r="K9" s="239" cm="1">
        <f t="array" ref="K9">_xll.BDP(H9&amp;" EQUITY","PX_YEST_CLOSE")</f>
        <v>88.08</v>
      </c>
      <c r="N9" s="6"/>
      <c r="O9" s="30"/>
      <c r="P9" s="46"/>
      <c r="Q9" s="6"/>
      <c r="R9" s="30"/>
      <c r="S9" s="46"/>
      <c r="T9" s="339" t="s">
        <v>2138</v>
      </c>
      <c r="U9" s="340">
        <f>SUM(U18:U18)</f>
        <v>9.8355078635544704E-4</v>
      </c>
      <c r="V9" s="341">
        <f>SUM(V18:V18)</f>
        <v>-0.26890896094576749</v>
      </c>
      <c r="W9" s="123">
        <v>0.5</v>
      </c>
      <c r="X9" s="221">
        <v>0.25</v>
      </c>
      <c r="AD9" s="18"/>
      <c r="AF9" s="3"/>
      <c r="AG9" s="276"/>
      <c r="AH9" s="32"/>
      <c r="AI9"/>
    </row>
    <row r="10" spans="1:39">
      <c r="B10" t="s">
        <v>1887</v>
      </c>
      <c r="C10" s="175" cm="1">
        <f t="array" ref="C10">_xll.BDP(B10&amp;" EQUITY","LAST_PRICE")</f>
        <v>174.9</v>
      </c>
      <c r="D10" s="172">
        <f t="shared" si="0"/>
        <v>-4.1328655996491936E-2</v>
      </c>
      <c r="E10" s="239">
        <f>_xll.BDP(B10&amp;" EQUITY","PX_YEST_CLOSE")</f>
        <v>182.44</v>
      </c>
      <c r="F10" s="13"/>
      <c r="G10" s="13"/>
      <c r="H10" t="s">
        <v>131</v>
      </c>
      <c r="I10" s="175" cm="1">
        <f t="array" ref="I10">_xll.BDP(H10&amp;" EQUITY","LAST_PRICE")</f>
        <v>109.29</v>
      </c>
      <c r="J10" s="172">
        <f t="shared" si="1"/>
        <v>1.6840342389281782E-2</v>
      </c>
      <c r="K10" s="239">
        <f>_xll.BDP(H10&amp;" EQUITY","PX_YEST_CLOSE")</f>
        <v>107.48</v>
      </c>
      <c r="N10" s="6"/>
      <c r="P10" s="50">
        <f>SUM(Tabelad[D1 P&amp;L bps])</f>
        <v>3.2606760030679802</v>
      </c>
      <c r="Q10" s="6"/>
      <c r="S10" s="50">
        <f>SUM(Tabelad[Options P&amp;L bps])</f>
        <v>1.8661939964298575</v>
      </c>
      <c r="T10" s="342" t="s">
        <v>2291</v>
      </c>
      <c r="U10" s="342">
        <f>U7+U9</f>
        <v>2.0508370227546098E-2</v>
      </c>
      <c r="V10" s="343">
        <f>V7+V9</f>
        <v>5.0923097622450406</v>
      </c>
      <c r="W10" s="17">
        <f>AE7*W9/10000</f>
        <v>119808.2053</v>
      </c>
      <c r="X10" s="347"/>
      <c r="Y10" s="54">
        <v>0.35</v>
      </c>
      <c r="Z10" s="38">
        <f>SUM(Tabelad[Beta Adj])</f>
        <v>5.2857666440090902</v>
      </c>
      <c r="AA10" s="71" t="e">
        <f>AA7-SUM(#REF!)</f>
        <v>#REF!</v>
      </c>
      <c r="AD10" s="15">
        <f>SUM(Tabelad[Daily P&amp;L])</f>
        <v>732359.26482767577</v>
      </c>
      <c r="AE10" s="172"/>
      <c r="AF10" s="231" t="str" cm="1">
        <f t="array" ref="AF10">_xll.BDP(B10&amp;" Equity","EXPECTED_REPORT_DT")</f>
        <v>10/03/2026</v>
      </c>
      <c r="AG10" s="172"/>
      <c r="AH10" s="20" t="e">
        <f>SUM(AH12:AH49)+#REF!+#REF!</f>
        <v>#VALUE!</v>
      </c>
      <c r="AI10"/>
    </row>
    <row r="11" spans="1:39" s="10" customFormat="1" ht="36" customHeight="1" thickBot="1">
      <c r="A11" s="385"/>
      <c r="B11" s="57" t="s">
        <v>173</v>
      </c>
      <c r="C11" s="57" t="s">
        <v>1873</v>
      </c>
      <c r="D11" s="57" t="s">
        <v>1874</v>
      </c>
      <c r="E11" s="57" t="s">
        <v>175</v>
      </c>
      <c r="F11" s="57" t="s">
        <v>176</v>
      </c>
      <c r="G11" s="57" t="s">
        <v>177</v>
      </c>
      <c r="H11" s="57" t="s">
        <v>1707</v>
      </c>
      <c r="I11" s="417" t="s">
        <v>178</v>
      </c>
      <c r="J11" s="418" t="s">
        <v>103</v>
      </c>
      <c r="K11" s="439" t="s">
        <v>179</v>
      </c>
      <c r="L11" s="419" t="s">
        <v>180</v>
      </c>
      <c r="M11" s="420" t="s">
        <v>181</v>
      </c>
      <c r="N11" s="419" t="s">
        <v>182</v>
      </c>
      <c r="O11" s="57" t="s">
        <v>155</v>
      </c>
      <c r="P11" s="418" t="s">
        <v>156</v>
      </c>
      <c r="Q11" s="419" t="s">
        <v>183</v>
      </c>
      <c r="R11" s="57" t="s">
        <v>157</v>
      </c>
      <c r="S11" s="418" t="s">
        <v>158</v>
      </c>
      <c r="T11" s="57" t="s">
        <v>63</v>
      </c>
      <c r="U11" s="57" t="s">
        <v>159</v>
      </c>
      <c r="V11" s="418" t="s">
        <v>160</v>
      </c>
      <c r="W11" s="57" t="s">
        <v>184</v>
      </c>
      <c r="X11" s="417" t="s">
        <v>185</v>
      </c>
      <c r="Y11" s="421" t="s">
        <v>186</v>
      </c>
      <c r="Z11" s="57" t="s">
        <v>188</v>
      </c>
      <c r="AA11" s="57" t="s">
        <v>187</v>
      </c>
      <c r="AB11" s="421" t="s">
        <v>1695</v>
      </c>
      <c r="AC11" s="57" t="s">
        <v>1699</v>
      </c>
      <c r="AD11" s="57" t="s">
        <v>1701</v>
      </c>
      <c r="AE11" s="10" t="s">
        <v>189</v>
      </c>
      <c r="AF11" s="10" t="s">
        <v>190</v>
      </c>
      <c r="AG11" s="57" t="s">
        <v>191</v>
      </c>
      <c r="AH11" s="422" t="s">
        <v>192</v>
      </c>
      <c r="AI11" s="57" t="s">
        <v>1804</v>
      </c>
      <c r="AJ11" s="10" t="s">
        <v>193</v>
      </c>
    </row>
    <row r="12" spans="1:39">
      <c r="B12" s="40" t="s">
        <v>461</v>
      </c>
      <c r="C12" t="s">
        <v>1907</v>
      </c>
      <c r="E12" t="s">
        <v>194</v>
      </c>
      <c r="F12" s="22" t="str">
        <f>IF(T12&gt;0,"Long","Short")</f>
        <v>Long</v>
      </c>
      <c r="G12" s="15"/>
      <c r="H12" s="447">
        <v>3378</v>
      </c>
      <c r="I12" s="36" cm="1">
        <f t="array" ref="I12">_xll.BDP(B12&amp;" Equity","LAST_PRICE")</f>
        <v>172.72</v>
      </c>
      <c r="J12" s="51">
        <f t="shared" ref="J12:J45" si="2">I12/K12-1</f>
        <v>7.8776915446110429E-3</v>
      </c>
      <c r="K12" s="438" cm="1">
        <f t="array" ref="K12">_xll.BDP(B12&amp;" EQUITY","PX_YEST_CLOSE")</f>
        <v>171.37</v>
      </c>
      <c r="L12" s="53" cm="1">
        <f t="array" ref="L12">_xll.BDP(E12&amp;" Curncy","PX_LAST")</f>
        <v>1</v>
      </c>
      <c r="M12" s="52">
        <v>1</v>
      </c>
      <c r="N12" s="15">
        <f t="shared" ref="N12:N45" si="3">IFERROR(IF(((I12/L12)*H12*M12)&lt;&gt;0,((I12/L12)*H12*M12),0),"-")</f>
        <v>583448.16</v>
      </c>
      <c r="O12" s="357">
        <f>IFERROR(IF(Tabelad[[#This Row],[D1 Exp USD]]&lt;&gt;0,N12/$AE$7,0),"-")</f>
        <v>2.4349257153925502E-4</v>
      </c>
      <c r="P12" s="20">
        <f>IFERROR(IF(Tabelad[[#This Row],[D1 Exp USD]]&lt;&gt;0,((I12-K12)/L12*M12*H12)/$AD$7*10000,0),"-")</f>
        <v>1.903166810896207E-2</v>
      </c>
      <c r="Q12" s="15">
        <f>IF(SUM(SUMIFS(Options!$AL$4:$AL$26, Options!$D$4:$D$26, B12), SUMIFS(Options!$AL$4:$AL$26, Options!$D$4:$D$26, B12 &amp; " US"))=0,0,SUM(SUMIFS(Options!$AL$4:$AL$26, Options!$D$4:$D$26, B12), SUMIFS(Options!$AL$4:$AL$26, Options!$D$4:$D$26, B12 &amp; " US")))</f>
        <v>0</v>
      </c>
      <c r="R12" s="19">
        <f t="shared" ref="R12:R14" si="4">Q12/$AE$7</f>
        <v>0</v>
      </c>
      <c r="S12" s="20">
        <f>IF(SUM(SUMIFS(Options!$AK$4:$AK$26, Options!$D$4:$D$26, B12), SUMIFS(Options!$AK$4:$AK$26, Options!$D$4:$D$26, B12 &amp; " US"))=0,0,SUM(SUMIFS(Options!$AK$4:$AK$26, Options!$D$4:$D$26, B12), SUMIFS(Options!AK$4:$AK$26, Options!$D$4:$D$26, B12 &amp; " US")))</f>
        <v>0</v>
      </c>
      <c r="T12" s="13">
        <f t="shared" ref="T12:T45" si="5">N12+Q12</f>
        <v>583448.16</v>
      </c>
      <c r="U12" s="48">
        <f t="shared" ref="U12:U45" si="6">T12/$AE$7</f>
        <v>2.4349257153925502E-4</v>
      </c>
      <c r="V12" s="20">
        <f t="shared" ref="V12:V45" si="7">P12+S12</f>
        <v>1.903166810896207E-2</v>
      </c>
      <c r="W12" s="15">
        <f t="shared" ref="W12:W45" si="8">$W$10/(I12/L12*M12)</f>
        <v>693.65565829087541</v>
      </c>
      <c r="X12" s="19"/>
      <c r="Y12" s="375">
        <f>Tabelad[[#This Row],[Exp %]]*$Y$10*$AD$7/Tabelad[[#This Row],[Price Today]]</f>
        <v>1182.3</v>
      </c>
      <c r="Z12" s="266">
        <f>Tabelad[[#This Row],[Vol 10d]]/16*Tabelad[[#This Row],[Exp %]]*100</f>
        <v>6.8167335402798693E-2</v>
      </c>
      <c r="AA12" s="19">
        <f>Tabelad[[#This Row],[Exp %]]*Tabelad[[#This Row],[Beta Adj2]]</f>
        <v>2.0855824499400842E-4</v>
      </c>
      <c r="AB12" s="36">
        <f>_xll.BDP($B12&amp;" Equity","volatility_10d")</f>
        <v>44.793044795986475</v>
      </c>
      <c r="AC12" s="36">
        <f>_xll.BDP(B12&amp;" EQUITY","eqy_beta")</f>
        <v>0.85652816295623779</v>
      </c>
      <c r="AD12" s="15">
        <f>Tabelad[[#This Row],[D1 P&amp;L bps]]*$AD$5/10000</f>
        <v>4274.5793975266051</v>
      </c>
      <c r="AE12" s="277"/>
      <c r="AF12" s="231" t="str">
        <f>_xll.BDP(B12&amp;" Equity","EXPECTED_REPORT_DT")</f>
        <v>20/02/2026</v>
      </c>
      <c r="AG12" s="172" t="e">
        <f>_xll.BDP(B12&amp;" Index","CHG_PCT_1D_PRE_FROM_REGULAR")/100</f>
        <v>#VALUE!</v>
      </c>
      <c r="AH12" s="20" t="e">
        <f t="shared" ref="AH12:AH45" si="9">(T12*AG12)/$AD$7*10000</f>
        <v>#VALUE!</v>
      </c>
      <c r="AI12" s="446" t="str">
        <f>_xll.BDP(B12&amp;" Equity","DVD_EX_DT")</f>
        <v>12/06/2025</v>
      </c>
    </row>
    <row r="13" spans="1:39">
      <c r="B13" s="40" t="s">
        <v>2141</v>
      </c>
      <c r="C13" t="s">
        <v>1907</v>
      </c>
      <c r="E13" t="s">
        <v>194</v>
      </c>
      <c r="F13" s="22" t="str">
        <f>IF(T13&gt;0,"Long","Short")</f>
        <v>Long</v>
      </c>
      <c r="G13" s="15"/>
      <c r="H13" s="447">
        <v>3510</v>
      </c>
      <c r="I13" s="36" cm="1">
        <f t="array" ref="I13">_xll.BDP(B13&amp;" Equity","LAST_PRICE")</f>
        <v>157.63999999999999</v>
      </c>
      <c r="J13" s="51">
        <f t="shared" si="2"/>
        <v>9.9948744233724351E-3</v>
      </c>
      <c r="K13" s="438" cm="1">
        <f t="array" ref="K13">_xll.BDP(B13&amp;" EQUITY","PX_YEST_CLOSE")</f>
        <v>156.08000000000001</v>
      </c>
      <c r="L13" s="53" cm="1">
        <f t="array" ref="L13">_xll.BDP(E13&amp;" Curncy","PX_LAST")</f>
        <v>1</v>
      </c>
      <c r="M13" s="52">
        <v>1</v>
      </c>
      <c r="N13" s="15">
        <f t="shared" si="3"/>
        <v>553316.39999999991</v>
      </c>
      <c r="O13" s="357">
        <f>IFERROR(IF(Tabelad[[#This Row],[D1 Exp USD]]&lt;&gt;0,N13/$AE$7,0),"-")</f>
        <v>2.3091757305540738E-4</v>
      </c>
      <c r="P13" s="20">
        <f>IFERROR(IF(Tabelad[[#This Row],[D1 Exp USD]]&lt;&gt;0,((I13-K13)/L13*M13*H13)/$AD$7*10000,0),"-")</f>
        <v>2.2851523342199285E-2</v>
      </c>
      <c r="Q13" s="15">
        <f>IF(SUM(SUMIFS(Options!$AL$4:$AL$26, Options!$D$4:$D$26, B13), SUMIFS(Options!$AL$4:$AL$26, Options!$D$4:$D$26, B13 &amp; " US"))=0,0,SUM(SUMIFS(Options!$AL$4:$AL$26, Options!$D$4:$D$26, B13), SUMIFS(Options!$AL$4:$AL$26, Options!$D$4:$D$26, B13 &amp; " US")))</f>
        <v>0</v>
      </c>
      <c r="R13" s="19">
        <f t="shared" si="4"/>
        <v>0</v>
      </c>
      <c r="S13" s="20">
        <f>IF(SUM(SUMIFS(Options!$AK$4:$AK$26, Options!$D$4:$D$26, B13), SUMIFS(Options!$AK$4:$AK$26, Options!$D$4:$D$26, B13 &amp; " US"))=0,0,SUM(SUMIFS(Options!$AK$4:$AK$26, Options!$D$4:$D$26, B13), SUMIFS(Options!AK$4:$AK$26, Options!$D$4:$D$26, B13 &amp; " US")))</f>
        <v>0</v>
      </c>
      <c r="T13" s="13">
        <f t="shared" si="5"/>
        <v>553316.39999999991</v>
      </c>
      <c r="U13" s="48">
        <f t="shared" si="6"/>
        <v>2.3091757305540738E-4</v>
      </c>
      <c r="V13" s="20">
        <f t="shared" si="7"/>
        <v>2.2851523342199285E-2</v>
      </c>
      <c r="W13" s="15">
        <f t="shared" si="8"/>
        <v>760.01145204262889</v>
      </c>
      <c r="X13" s="19"/>
      <c r="Y13" s="375">
        <f>Tabelad[[#This Row],[Exp %]]*$Y$10*$AD$7/Tabelad[[#This Row],[Price Today]]</f>
        <v>1228.4999999999998</v>
      </c>
      <c r="Z13" s="266">
        <f>Tabelad[[#This Row],[Vol 10d]]/16*Tabelad[[#This Row],[Exp %]]*100</f>
        <v>7.0266989414025857E-2</v>
      </c>
      <c r="AA13" s="19">
        <f>Tabelad[[#This Row],[Exp %]]*Tabelad[[#This Row],[Beta Adj2]]</f>
        <v>2.3928995810123499E-4</v>
      </c>
      <c r="AB13" s="36">
        <f>_xll.BDP($B13&amp;" Equity","volatility_10d")</f>
        <v>48.687149087378074</v>
      </c>
      <c r="AC13" s="36">
        <f>_xll.BDP(B13&amp;" EQUITY","eqy_beta")</f>
        <v>1.0362570285797119</v>
      </c>
      <c r="AD13" s="15">
        <f>Tabelad[[#This Row],[D1 P&amp;L bps]]*$AD$5/10000</f>
        <v>5132.5322783800157</v>
      </c>
      <c r="AE13" s="277"/>
      <c r="AF13" s="231" t="str">
        <f>_xll.BDP(B13&amp;" Equity","EXPECTED_REPORT_DT")</f>
        <v>26/02/2026</v>
      </c>
      <c r="AG13" s="172" t="e">
        <f>_xll.BDP(B13&amp;" Index","CHG_PCT_1D_PRE_FROM_REGULAR")/100</f>
        <v>#VALUE!</v>
      </c>
      <c r="AH13" s="20" t="e">
        <f t="shared" si="9"/>
        <v>#VALUE!</v>
      </c>
      <c r="AI13" s="446" t="str">
        <f>_xll.BDP(B13&amp;" Equity","DVD_EX_DT")</f>
        <v>#N/A Field Not Applicable</v>
      </c>
    </row>
    <row r="14" spans="1:39">
      <c r="B14" s="40" t="s">
        <v>38</v>
      </c>
      <c r="C14" t="s">
        <v>1907</v>
      </c>
      <c r="E14" t="s">
        <v>194</v>
      </c>
      <c r="F14" s="22" t="str">
        <f>IF(T14&gt;0,"Long","Short")</f>
        <v>Long</v>
      </c>
      <c r="G14" s="15"/>
      <c r="H14" s="447"/>
      <c r="I14" s="36" cm="1">
        <f t="array" ref="I14">_xll.BDP(B14&amp;" Equity","LAST_PRICE")</f>
        <v>33.770000000000003</v>
      </c>
      <c r="J14" s="51">
        <f t="shared" si="2"/>
        <v>2.0771513353115001E-3</v>
      </c>
      <c r="K14" s="438" cm="1">
        <f t="array" ref="K14">_xll.BDP(B14&amp;" EQUITY","PX_YEST_CLOSE")</f>
        <v>33.700000000000003</v>
      </c>
      <c r="L14" s="53" cm="1">
        <f t="array" ref="L14">_xll.BDP(E14&amp;" Curncy","PX_LAST")</f>
        <v>1</v>
      </c>
      <c r="M14" s="52">
        <v>1</v>
      </c>
      <c r="N14" s="15">
        <f t="shared" si="3"/>
        <v>0</v>
      </c>
      <c r="O14" s="357">
        <f>IFERROR(IF(Tabelad[[#This Row],[D1 Exp USD]]&lt;&gt;0,N14/$AE$7,0),"-")</f>
        <v>0</v>
      </c>
      <c r="P14" s="20">
        <f>IFERROR(IF(Tabelad[[#This Row],[D1 Exp USD]]&lt;&gt;0,((I14-K14)/L14*M14*H14)/$AD$7*10000,0),"-")</f>
        <v>0</v>
      </c>
      <c r="Q14" s="15">
        <f>IF(SUM(SUMIFS(Options!$AL$4:$AL$26, Options!$D$4:$D$26, B14), SUMIFS(Options!$AL$4:$AL$26, Options!$D$4:$D$26, B14 &amp; " US"))=0,0,SUM(SUMIFS(Options!$AL$4:$AL$26, Options!$D$4:$D$26, B14), SUMIFS(Options!$AL$4:$AL$26, Options!$D$4:$D$26, B14 &amp; " US")))</f>
        <v>859466.13091230416</v>
      </c>
      <c r="R14" s="19">
        <f t="shared" si="4"/>
        <v>3.5868416890153692E-4</v>
      </c>
      <c r="S14" s="20">
        <f>IF(SUM(SUMIFS(Options!$AK$4:$AK$26, Options!$D$4:$D$26, B14), SUMIFS(Options!$AK$4:$AK$26, Options!$D$4:$D$26, B14 &amp; " US"))=0,0,SUM(SUMIFS(Options!$AK$4:$AK$26, Options!$D$4:$D$26, B14), SUMIFS(Options!AK$4:$AK$26, Options!$D$4:$D$26, B14 &amp; " US")))</f>
        <v>-2.5266604557876046E-2</v>
      </c>
      <c r="T14" s="13">
        <f t="shared" si="5"/>
        <v>859466.13091230416</v>
      </c>
      <c r="U14" s="48">
        <f t="shared" si="6"/>
        <v>3.5868416890153692E-4</v>
      </c>
      <c r="V14" s="20">
        <f t="shared" si="7"/>
        <v>-2.5266604557876046E-2</v>
      </c>
      <c r="W14" s="15">
        <f t="shared" si="8"/>
        <v>3547.770367189813</v>
      </c>
      <c r="X14" s="19"/>
      <c r="Y14" s="375">
        <f>Tabelad[[#This Row],[Exp %]]*$Y$10*$AD$7/Tabelad[[#This Row],[Price Today]]</f>
        <v>8907.7034592628479</v>
      </c>
      <c r="Z14" s="266">
        <f>Tabelad[[#This Row],[Vol 10d]]/16*Tabelad[[#This Row],[Exp %]]*100</f>
        <v>2.2725976235154651E-2</v>
      </c>
      <c r="AA14" s="19">
        <f>Tabelad[[#This Row],[Exp %]]*Tabelad[[#This Row],[Beta Adj2]]</f>
        <v>4.0925706628301846E-4</v>
      </c>
      <c r="AB14" s="36">
        <f>_xll.BDP($B14&amp;" Equity","volatility_10d")</f>
        <v>10.13748727400041</v>
      </c>
      <c r="AC14" s="36">
        <f>_xll.BDP(B14&amp;" EQUITY","eqy_beta")</f>
        <v>1.1409956216812134</v>
      </c>
      <c r="AD14" s="15">
        <f>Tabelad[[#This Row],[D1 P&amp;L bps]]*$AD$5/10000</f>
        <v>0</v>
      </c>
      <c r="AE14" s="277"/>
      <c r="AF14" s="231" t="str">
        <f>_xll.BDP(B14&amp;" Equity","EXPECTED_REPORT_DT")</f>
        <v>#N/A N/A</v>
      </c>
      <c r="AG14" s="172">
        <f>_xll.BDP(B14&amp;" Index","CHG_PCT_1D_PRE_FROM_REGULAR")/100</f>
        <v>-1.7804559999999999E-3</v>
      </c>
      <c r="AH14" s="20">
        <f t="shared" si="9"/>
        <v>-6.3862138062575477E-3</v>
      </c>
      <c r="AI14" s="446" t="str">
        <f>_xll.BDP(B14&amp;" Equity","DVD_EX_DT")</f>
        <v>19/12/2025</v>
      </c>
    </row>
    <row r="15" spans="1:39" s="59" customFormat="1">
      <c r="A15" s="468" t="s">
        <v>1770</v>
      </c>
      <c r="B15" s="423" t="s">
        <v>38</v>
      </c>
      <c r="C15" s="59" t="s">
        <v>1907</v>
      </c>
      <c r="E15" s="59" t="s">
        <v>194</v>
      </c>
      <c r="F15" s="163" t="str">
        <f>IF(T15&gt;0,"Long","Short")</f>
        <v>Long</v>
      </c>
      <c r="G15" s="404"/>
      <c r="H15" s="469">
        <v>21000</v>
      </c>
      <c r="I15" s="14" cm="1">
        <f t="array" ref="I15">_xll.BDP(B15&amp;" Equity","LAST_PRICE")</f>
        <v>33.770000000000003</v>
      </c>
      <c r="J15" s="470">
        <f t="shared" ref="J15" si="10">I15/K15-1</f>
        <v>1.4827995255042303E-3</v>
      </c>
      <c r="K15" s="471">
        <v>33.72</v>
      </c>
      <c r="L15" s="8" cm="1">
        <f t="array" ref="L15">_xll.BDP(E15&amp;" Curncy","PX_LAST")</f>
        <v>1</v>
      </c>
      <c r="M15" s="472">
        <v>1</v>
      </c>
      <c r="N15" s="404">
        <f t="shared" ref="N15" si="11">IFERROR(IF(((I15/L15)*H15*M15)&lt;&gt;0,((I15/L15)*H15*M15),0),"-")</f>
        <v>709170.00000000012</v>
      </c>
      <c r="O15" s="473">
        <f>IFERROR(IF(Tabelad[[#This Row],[D1 Exp USD]]&lt;&gt;0,N15/$AE$7,0),"-")</f>
        <v>2.9596053050967461E-4</v>
      </c>
      <c r="P15" s="474">
        <f>IFERROR(IF(Tabelad[[#This Row],[D1 Exp USD]]&lt;&gt;0,((I15-K15)/L15*M15*H15)/$AD$7*10000,0),"-")</f>
        <v>4.3820037090568521E-3</v>
      </c>
      <c r="Q15" s="404"/>
      <c r="R15" s="128"/>
      <c r="S15" s="474"/>
      <c r="T15" s="475">
        <f t="shared" ref="T15" si="12">N15+Q15</f>
        <v>709170.00000000012</v>
      </c>
      <c r="U15" s="476">
        <f t="shared" ref="U15" si="13">T15/$AE$7</f>
        <v>2.9596053050967461E-4</v>
      </c>
      <c r="V15" s="474">
        <f t="shared" ref="V15" si="14">P15+S15</f>
        <v>4.3820037090568521E-3</v>
      </c>
      <c r="W15" s="404">
        <f t="shared" ref="W15" si="15">$W$10/(I15/L15*M15)</f>
        <v>3547.770367189813</v>
      </c>
      <c r="X15" s="128"/>
      <c r="Y15" s="477">
        <f>Tabelad[[#This Row],[Exp %]]*$Y$10*$AD$7/Tabelad[[#This Row],[Price Today]]</f>
        <v>7350.0000000000009</v>
      </c>
      <c r="Z15" s="478">
        <f>Tabelad[[#This Row],[Vol 10d]]/16*Tabelad[[#This Row],[Exp %]]*100</f>
        <v>1.875185069780148E-2</v>
      </c>
      <c r="AA15" s="128">
        <f>Tabelad[[#This Row],[Exp %]]*Tabelad[[#This Row],[Beta Adj2]]</f>
        <v>3.3768966950198788E-4</v>
      </c>
      <c r="AB15" s="14">
        <f>_xll.BDP($B15&amp;" Equity","volatility_10d")</f>
        <v>10.13748727400041</v>
      </c>
      <c r="AC15" s="14">
        <f>_xll.BDP(B15&amp;" EQUITY","eqy_beta")</f>
        <v>1.1409956216812134</v>
      </c>
      <c r="AD15" s="404">
        <f>Tabelad[[#This Row],[D1 P&amp;L bps]]*$AD$5/10000</f>
        <v>984.21339986477585</v>
      </c>
      <c r="AE15" s="337"/>
      <c r="AF15" s="479" t="str">
        <f>_xll.BDP(B15&amp;" Equity","EXPECTED_REPORT_DT")</f>
        <v>#N/A N/A</v>
      </c>
      <c r="AG15" s="480">
        <f>_xll.BDP(B15&amp;" Index","CHG_PCT_1D_PRE_FROM_REGULAR")/100</f>
        <v>-1.7804559999999999E-3</v>
      </c>
      <c r="AH15" s="474">
        <f t="shared" ref="AH15" si="16">(T15*AG15)/$AD$7*10000</f>
        <v>-5.269447023091331E-3</v>
      </c>
      <c r="AI15" s="481" t="str">
        <f>_xll.BDP(B15&amp;" Equity","DVD_EX_DT")</f>
        <v>19/12/2025</v>
      </c>
    </row>
    <row r="16" spans="1:39">
      <c r="B16" s="40" t="s">
        <v>3</v>
      </c>
      <c r="C16" t="s">
        <v>78</v>
      </c>
      <c r="E16" t="s">
        <v>194</v>
      </c>
      <c r="F16" s="22" t="str">
        <f>IF(T16&gt;0,"Long","Short")</f>
        <v>Short</v>
      </c>
      <c r="G16" s="15"/>
      <c r="H16" s="447">
        <v>-13000</v>
      </c>
      <c r="I16" s="36" cm="1">
        <f t="array" ref="I16">_xll.BDP(B16&amp;" Equity","LAST_PRICE")</f>
        <v>198.93</v>
      </c>
      <c r="J16" s="51">
        <f t="shared" ref="J16" si="17">I16/K16-1</f>
        <v>-1.5559124673760749E-3</v>
      </c>
      <c r="K16" s="438" cm="1">
        <f t="array" ref="K16">_xll.BDP(B16&amp;" EQUITY","PX_YEST_CLOSE")</f>
        <v>199.24</v>
      </c>
      <c r="L16" s="53" cm="1">
        <f t="array" ref="L16">_xll.BDP(E16&amp;" Curncy","PX_LAST")</f>
        <v>1</v>
      </c>
      <c r="M16" s="52">
        <v>1</v>
      </c>
      <c r="N16" s="15">
        <f t="shared" ref="N16" si="18">IFERROR(IF(((I16/L16)*H16*M16)&lt;&gt;0,((I16/L16)*H16*M16),0),"-")</f>
        <v>-2586090</v>
      </c>
      <c r="O16" s="357">
        <f>IFERROR(IF(Tabelad[[#This Row],[D1 Exp USD]]&lt;&gt;0,N16/$AE$7,0),"-")</f>
        <v>-1.0792624735194161E-3</v>
      </c>
      <c r="P16" s="20">
        <f>IFERROR(IF(Tabelad[[#This Row],[D1 Exp USD]]&lt;&gt;0,((I16-K16)/L16*M16*H16)/$AD$7*10000,0),"-")</f>
        <v>1.6818547569045463E-2</v>
      </c>
      <c r="Q16" s="15">
        <f>IF(SUM(SUMIFS(Options!$AL$4:$AL$26, Options!$D$4:$D$26, B16), SUMIFS(Options!$AL$4:$AL$26, Options!$D$4:$D$26, B16 &amp; " US"))=0,0,SUM(SUMIFS(Options!$AL$4:$AL$26, Options!$D$4:$D$26, B16), SUMIFS(Options!$AL$4:$AL$26, Options!$D$4:$D$26, B16 &amp; " US")))</f>
        <v>0</v>
      </c>
      <c r="R16" s="19">
        <f t="shared" ref="R16" si="19">Q16/$AE$7</f>
        <v>0</v>
      </c>
      <c r="S16" s="20">
        <f>IF(SUM(SUMIFS(Options!$AK$4:$AK$26, Options!$D$4:$D$26, B16), SUMIFS(Options!$AK$4:$AK$26, Options!$D$4:$D$26, B16 &amp; " US"))=0,0,SUM(SUMIFS(Options!$AK$4:$AK$26, Options!$D$4:$D$26, B16), SUMIFS(Options!AK$4:$AK$26, Options!$D$4:$D$26, B16 &amp; " US")))</f>
        <v>0</v>
      </c>
      <c r="T16" s="13">
        <f t="shared" ref="T16" si="20">N16+Q16</f>
        <v>-2586090</v>
      </c>
      <c r="U16" s="48">
        <f t="shared" ref="U16" si="21">T16/$AE$7</f>
        <v>-1.0792624735194161E-3</v>
      </c>
      <c r="V16" s="20">
        <f t="shared" ref="V16" si="22">P16+S16</f>
        <v>1.6818547569045463E-2</v>
      </c>
      <c r="W16" s="15">
        <f t="shared" ref="W16" si="23">$W$10/(I16/L16*M16)</f>
        <v>602.26313426833553</v>
      </c>
      <c r="X16" s="19"/>
      <c r="Y16" s="375">
        <f>Tabelad[[#This Row],[Exp %]]*$Y$10*$AD$7/Tabelad[[#This Row],[Price Today]]</f>
        <v>-4550</v>
      </c>
      <c r="Z16" s="266">
        <f>Tabelad[[#This Row],[Vol 10d]]/16*Tabelad[[#This Row],[Exp %]]*100</f>
        <v>-9.2538120692434236E-2</v>
      </c>
      <c r="AA16" s="19">
        <f>Tabelad[[#This Row],[Exp %]]*Tabelad[[#This Row],[Beta Adj2]]</f>
        <v>-1.0753403952825974E-3</v>
      </c>
      <c r="AB16" s="36">
        <f>_xll.BDP($B16&amp;" Equity","volatility_10d")</f>
        <v>13.718719657237404</v>
      </c>
      <c r="AC16" s="36">
        <f>_xll.BDP(B16&amp;" EQUITY","eqy_beta")</f>
        <v>0.99636596441268921</v>
      </c>
      <c r="AD16" s="15">
        <f>Tabelad[[#This Row],[D1 P&amp;L bps]]*$AD$5/10000</f>
        <v>3777.5047632902265</v>
      </c>
      <c r="AE16" s="277"/>
      <c r="AF16" s="231" t="str">
        <f>_xll.BDP(B16&amp;" Equity","EXPECTED_REPORT_DT")</f>
        <v>#N/A N/A</v>
      </c>
      <c r="AG16" s="172" t="e">
        <f>_xll.BDP(B16&amp;" Index","CHG_PCT_1D_PRE_FROM_REGULAR")/100</f>
        <v>#VALUE!</v>
      </c>
      <c r="AH16" s="20" t="e">
        <f t="shared" ref="AH16" si="24">(T16*AG16)/$AD$7*10000</f>
        <v>#VALUE!</v>
      </c>
      <c r="AI16" s="446" t="str">
        <f>_xll.BDP(B16&amp;" Equity","DVD_EX_DT")</f>
        <v>22/12/2025</v>
      </c>
    </row>
    <row r="17" spans="1:35" s="59" customFormat="1">
      <c r="A17" s="468"/>
      <c r="B17" s="423" t="s">
        <v>135</v>
      </c>
      <c r="C17" s="59" t="s">
        <v>78</v>
      </c>
      <c r="E17" s="59" t="s">
        <v>194</v>
      </c>
      <c r="F17" s="163" t="str">
        <f>IF(T17&gt;0,"Long","Short")</f>
        <v>Short</v>
      </c>
      <c r="G17" s="404"/>
      <c r="H17" s="469"/>
      <c r="I17" s="14" cm="1">
        <f t="array" ref="I17">_xll.BDP(B17&amp;" Equity","LAST_PRICE")</f>
        <v>631.13</v>
      </c>
      <c r="J17" s="470">
        <f t="shared" ref="J17" si="25">I17/K17-1</f>
        <v>9.0653279186518887E-3</v>
      </c>
      <c r="K17" s="471" cm="1">
        <f t="array" ref="K17">_xll.BDP(B17&amp;" EQUITY","PX_YEST_CLOSE")</f>
        <v>625.46</v>
      </c>
      <c r="L17" s="8" cm="1">
        <f t="array" ref="L17">_xll.BDP(E17&amp;" Curncy","PX_LAST")</f>
        <v>1</v>
      </c>
      <c r="M17" s="472">
        <v>1</v>
      </c>
      <c r="N17" s="404">
        <f t="shared" ref="N17" si="26">IFERROR(IF(((I17/L17)*H17*M17)&lt;&gt;0,((I17/L17)*H17*M17),0),"-")</f>
        <v>0</v>
      </c>
      <c r="O17" s="473">
        <f>IFERROR(IF(Tabelad[[#This Row],[D1 Exp USD]]&lt;&gt;0,N17/$AE$7,0),"-")</f>
        <v>0</v>
      </c>
      <c r="P17" s="474">
        <f>IFERROR(IF(Tabelad[[#This Row],[D1 Exp USD]]&lt;&gt;0,((I17-K17)/L17*M17*H17)/$AD$7*10000,0),"-")</f>
        <v>0</v>
      </c>
      <c r="Q17" s="404">
        <f>IF(SUM(SUMIFS(Options!$AL$4:$AL$26, Options!$D$4:$D$26, B17), SUMIFS(Options!$AL$4:$AL$26, Options!$D$4:$D$26, B17 &amp; " US"))=0,0,SUM(SUMIFS(Options!$AL$4:$AL$26, Options!$D$4:$D$26, B17), SUMIFS(Options!$AL$4:$AL$26, Options!$D$4:$D$26, B17 &amp; " US")))</f>
        <v>-3595426.7781302333</v>
      </c>
      <c r="R17" s="128">
        <f t="shared" ref="R17" si="27">Q17/$AE$7</f>
        <v>-1.5004927121340633E-3</v>
      </c>
      <c r="S17" s="474">
        <f>IF(SUM(SUMIFS(Options!$AK$4:$AK$26, Options!$D$4:$D$26, B17), SUMIFS(Options!$AK$4:$AK$26, Options!$D$4:$D$26, B17 &amp; " US"))=0,0,SUM(SUMIFS(Options!$AK$4:$AK$26, Options!$D$4:$D$26, B17), SUMIFS(Options!AK$4:$AK$26, Options!$D$4:$D$26, B17 &amp; " US")))</f>
        <v>0</v>
      </c>
      <c r="T17" s="475">
        <f t="shared" ref="T17" si="28">N17+Q17</f>
        <v>-3595426.7781302333</v>
      </c>
      <c r="U17" s="476">
        <f t="shared" ref="U17" si="29">T17/$AE$7</f>
        <v>-1.5004927121340633E-3</v>
      </c>
      <c r="V17" s="474">
        <f t="shared" ref="V17" si="30">P17+S17</f>
        <v>0</v>
      </c>
      <c r="W17" s="404">
        <f t="shared" ref="W17" si="31">$W$10/(I17/L17*M17)</f>
        <v>189.83126344810103</v>
      </c>
      <c r="X17" s="128"/>
      <c r="Y17" s="477">
        <f>Tabelad[[#This Row],[Exp %]]*$Y$10*$AD$7/Tabelad[[#This Row],[Price Today]]</f>
        <v>-1993.8829913735385</v>
      </c>
      <c r="Z17" s="478">
        <f>Tabelad[[#This Row],[Vol 10d]]/16*Tabelad[[#This Row],[Exp %]]*100</f>
        <v>-0.16298537158351481</v>
      </c>
      <c r="AA17" s="128">
        <f>Tabelad[[#This Row],[Exp %]]*Tabelad[[#This Row],[Beta Adj2]]</f>
        <v>-1.5020081213959098E-3</v>
      </c>
      <c r="AB17" s="14">
        <f>_xll.BDP($B17&amp;" Equity","volatility_10d")</f>
        <v>17.37939760885185</v>
      </c>
      <c r="AC17" s="14">
        <f>_xll.BDP(B17&amp;" EQUITY","eqy_beta")</f>
        <v>1.0010099411010742</v>
      </c>
      <c r="AD17" s="404">
        <f>Tabelad[[#This Row],[D1 P&amp;L bps]]*$AD$5/10000</f>
        <v>0</v>
      </c>
      <c r="AE17" s="337"/>
      <c r="AF17" s="479" t="str">
        <f>_xll.BDP(B17&amp;" Equity","EXPECTED_REPORT_DT")</f>
        <v>#N/A N/A</v>
      </c>
      <c r="AG17" s="480">
        <f>_xll.BDP(B17&amp;" Index","CHG_PCT_1D_PRE_FROM_REGULAR")/100</f>
        <v>5.5318650000000004E-3</v>
      </c>
      <c r="AH17" s="474">
        <f t="shared" ref="AH17" si="32">(T17*AG17)/$AD$7*10000</f>
        <v>-8.300523117009502E-2</v>
      </c>
      <c r="AI17" s="481" t="str">
        <f>_xll.BDP(B17&amp;" Equity","DVD_EX_DT")</f>
        <v>22/12/2025</v>
      </c>
    </row>
    <row r="18" spans="1:35">
      <c r="B18" s="40" t="s">
        <v>131</v>
      </c>
      <c r="C18" t="s">
        <v>2138</v>
      </c>
      <c r="E18" t="s">
        <v>194</v>
      </c>
      <c r="F18" s="22"/>
      <c r="G18" s="15"/>
      <c r="H18" s="447">
        <v>11500</v>
      </c>
      <c r="I18" s="36" cm="1">
        <f t="array" ref="I18">_xll.BDP(B18&amp;" Equity","LAST_PRICE")</f>
        <v>109.29</v>
      </c>
      <c r="J18" s="51">
        <f t="shared" ref="J18:J23" si="33">I18/K18-1</f>
        <v>1.6840342389281782E-2</v>
      </c>
      <c r="K18" s="438" cm="1">
        <f t="array" ref="K18">_xll.BDP(B18&amp;" EQUITY","PX_YEST_CLOSE")</f>
        <v>107.48</v>
      </c>
      <c r="L18" s="53" cm="1">
        <f t="array" ref="L18">_xll.BDP(E18&amp;" Curncy","PX_LAST")</f>
        <v>1</v>
      </c>
      <c r="M18" s="52">
        <v>1</v>
      </c>
      <c r="N18" s="15">
        <f t="shared" ref="N18:N23" si="34">IFERROR(IF(((I18/L18)*H18*M18)&lt;&gt;0,((I18/L18)*H18*M18),0),"-")</f>
        <v>1256835</v>
      </c>
      <c r="O18" s="357">
        <f>IFERROR(IF(Tabelad[[#This Row],[D1 Exp USD]]&lt;&gt;0,N18/$AE$7,0),"-")</f>
        <v>5.2451958396876179E-4</v>
      </c>
      <c r="P18" s="20">
        <f>IFERROR(IF(Tabelad[[#This Row],[D1 Exp USD]]&lt;&gt;0,((I18-K18)/L18*M18*H18)/$AD$7*10000,0),"-")</f>
        <v>8.6868006860962577E-2</v>
      </c>
      <c r="Q18" s="15">
        <f>IF(SUM(SUMIFS(Options!$AL$4:$AL$26, Options!$D$4:$D$26, B18), SUMIFS(Options!$AL$4:$AL$26, Options!$D$4:$D$26, B18 &amp; " US"))=0,0,SUM(SUMIFS(Options!$AL$4:$AL$26, Options!$D$4:$D$26, B18), SUMIFS(Options!$AL$4:$AL$26, Options!$D$4:$D$26, B18 &amp; " US")))</f>
        <v>1099914.090692997</v>
      </c>
      <c r="R18" s="19">
        <f t="shared" ref="R18" si="35">Q18/$AE$7</f>
        <v>4.5903120238668536E-4</v>
      </c>
      <c r="S18" s="20">
        <f>IF(SUM(SUMIFS(Options!$AK$4:$AK$26, Options!$D$4:$D$26, B18), SUMIFS(Options!$AK$4:$AK$26, Options!$D$4:$D$26, B18 &amp; " US"))=0,0,SUM(SUMIFS(Options!$AK$4:$AK$26, Options!$D$4:$D$26, B18), SUMIFS(Options!AK$4:$AK$26, Options!$D$4:$D$26, B18 &amp; " US")))</f>
        <v>-0.35577696780673007</v>
      </c>
      <c r="T18" s="13">
        <f t="shared" ref="T18:T23" si="36">N18+Q18</f>
        <v>2356749.090692997</v>
      </c>
      <c r="U18" s="48">
        <f t="shared" ref="U18:U23" si="37">T18/$AE$7</f>
        <v>9.8355078635544704E-4</v>
      </c>
      <c r="V18" s="20">
        <f t="shared" ref="V18:V23" si="38">P18+S18</f>
        <v>-0.26890896094576749</v>
      </c>
      <c r="W18" s="15">
        <f t="shared" si="8"/>
        <v>1096.2412416506543</v>
      </c>
      <c r="X18" s="19"/>
      <c r="Y18" s="375">
        <f>Tabelad[[#This Row],[Exp %]]*$Y$10*$AD$7/Tabelad[[#This Row],[Price Today]]</f>
        <v>7547.4625468254071</v>
      </c>
      <c r="Z18" s="266">
        <f>Tabelad[[#This Row],[Vol 10d]]/16*Tabelad[[#This Row],[Exp %]]*100</f>
        <v>0.20983475572963151</v>
      </c>
      <c r="AA18" s="19">
        <f>Tabelad[[#This Row],[Exp %]]*Tabelad[[#This Row],[Beta Adj2]]</f>
        <v>9.7477146137319457E-4</v>
      </c>
      <c r="AB18" s="36">
        <f>_xll.BDP($B18&amp;" Equity","volatility_10d")</f>
        <v>34.135055741400052</v>
      </c>
      <c r="AC18" s="36">
        <f>_xll.BDP(B18&amp;" EQUITY","eqy_beta")</f>
        <v>0.9910738468170166</v>
      </c>
      <c r="AD18" s="15">
        <f>Tabelad[[#This Row],[D1 P&amp;L bps]]*$AD$5/10000</f>
        <v>19510.858969698656</v>
      </c>
      <c r="AE18" s="277"/>
      <c r="AF18" s="231" t="str">
        <f>_xll.BDP(B18&amp;" Equity","EXPECTED_REPORT_DT")</f>
        <v>#N/A N/A</v>
      </c>
      <c r="AG18" s="172">
        <f>_xll.BDP(B18&amp;" Index","CHG_PCT_1D_PRE_FROM_REGULAR")/100</f>
        <v>3.7215659999999999E-3</v>
      </c>
      <c r="AH18" s="20">
        <f t="shared" si="9"/>
        <v>3.6603491657736957E-2</v>
      </c>
      <c r="AI18" s="446" t="str">
        <f>_xll.BDP(B18&amp;" Equity","DVD_EX_DT")</f>
        <v>22/12/2025</v>
      </c>
    </row>
    <row r="19" spans="1:35" s="59" customFormat="1">
      <c r="A19" s="468" t="s">
        <v>1770</v>
      </c>
      <c r="B19" s="423" t="s">
        <v>131</v>
      </c>
      <c r="C19" s="59" t="s">
        <v>2138</v>
      </c>
      <c r="E19" s="59" t="s">
        <v>194</v>
      </c>
      <c r="F19" s="163"/>
      <c r="G19" s="404"/>
      <c r="H19" s="469">
        <v>2010</v>
      </c>
      <c r="I19" s="14" cm="1">
        <f t="array" ref="I19">_xll.BDP(B19&amp;" Equity","LAST_PRICE")</f>
        <v>109.29</v>
      </c>
      <c r="J19" s="470">
        <f t="shared" ref="J19" si="39">I19/K19-1</f>
        <v>3.9174669582580535E-2</v>
      </c>
      <c r="K19" s="471">
        <v>105.17</v>
      </c>
      <c r="L19" s="8" cm="1">
        <f t="array" ref="L19">_xll.BDP(E19&amp;" Curncy","PX_LAST")</f>
        <v>1</v>
      </c>
      <c r="M19" s="472">
        <v>1</v>
      </c>
      <c r="N19" s="404">
        <f t="shared" ref="N19" si="40">IFERROR(IF(((I19/L19)*H19*M19)&lt;&gt;0,((I19/L19)*H19*M19),0),"-")</f>
        <v>219672.90000000002</v>
      </c>
      <c r="O19" s="473">
        <f>IFERROR(IF(Tabelad[[#This Row],[D1 Exp USD]]&lt;&gt;0,N19/$AE$7,0),"-")</f>
        <v>9.1676901198018372E-5</v>
      </c>
      <c r="P19" s="474">
        <f>IFERROR(IF(Tabelad[[#This Row],[D1 Exp USD]]&lt;&gt;0,((I19-K19)/L19*M19*H19)/$AD$7*10000,0),"-")</f>
        <v>3.4560237252798616E-2</v>
      </c>
      <c r="Q19" s="404"/>
      <c r="R19" s="128"/>
      <c r="S19" s="474"/>
      <c r="T19" s="475">
        <f t="shared" ref="T19" si="41">N19+Q19</f>
        <v>219672.90000000002</v>
      </c>
      <c r="U19" s="476">
        <f t="shared" ref="U19" si="42">T19/$AE$7</f>
        <v>9.1676901198018372E-5</v>
      </c>
      <c r="V19" s="474">
        <f t="shared" ref="V19" si="43">P19+S19</f>
        <v>3.4560237252798616E-2</v>
      </c>
      <c r="W19" s="404">
        <f t="shared" ref="W19" si="44">$W$10/(I19/L19*M19)</f>
        <v>1096.2412416506543</v>
      </c>
      <c r="X19" s="128"/>
      <c r="Y19" s="477">
        <f>Tabelad[[#This Row],[Exp %]]*$Y$10*$AD$7/Tabelad[[#This Row],[Price Today]]</f>
        <v>703.5</v>
      </c>
      <c r="Z19" s="478">
        <f>Tabelad[[#This Row],[Vol 10d]]/16*Tabelad[[#This Row],[Exp %]]*100</f>
        <v>1.955872582870739E-2</v>
      </c>
      <c r="AA19" s="128">
        <f>Tabelad[[#This Row],[Exp %]]*Tabelad[[#This Row],[Beta Adj2]]</f>
        <v>9.0858579134583622E-5</v>
      </c>
      <c r="AB19" s="14">
        <f>_xll.BDP($B19&amp;" Equity","volatility_10d")</f>
        <v>34.135055741400052</v>
      </c>
      <c r="AC19" s="14">
        <f>_xll.BDP(B19&amp;" EQUITY","eqy_beta")</f>
        <v>0.9910738468170166</v>
      </c>
      <c r="AD19" s="404">
        <f>Tabelad[[#This Row],[D1 P&amp;L bps]]*$AD$5/10000</f>
        <v>7762.3504828185678</v>
      </c>
      <c r="AE19" s="337"/>
      <c r="AF19" s="479" t="str">
        <f>_xll.BDP(B19&amp;" Equity","EXPECTED_REPORT_DT")</f>
        <v>#N/A N/A</v>
      </c>
      <c r="AG19" s="480">
        <f>_xll.BDP(B19&amp;" Index","CHG_PCT_1D_PRE_FROM_REGULAR")/100</f>
        <v>3.7215659999999999E-3</v>
      </c>
      <c r="AH19" s="474">
        <f t="shared" ref="AH19" si="45">(T19*AG19)/$AD$7*10000</f>
        <v>3.4118163848390446E-3</v>
      </c>
      <c r="AI19" s="481" t="str">
        <f>_xll.BDP(B19&amp;" Equity","DVD_EX_DT")</f>
        <v>22/12/2025</v>
      </c>
    </row>
    <row r="20" spans="1:35">
      <c r="B20" s="40" t="s">
        <v>2148</v>
      </c>
      <c r="C20" t="s">
        <v>2252</v>
      </c>
      <c r="E20" t="s">
        <v>194</v>
      </c>
      <c r="F20" s="22" t="s">
        <v>99</v>
      </c>
      <c r="G20" s="15"/>
      <c r="H20" s="447">
        <v>10250</v>
      </c>
      <c r="I20" s="36" cm="1">
        <f t="array" ref="I20">_xll.BDP(B20&amp;" Equity","LAST_PRICE")</f>
        <v>335</v>
      </c>
      <c r="J20" s="51">
        <f t="shared" si="33"/>
        <v>4.2267454060374021E-3</v>
      </c>
      <c r="K20" s="438" cm="1">
        <f t="array" ref="K20">_xll.BDP(B20&amp;" EQUITY","PX_YEST_CLOSE")</f>
        <v>333.59</v>
      </c>
      <c r="L20" s="53" cm="1">
        <f t="array" ref="L20">_xll.BDP(E20&amp;" Curncy","PX_LAST")</f>
        <v>1</v>
      </c>
      <c r="M20" s="52">
        <v>1</v>
      </c>
      <c r="N20" s="15">
        <f t="shared" si="34"/>
        <v>3433750</v>
      </c>
      <c r="O20" s="357">
        <f>IFERROR(IF(Tabelad[[#This Row],[D1 Exp USD]]&lt;&gt;0,N20/$AE$7,0),"-")</f>
        <v>1.4330195462831125E-3</v>
      </c>
      <c r="P20" s="20">
        <f>IFERROR(IF(Tabelad[[#This Row],[D1 Exp USD]]&lt;&gt;0,((I20-K20)/L20*M20*H20)/$AD$7*10000,0),"-")</f>
        <v>6.0315151052514171E-2</v>
      </c>
      <c r="Q20" s="15">
        <f>IF(SUM(SUMIFS(Options!$AL$4:$AL$26, Options!$D$4:$D$26, B20), SUMIFS(Options!$AL$4:$AL$26, Options!$D$4:$D$26, B20 &amp; " US"))=0,0,SUM(SUMIFS(Options!$AL$4:$AL$26, Options!$D$4:$D$26, B20), SUMIFS(Options!$AL$4:$AL$26, Options!$D$4:$D$26, B20 &amp; " US")))</f>
        <v>0</v>
      </c>
      <c r="R20" s="19">
        <f t="shared" ref="R20:R35" si="46">Q20/$AE$7</f>
        <v>0</v>
      </c>
      <c r="S20" s="20">
        <f>IF(SUM(SUMIFS(Options!$AK$4:$AK$26, Options!$D$4:$D$26, B20), SUMIFS(Options!$AK$4:$AK$26, Options!$D$4:$D$26, B20 &amp; " US"))=0,0,SUM(SUMIFS(Options!$AK$4:$AK$26, Options!$D$4:$D$26, B20), SUMIFS(Options!AK$4:$AK$26, Options!$D$4:$D$26, B20 &amp; " US")))</f>
        <v>0</v>
      </c>
      <c r="T20" s="13">
        <f t="shared" si="36"/>
        <v>3433750</v>
      </c>
      <c r="U20" s="48">
        <f t="shared" si="37"/>
        <v>1.4330195462831125E-3</v>
      </c>
      <c r="V20" s="20">
        <f t="shared" si="38"/>
        <v>6.0315151052514171E-2</v>
      </c>
      <c r="W20" s="15">
        <f t="shared" si="8"/>
        <v>357.63643373134329</v>
      </c>
      <c r="X20" s="19"/>
      <c r="Y20" s="375">
        <f>Tabelad[[#This Row],[Exp %]]*$Y$10*$AD$7/Tabelad[[#This Row],[Price Today]]</f>
        <v>3587.4999999999991</v>
      </c>
      <c r="Z20" s="266">
        <f>Tabelad[[#This Row],[Vol 10d]]/16*Tabelad[[#This Row],[Exp %]]*100</f>
        <v>0.1994498430541552</v>
      </c>
      <c r="AA20" s="19">
        <f>Tabelad[[#This Row],[Exp %]]*Tabelad[[#This Row],[Beta Adj2]]</f>
        <v>1.4804395230890487E-3</v>
      </c>
      <c r="AB20" s="36">
        <f>_xll.BDP($B20&amp;" Equity","volatility_10d")</f>
        <v>22.269043692695163</v>
      </c>
      <c r="AC20" s="36" cm="1">
        <f t="array" ref="AC20">_xll.BDP(B20&amp;" EQUITY","eqy_beta")</f>
        <v>1.0330909490585327</v>
      </c>
      <c r="AD20" s="15">
        <f>Tabelad[[#This Row],[D1 P&amp;L bps]]*$AD$5/10000</f>
        <v>13546.994439566395</v>
      </c>
      <c r="AE20" s="277"/>
      <c r="AF20" s="231" t="str">
        <f>_xll.BDP(B20&amp;" Equity","EXPECTED_REPORT_DT")</f>
        <v>04/02/2026</v>
      </c>
      <c r="AG20" s="172">
        <f>_xll.BDP(B20&amp;" Index","CHG_PCT_1D_PRE_FROM_REGULAR")/100</f>
        <v>5.9354629999999993E-3</v>
      </c>
      <c r="AH20" s="20">
        <f t="shared" si="9"/>
        <v>8.505634495240201E-2</v>
      </c>
      <c r="AI20" s="446" t="str">
        <f>_xll.BDP(B20&amp;" Equity","DVD_EX_DT")</f>
        <v>08/12/2025</v>
      </c>
    </row>
    <row r="21" spans="1:35">
      <c r="B21" s="40" t="s">
        <v>79</v>
      </c>
      <c r="C21" t="s">
        <v>2252</v>
      </c>
      <c r="E21" t="s">
        <v>194</v>
      </c>
      <c r="F21" s="22" t="s">
        <v>99</v>
      </c>
      <c r="G21" s="15"/>
      <c r="H21" s="447">
        <v>10000</v>
      </c>
      <c r="I21" s="36" cm="1">
        <f t="array" ref="I21">_xll.BDP(B21&amp;" Equity","LAST_PRICE")</f>
        <v>258.27</v>
      </c>
      <c r="J21" s="51">
        <f t="shared" ref="J21" si="47">I21/K21-1</f>
        <v>1.1197682158098576E-2</v>
      </c>
      <c r="K21" s="438" cm="1">
        <f t="array" ref="K21">_xll.BDP(B21&amp;" EQUITY","PX_YEST_CLOSE")</f>
        <v>255.41</v>
      </c>
      <c r="L21" s="53" cm="1">
        <f t="array" ref="L21">_xll.BDP(E21&amp;" Curncy","PX_LAST")</f>
        <v>1</v>
      </c>
      <c r="M21" s="52">
        <v>1</v>
      </c>
      <c r="N21" s="15">
        <f t="shared" ref="N21" si="48">IFERROR(IF(((I21/L21)*H21*M21)&lt;&gt;0,((I21/L21)*H21*M21),0),"-")</f>
        <v>2582700</v>
      </c>
      <c r="O21" s="357">
        <f>IFERROR(IF(Tabelad[[#This Row],[D1 Exp USD]]&lt;&gt;0,N21/$AE$7,0),"-")</f>
        <v>1.0778477123219207E-3</v>
      </c>
      <c r="P21" s="20">
        <f>IFERROR(IF(Tabelad[[#This Row],[D1 Exp USD]]&lt;&gt;0,((I21-K21)/L21*M21*H21)/$AD$7*10000,0),"-")</f>
        <v>0.1193574343609663</v>
      </c>
      <c r="Q21" s="15">
        <f>IF(SUM(SUMIFS(Options!$AL$4:$AL$26, Options!$D$4:$D$26, B21), SUMIFS(Options!$AL$4:$AL$26, Options!$D$4:$D$26, B21 &amp; " US"))=0,0,SUM(SUMIFS(Options!$AL$4:$AL$26, Options!$D$4:$D$26, B21), SUMIFS(Options!$AL$4:$AL$26, Options!$D$4:$D$26, B21 &amp; " US")))</f>
        <v>0</v>
      </c>
      <c r="R21" s="19">
        <f t="shared" si="46"/>
        <v>0</v>
      </c>
      <c r="S21" s="20">
        <f>IF(SUM(SUMIFS(Options!$AK$4:$AK$26, Options!$D$4:$D$26, B21), SUMIFS(Options!$AK$4:$AK$26, Options!$D$4:$D$26, B21 &amp; " US"))=0,0,SUM(SUMIFS(Options!$AK$4:$AK$26, Options!$D$4:$D$26, B21), SUMIFS(Options!AK$4:$AK$26, Options!$D$4:$D$26, B21 &amp; " US")))</f>
        <v>0</v>
      </c>
      <c r="T21" s="13">
        <f t="shared" ref="T21" si="49">N21+Q21</f>
        <v>2582700</v>
      </c>
      <c r="U21" s="48">
        <f t="shared" ref="U21" si="50">T21/$AE$7</f>
        <v>1.0778477123219207E-3</v>
      </c>
      <c r="V21" s="20">
        <f t="shared" ref="V21" si="51">P21+S21</f>
        <v>0.1193574343609663</v>
      </c>
      <c r="W21" s="15">
        <f t="shared" ref="W21" si="52">$W$10/(I21/L21*M21)</f>
        <v>463.88742517520427</v>
      </c>
      <c r="X21" s="19"/>
      <c r="Y21" s="375">
        <f>Tabelad[[#This Row],[Exp %]]*$Y$10*$AD$7/Tabelad[[#This Row],[Price Today]]</f>
        <v>3500.0000000000005</v>
      </c>
      <c r="Z21" s="266">
        <f>Tabelad[[#This Row],[Vol 10d]]/16*Tabelad[[#This Row],[Exp %]]*100</f>
        <v>0.19010713083255415</v>
      </c>
      <c r="AA21" s="19">
        <f>Tabelad[[#This Row],[Exp %]]*Tabelad[[#This Row],[Beta Adj2]]</f>
        <v>1.1543900400668313E-3</v>
      </c>
      <c r="AB21" s="36">
        <f>_xll.BDP($B21&amp;" Equity","volatility_10d")</f>
        <v>28.220258377394948</v>
      </c>
      <c r="AC21" s="36" cm="1">
        <f t="array" ref="AC21">_xll.BDP(B21&amp;" EQUITY","eqy_beta")</f>
        <v>1.0710140466690063</v>
      </c>
      <c r="AD21" s="15">
        <f>Tabelad[[#This Row],[D1 P&amp;L bps]]*$AD$5/10000</f>
        <v>26808.098320123849</v>
      </c>
      <c r="AE21" s="277"/>
      <c r="AF21" s="231" t="str">
        <f>_xll.BDP(B21&amp;" Equity","EXPECTED_REPORT_DT")</f>
        <v>29/01/2026</v>
      </c>
      <c r="AG21" s="172">
        <f>_xll.BDP(B21&amp;" Index","CHG_PCT_1D_PRE_FROM_REGULAR")/100</f>
        <v>1.299874E-2</v>
      </c>
      <c r="AH21" s="20">
        <f t="shared" ref="AH21" si="53">(T21*AG21)/$AD$7*10000</f>
        <v>0.14010662172067442</v>
      </c>
      <c r="AI21" s="446" t="str">
        <f>_xll.BDP(B21&amp;" Equity","DVD_EX_DT")</f>
        <v>10/11/2025</v>
      </c>
    </row>
    <row r="22" spans="1:35" s="59" customFormat="1">
      <c r="A22" s="468" t="s">
        <v>1770</v>
      </c>
      <c r="B22" s="423" t="s">
        <v>79</v>
      </c>
      <c r="C22" s="59" t="s">
        <v>2252</v>
      </c>
      <c r="E22" s="59" t="s">
        <v>194</v>
      </c>
      <c r="F22" s="163" t="s">
        <v>99</v>
      </c>
      <c r="G22" s="404"/>
      <c r="H22" s="469">
        <v>2700</v>
      </c>
      <c r="I22" s="14" cm="1">
        <f t="array" ref="I22">_xll.BDP(B22&amp;" Equity","LAST_PRICE")</f>
        <v>258.27</v>
      </c>
      <c r="J22" s="470">
        <f t="shared" ref="J22" si="54">I22/K22-1</f>
        <v>5.9985198457521705E-3</v>
      </c>
      <c r="K22" s="471">
        <v>256.73</v>
      </c>
      <c r="L22" s="8" cm="1">
        <f t="array" ref="L22">_xll.BDP(E22&amp;" Curncy","PX_LAST")</f>
        <v>1</v>
      </c>
      <c r="M22" s="472">
        <v>1</v>
      </c>
      <c r="N22" s="404">
        <f t="shared" ref="N22" si="55">IFERROR(IF(((I22/L22)*H22*M22)&lt;&gt;0,((I22/L22)*H22*M22),0),"-")</f>
        <v>697329</v>
      </c>
      <c r="O22" s="473">
        <f>IFERROR(IF(Tabelad[[#This Row],[D1 Exp USD]]&lt;&gt;0,N22/$AE$7,0),"-")</f>
        <v>2.9101888232691854E-4</v>
      </c>
      <c r="P22" s="474">
        <f>IFERROR(IF(Tabelad[[#This Row],[D1 Exp USD]]&lt;&gt;0,((I22-K22)/L22*M22*H22)/$AD$7*10000,0),"-")</f>
        <v>1.7352734687863244E-2</v>
      </c>
      <c r="Q22" s="404">
        <f>IF(SUM(SUMIFS(Options!$AL$4:$AL$26, Options!$D$4:$D$26, B22), SUMIFS(Options!$AL$4:$AL$26, Options!$D$4:$D$26, B22 &amp; " US"))=0,0,SUM(SUMIFS(Options!$AL$4:$AL$26, Options!$D$4:$D$26, B22), SUMIFS(Options!$AL$4:$AL$26, Options!$D$4:$D$26, B22 &amp; " US")))</f>
        <v>0</v>
      </c>
      <c r="R22" s="128">
        <f t="shared" ref="R22" si="56">Q22/$AE$7</f>
        <v>0</v>
      </c>
      <c r="S22" s="474">
        <f>IF(SUM(SUMIFS(Options!$AK$4:$AK$26, Options!$D$4:$D$26, B22), SUMIFS(Options!$AK$4:$AK$26, Options!$D$4:$D$26, B22 &amp; " US"))=0,0,SUM(SUMIFS(Options!$AK$4:$AK$26, Options!$D$4:$D$26, B22), SUMIFS(Options!AK$4:$AK$26, Options!$D$4:$D$26, B22 &amp; " US")))</f>
        <v>0</v>
      </c>
      <c r="T22" s="475">
        <f t="shared" ref="T22" si="57">N22+Q22</f>
        <v>697329</v>
      </c>
      <c r="U22" s="476">
        <f t="shared" ref="U22" si="58">T22/$AE$7</f>
        <v>2.9101888232691854E-4</v>
      </c>
      <c r="V22" s="474">
        <f t="shared" ref="V22" si="59">P22+S22</f>
        <v>1.7352734687863244E-2</v>
      </c>
      <c r="W22" s="404">
        <f t="shared" ref="W22" si="60">$W$10/(I22/L22*M22)</f>
        <v>463.88742517520427</v>
      </c>
      <c r="X22" s="128"/>
      <c r="Y22" s="477">
        <f>Tabelad[[#This Row],[Exp %]]*$Y$10*$AD$7/Tabelad[[#This Row],[Price Today]]</f>
        <v>944.99999999999989</v>
      </c>
      <c r="Z22" s="478">
        <f>Tabelad[[#This Row],[Vol 10d]]/16*Tabelad[[#This Row],[Exp %]]*100</f>
        <v>5.1328925324789609E-2</v>
      </c>
      <c r="AA22" s="128">
        <f>Tabelad[[#This Row],[Exp %]]*Tabelad[[#This Row],[Beta Adj2]]</f>
        <v>3.1168531081804439E-4</v>
      </c>
      <c r="AB22" s="14">
        <f>_xll.BDP($B22&amp;" Equity","volatility_10d")</f>
        <v>28.220258377394948</v>
      </c>
      <c r="AC22" s="14" cm="1">
        <f t="array" ref="AC22">_xll.BDP(B22&amp;" EQUITY","eqy_beta")</f>
        <v>1.0710140466690063</v>
      </c>
      <c r="AD22" s="404">
        <f>Tabelad[[#This Row],[D1 P&amp;L bps]]*$AD$5/10000</f>
        <v>3897.4850634640879</v>
      </c>
      <c r="AE22" s="337"/>
      <c r="AF22" s="479" t="str">
        <f>_xll.BDP(B22&amp;" Equity","EXPECTED_REPORT_DT")</f>
        <v>29/01/2026</v>
      </c>
      <c r="AG22" s="480">
        <f>_xll.BDP(B22&amp;" Index","CHG_PCT_1D_PRE_FROM_REGULAR")/100</f>
        <v>1.299874E-2</v>
      </c>
      <c r="AH22" s="474">
        <f t="shared" ref="AH22" si="61">(T22*AG22)/$AD$7*10000</f>
        <v>3.7828787864582089E-2</v>
      </c>
      <c r="AI22" s="481" t="str">
        <f>_xll.BDP(B22&amp;" Equity","DVD_EX_DT")</f>
        <v>10/11/2025</v>
      </c>
    </row>
    <row r="23" spans="1:35">
      <c r="B23" s="40" t="s">
        <v>399</v>
      </c>
      <c r="C23" t="s">
        <v>2252</v>
      </c>
      <c r="E23" t="s">
        <v>194</v>
      </c>
      <c r="F23" s="22" t="s">
        <v>99</v>
      </c>
      <c r="G23" s="15"/>
      <c r="H23" s="447">
        <v>22135</v>
      </c>
      <c r="I23" s="36" cm="1">
        <f t="array" ref="I23">_xll.BDP(B23&amp;" Equity","LAST_PRICE")</f>
        <v>244.68</v>
      </c>
      <c r="J23" s="51">
        <f t="shared" si="33"/>
        <v>2.6256186561530059E-2</v>
      </c>
      <c r="K23" s="438" cm="1">
        <f t="array" ref="K23">_xll.BDP(B23&amp;" EQUITY","PX_YEST_CLOSE")</f>
        <v>238.42</v>
      </c>
      <c r="L23" s="53" cm="1">
        <f t="array" ref="L23">_xll.BDP(E23&amp;" Curncy","PX_LAST")</f>
        <v>1</v>
      </c>
      <c r="M23" s="52">
        <v>1</v>
      </c>
      <c r="N23" s="15">
        <f t="shared" si="34"/>
        <v>5415991.7999999998</v>
      </c>
      <c r="O23" s="357">
        <f>IFERROR(IF(Tabelad[[#This Row],[D1 Exp USD]]&lt;&gt;0,N23/$AE$7,0),"-")</f>
        <v>2.2602758243637591E-3</v>
      </c>
      <c r="P23" s="20">
        <f>IFERROR(IF(Tabelad[[#This Row],[D1 Exp USD]]&lt;&gt;0,((I23-K23)/L23*M23*H23)/$AD$7*10000,0),"-")</f>
        <v>0.57827884013884157</v>
      </c>
      <c r="Q23" s="15">
        <f>IF(SUM(SUMIFS(Options!$AL$4:$AL$26, Options!$D$4:$D$26, B23), SUMIFS(Options!$AL$4:$AL$26, Options!$D$4:$D$26, B23 &amp; " US"))=0,0,SUM(SUMIFS(Options!$AL$4:$AL$26, Options!$D$4:$D$26, B23), SUMIFS(Options!$AL$4:$AL$26, Options!$D$4:$D$26, B23 &amp; " US")))</f>
        <v>701645.03009319305</v>
      </c>
      <c r="R23" s="19">
        <f t="shared" si="46"/>
        <v>2.9282010707708727E-4</v>
      </c>
      <c r="S23" s="20">
        <f>IF(SUM(SUMIFS(Options!$AK$4:$AK$26, Options!$D$4:$D$26, B23), SUMIFS(Options!$AK$4:$AK$26, Options!$D$4:$D$26, B23 &amp; " US"))=0,0,SUM(SUMIFS(Options!$AK$4:$AK$26, Options!$D$4:$D$26, B23), SUMIFS(Options!AK$4:$AK$26, Options!$D$4:$D$26, B23 &amp; " US")))</f>
        <v>7.8876066763016561E-2</v>
      </c>
      <c r="T23" s="13">
        <f t="shared" si="36"/>
        <v>6117636.8300931929</v>
      </c>
      <c r="U23" s="48">
        <f t="shared" si="37"/>
        <v>2.5530959314408463E-3</v>
      </c>
      <c r="V23" s="20">
        <f t="shared" si="38"/>
        <v>0.65715490690185807</v>
      </c>
      <c r="W23" s="15">
        <f t="shared" si="8"/>
        <v>489.65262914827531</v>
      </c>
      <c r="X23" s="19"/>
      <c r="Y23" s="375">
        <f>Tabelad[[#This Row],[Exp %]]*$Y$10*$AD$7/Tabelad[[#This Row],[Price Today]]</f>
        <v>8750.9109470844269</v>
      </c>
      <c r="Z23" s="266">
        <f>Tabelad[[#This Row],[Vol 10d]]/16*Tabelad[[#This Row],[Exp %]]*100</f>
        <v>0.50713066179931343</v>
      </c>
      <c r="AA23" s="19">
        <f>Tabelad[[#This Row],[Exp %]]*Tabelad[[#This Row],[Beta Adj2]]</f>
        <v>3.2401451820065911E-3</v>
      </c>
      <c r="AB23" s="36">
        <f>_xll.BDP($B23&amp;" Equity","volatility_10d")</f>
        <v>31.781377616350699</v>
      </c>
      <c r="AC23" s="36" cm="1">
        <f t="array" ref="AC23">_xll.BDP(B23&amp;" EQUITY","eqy_beta")</f>
        <v>1.2691043615341187</v>
      </c>
      <c r="AD23" s="15">
        <f>Tabelad[[#This Row],[D1 P&amp;L bps]]*$AD$5/10000</f>
        <v>129883.45540342042</v>
      </c>
      <c r="AE23" s="277"/>
      <c r="AF23" s="231" t="str">
        <f>_xll.BDP(B23&amp;" Equity","EXPECTED_REPORT_DT")</f>
        <v>05/02/2026</v>
      </c>
      <c r="AG23" s="172">
        <f>_xll.BDP(B23&amp;" Index","CHG_PCT_1D_PRE_FROM_REGULAR")/100</f>
        <v>5.1589450000000007E-3</v>
      </c>
      <c r="AH23" s="20">
        <f t="shared" si="9"/>
        <v>0.13171281490027098</v>
      </c>
      <c r="AI23" s="446" t="str">
        <f>_xll.BDP(B23&amp;" Equity","DVD_EX_DT")</f>
        <v>#N/A Field Not Applicable</v>
      </c>
    </row>
    <row r="24" spans="1:35" s="59" customFormat="1">
      <c r="A24" s="468" t="s">
        <v>1770</v>
      </c>
      <c r="B24" s="423" t="s">
        <v>399</v>
      </c>
      <c r="C24" s="59" t="s">
        <v>2252</v>
      </c>
      <c r="E24" s="59" t="s">
        <v>194</v>
      </c>
      <c r="F24" s="163" t="s">
        <v>99</v>
      </c>
      <c r="G24" s="404"/>
      <c r="H24" s="469">
        <v>-4000</v>
      </c>
      <c r="I24" s="14" cm="1">
        <f t="array" ref="I24">_xll.BDP(B24&amp;" Equity","LAST_PRICE")</f>
        <v>244.68</v>
      </c>
      <c r="J24" s="470">
        <f t="shared" ref="J24:J27" si="62">I24/K24-1</f>
        <v>7.0793546262759577E-3</v>
      </c>
      <c r="K24" s="471">
        <v>242.96</v>
      </c>
      <c r="L24" s="8" cm="1">
        <f t="array" ref="L24">_xll.BDP(E24&amp;" Curncy","PX_LAST")</f>
        <v>1</v>
      </c>
      <c r="M24" s="472">
        <v>1</v>
      </c>
      <c r="N24" s="404">
        <f t="shared" ref="N24:N27" si="63">IFERROR(IF(((I24/L24)*H24*M24)&lt;&gt;0,((I24/L24)*H24*M24),0),"-")</f>
        <v>-978720</v>
      </c>
      <c r="O24" s="473">
        <f>IFERROR(IF(Tabelad[[#This Row],[D1 Exp USD]]&lt;&gt;0,N24/$AE$7,0),"-")</f>
        <v>-4.0845282572645299E-4</v>
      </c>
      <c r="P24" s="474">
        <f>IFERROR(IF(Tabelad[[#This Row],[D1 Exp USD]]&lt;&gt;0,((I24-K24)/L24*M24*H24)/$AD$7*10000,0),"-")</f>
        <v>-2.8712557636484334E-2</v>
      </c>
      <c r="Q24" s="404"/>
      <c r="R24" s="128"/>
      <c r="S24" s="474"/>
      <c r="T24" s="475">
        <f t="shared" ref="T24:T27" si="64">N24+Q24</f>
        <v>-978720</v>
      </c>
      <c r="U24" s="476">
        <f t="shared" ref="U24:U27" si="65">T24/$AE$7</f>
        <v>-4.0845282572645299E-4</v>
      </c>
      <c r="V24" s="474">
        <f t="shared" ref="V24:V27" si="66">P24+S24</f>
        <v>-2.8712557636484334E-2</v>
      </c>
      <c r="W24" s="404">
        <f t="shared" ref="W24:W27" si="67">$W$10/(I24/L24*M24)</f>
        <v>489.65262914827531</v>
      </c>
      <c r="X24" s="128"/>
      <c r="Y24" s="477">
        <f>Tabelad[[#This Row],[Exp %]]*$Y$10*$AD$7/Tabelad[[#This Row],[Price Today]]</f>
        <v>-1400</v>
      </c>
      <c r="Z24" s="478">
        <f>Tabelad[[#This Row],[Vol 10d]]/16*Tabelad[[#This Row],[Exp %]]*100</f>
        <v>-8.1132459330486795E-2</v>
      </c>
      <c r="AA24" s="128">
        <f>Tabelad[[#This Row],[Exp %]]*Tabelad[[#This Row],[Beta Adj2]]</f>
        <v>-5.1836926261037677E-4</v>
      </c>
      <c r="AB24" s="14">
        <f>_xll.BDP($B24&amp;" Equity","volatility_10d")</f>
        <v>31.781377616350699</v>
      </c>
      <c r="AC24" s="14" cm="1">
        <f t="array" ref="AC24">_xll.BDP(B24&amp;" EQUITY","eqy_beta")</f>
        <v>1.2691043615341187</v>
      </c>
      <c r="AD24" s="404">
        <f>Tabelad[[#This Row],[D1 P&amp;L bps]]*$AD$5/10000</f>
        <v>-6448.9411343515012</v>
      </c>
      <c r="AE24" s="337"/>
      <c r="AF24" s="479" t="str">
        <f>_xll.BDP(B24&amp;" Equity","EXPECTED_REPORT_DT")</f>
        <v>05/02/2026</v>
      </c>
      <c r="AG24" s="480">
        <f>_xll.BDP(B24&amp;" Index","CHG_PCT_1D_PRE_FROM_REGULAR")/100</f>
        <v>5.1589450000000007E-3</v>
      </c>
      <c r="AH24" s="474">
        <f t="shared" ref="AH24:AH27" si="68">(T24*AG24)/$AD$7*10000</f>
        <v>-2.1071856630173563E-2</v>
      </c>
      <c r="AI24" s="481" t="str">
        <f>_xll.BDP(B24&amp;" Equity","DVD_EX_DT")</f>
        <v>#N/A Field Not Applicable</v>
      </c>
    </row>
    <row r="25" spans="1:35" s="59" customFormat="1">
      <c r="A25" s="468" t="s">
        <v>1770</v>
      </c>
      <c r="B25" s="423" t="s">
        <v>81</v>
      </c>
      <c r="C25" s="59" t="s">
        <v>2252</v>
      </c>
      <c r="E25" s="59" t="s">
        <v>194</v>
      </c>
      <c r="F25" s="163" t="s">
        <v>99</v>
      </c>
      <c r="G25" s="404"/>
      <c r="H25" s="469">
        <v>-700</v>
      </c>
      <c r="I25" s="14" cm="1">
        <f t="array" ref="I25">_xll.BDP(B25&amp;" Equity","LAST_PRICE")</f>
        <v>672.97</v>
      </c>
      <c r="J25" s="470">
        <f t="shared" si="62"/>
        <v>9.828636595540452E-3</v>
      </c>
      <c r="K25" s="471">
        <v>666.42</v>
      </c>
      <c r="L25" s="8" cm="1">
        <f t="array" ref="L25">_xll.BDP(E25&amp;" Curncy","PX_LAST")</f>
        <v>1</v>
      </c>
      <c r="M25" s="472">
        <v>1</v>
      </c>
      <c r="N25" s="404">
        <f t="shared" si="63"/>
        <v>-471079</v>
      </c>
      <c r="O25" s="473">
        <f>IFERROR(IF(Tabelad[[#This Row],[D1 Exp USD]]&lt;&gt;0,N25/$AE$7,0),"-")</f>
        <v>-1.9659713573891586E-4</v>
      </c>
      <c r="P25" s="474">
        <f>IFERROR(IF(Tabelad[[#This Row],[D1 Exp USD]]&lt;&gt;0,((I25-K25)/L25*M25*H25)/$AD$7*10000,0),"-")</f>
        <v>-1.9134749529546816E-2</v>
      </c>
      <c r="Q25" s="404"/>
      <c r="R25" s="128"/>
      <c r="S25" s="474"/>
      <c r="T25" s="475">
        <f t="shared" si="64"/>
        <v>-471079</v>
      </c>
      <c r="U25" s="476">
        <f t="shared" si="65"/>
        <v>-1.9659713573891586E-4</v>
      </c>
      <c r="V25" s="474">
        <f t="shared" si="66"/>
        <v>-1.9134749529546816E-2</v>
      </c>
      <c r="W25" s="404">
        <f t="shared" si="67"/>
        <v>178.0290433451714</v>
      </c>
      <c r="X25" s="128"/>
      <c r="Y25" s="477">
        <f>Tabelad[[#This Row],[Exp %]]*$Y$10*$AD$7/Tabelad[[#This Row],[Price Today]]</f>
        <v>-244.99999999999997</v>
      </c>
      <c r="Z25" s="478">
        <f>Tabelad[[#This Row],[Vol 10d]]/16*Tabelad[[#This Row],[Exp %]]*100</f>
        <v>-4.8848211194134412E-2</v>
      </c>
      <c r="AA25" s="128">
        <f>Tabelad[[#This Row],[Exp %]]*Tabelad[[#This Row],[Beta Adj2]]</f>
        <v>-2.3165969031554596E-4</v>
      </c>
      <c r="AB25" s="14">
        <f>_xll.BDP($B25&amp;" Equity","volatility_10d")</f>
        <v>39.754972836638366</v>
      </c>
      <c r="AC25" s="14" cm="1">
        <f t="array" ref="AC25">_xll.BDP(B25&amp;" EQUITY","eqy_beta")</f>
        <v>1.1783472299575806</v>
      </c>
      <c r="AD25" s="404">
        <f>Tabelad[[#This Row],[D1 P&amp;L bps]]*$AD$5/10000</f>
        <v>-4297.7318460758652</v>
      </c>
      <c r="AE25" s="337"/>
      <c r="AF25" s="479" t="str">
        <f>_xll.BDP(B25&amp;" Equity","EXPECTED_REPORT_DT")</f>
        <v>28/01/2026</v>
      </c>
      <c r="AG25" s="480" t="e">
        <f>_xll.BDP(B25&amp;" Index","CHG_PCT_1D_PRE_FROM_REGULAR")/100</f>
        <v>#VALUE!</v>
      </c>
      <c r="AH25" s="474" t="e">
        <f t="shared" si="68"/>
        <v>#VALUE!</v>
      </c>
      <c r="AI25" s="481" t="str">
        <f>_xll.BDP(B25&amp;" Equity","DVD_EX_DT")</f>
        <v>15/12/2025</v>
      </c>
    </row>
    <row r="26" spans="1:35" s="59" customFormat="1">
      <c r="A26" s="468" t="s">
        <v>1770</v>
      </c>
      <c r="B26" s="423" t="s">
        <v>2148</v>
      </c>
      <c r="C26" s="59" t="s">
        <v>2252</v>
      </c>
      <c r="E26" s="59" t="s">
        <v>194</v>
      </c>
      <c r="F26" s="163" t="s">
        <v>99</v>
      </c>
      <c r="G26" s="404"/>
      <c r="H26" s="469">
        <v>-1500</v>
      </c>
      <c r="I26" s="14" cm="1">
        <f t="array" ref="I26">_xll.BDP(B26&amp;" Equity","LAST_PRICE")</f>
        <v>335</v>
      </c>
      <c r="J26" s="470">
        <f t="shared" ref="J26" si="69">I26/K26-1</f>
        <v>-2.085195114685745E-3</v>
      </c>
      <c r="K26" s="471">
        <v>335.7</v>
      </c>
      <c r="L26" s="8" cm="1">
        <f t="array" ref="L26">_xll.BDP(E26&amp;" Curncy","PX_LAST")</f>
        <v>1</v>
      </c>
      <c r="M26" s="472">
        <v>1</v>
      </c>
      <c r="N26" s="404">
        <f t="shared" ref="N26" si="70">IFERROR(IF(((I26/L26)*H26*M26)&lt;&gt;0,((I26/L26)*H26*M26),0),"-")</f>
        <v>-502500</v>
      </c>
      <c r="O26" s="473">
        <f>IFERROR(IF(Tabelad[[#This Row],[D1 Exp USD]]&lt;&gt;0,N26/$AE$7,0),"-")</f>
        <v>-2.0971017750484575E-4</v>
      </c>
      <c r="P26" s="474">
        <f>IFERROR(IF(Tabelad[[#This Row],[D1 Exp USD]]&lt;&gt;0,((I26-K26)/L26*M26*H26)/$AD$7*10000,0),"-")</f>
        <v>4.3820037090564071E-3</v>
      </c>
      <c r="Q26" s="404"/>
      <c r="R26" s="128"/>
      <c r="S26" s="474"/>
      <c r="T26" s="475">
        <f t="shared" ref="T26" si="71">N26+Q26</f>
        <v>-502500</v>
      </c>
      <c r="U26" s="476">
        <f t="shared" ref="U26" si="72">T26/$AE$7</f>
        <v>-2.0971017750484575E-4</v>
      </c>
      <c r="V26" s="474">
        <f t="shared" ref="V26" si="73">P26+S26</f>
        <v>4.3820037090564071E-3</v>
      </c>
      <c r="W26" s="404">
        <f t="shared" ref="W26" si="74">$W$10/(I26/L26*M26)</f>
        <v>357.63643373134329</v>
      </c>
      <c r="X26" s="128"/>
      <c r="Y26" s="477">
        <f>Tabelad[[#This Row],[Exp %]]*$Y$10*$AD$7/Tabelad[[#This Row],[Price Today]]</f>
        <v>-525</v>
      </c>
      <c r="Z26" s="478">
        <f>Tabelad[[#This Row],[Vol 10d]]/16*Tabelad[[#This Row],[Exp %]]*100</f>
        <v>-2.9187781910364176E-2</v>
      </c>
      <c r="AA26" s="128">
        <f>Tabelad[[#This Row],[Exp %]]*Tabelad[[#This Row],[Beta Adj2]]</f>
        <v>-2.1664968630571445E-4</v>
      </c>
      <c r="AB26" s="14">
        <f>_xll.BDP($B26&amp;" Equity","volatility_10d")</f>
        <v>22.269043692695163</v>
      </c>
      <c r="AC26" s="14" cm="1">
        <f t="array" ref="AC26">_xll.BDP(B26&amp;" EQUITY","eqy_beta")</f>
        <v>1.0330909490585327</v>
      </c>
      <c r="AD26" s="404">
        <f>Tabelad[[#This Row],[D1 P&amp;L bps]]*$AD$5/10000</f>
        <v>984.21339986467603</v>
      </c>
      <c r="AE26" s="337"/>
      <c r="AF26" s="479" t="str">
        <f>_xll.BDP(B26&amp;" Equity","EXPECTED_REPORT_DT")</f>
        <v>04/02/2026</v>
      </c>
      <c r="AG26" s="480">
        <f>_xll.BDP(B26&amp;" Index","CHG_PCT_1D_PRE_FROM_REGULAR")/100</f>
        <v>5.9354629999999993E-3</v>
      </c>
      <c r="AH26" s="474">
        <f t="shared" ref="AH26" si="75">(T26*AG26)/$AD$7*10000</f>
        <v>-1.2447269993034442E-2</v>
      </c>
      <c r="AI26" s="481" t="str">
        <f>_xll.BDP(B26&amp;" Equity","DVD_EX_DT")</f>
        <v>08/12/2025</v>
      </c>
    </row>
    <row r="27" spans="1:35" s="59" customFormat="1">
      <c r="A27" s="468" t="s">
        <v>1770</v>
      </c>
      <c r="B27" s="423" t="s">
        <v>90</v>
      </c>
      <c r="C27" s="59" t="s">
        <v>2252</v>
      </c>
      <c r="E27" s="59" t="s">
        <v>194</v>
      </c>
      <c r="F27" s="163" t="s">
        <v>99</v>
      </c>
      <c r="G27" s="404"/>
      <c r="H27" s="469">
        <v>-1250</v>
      </c>
      <c r="I27" s="14" cm="1">
        <f t="array" ref="I27">_xll.BDP(B27&amp;" Equity","LAST_PRICE")</f>
        <v>480.58</v>
      </c>
      <c r="J27" s="470">
        <f t="shared" si="62"/>
        <v>-3.7440718861803113E-4</v>
      </c>
      <c r="K27" s="471">
        <v>480.76</v>
      </c>
      <c r="L27" s="8" cm="1">
        <f t="array" ref="L27">_xll.BDP(E27&amp;" Curncy","PX_LAST")</f>
        <v>1</v>
      </c>
      <c r="M27" s="472">
        <v>1</v>
      </c>
      <c r="N27" s="404">
        <f t="shared" si="63"/>
        <v>-600725</v>
      </c>
      <c r="O27" s="473">
        <f>IFERROR(IF(Tabelad[[#This Row],[D1 Exp USD]]&lt;&gt;0,N27/$AE$7,0),"-")</f>
        <v>-2.5070277886885266E-4</v>
      </c>
      <c r="P27" s="474">
        <f>IFERROR(IF(Tabelad[[#This Row],[D1 Exp USD]]&lt;&gt;0,((I27-K27)/L27*M27*H27)/$AD$7*10000,0),"-")</f>
        <v>9.3900079479785237E-4</v>
      </c>
      <c r="Q27" s="404"/>
      <c r="R27" s="128"/>
      <c r="S27" s="474"/>
      <c r="T27" s="475">
        <f t="shared" si="64"/>
        <v>-600725</v>
      </c>
      <c r="U27" s="476">
        <f t="shared" si="65"/>
        <v>-2.5070277886885266E-4</v>
      </c>
      <c r="V27" s="474">
        <f t="shared" si="66"/>
        <v>9.3900079479785237E-4</v>
      </c>
      <c r="W27" s="404">
        <f t="shared" si="67"/>
        <v>249.29919118565067</v>
      </c>
      <c r="X27" s="128"/>
      <c r="Y27" s="477">
        <f>Tabelad[[#This Row],[Exp %]]*$Y$10*$AD$7/Tabelad[[#This Row],[Price Today]]</f>
        <v>-437.5</v>
      </c>
      <c r="Z27" s="478">
        <f>Tabelad[[#This Row],[Vol 10d]]/16*Tabelad[[#This Row],[Exp %]]*100</f>
        <v>-5.0121140601447366E-2</v>
      </c>
      <c r="AA27" s="128">
        <f>Tabelad[[#This Row],[Exp %]]*Tabelad[[#This Row],[Beta Adj2]]</f>
        <v>-2.5563903614574405E-4</v>
      </c>
      <c r="AB27" s="14">
        <f>_xll.BDP($B27&amp;" Equity","volatility_10d")</f>
        <v>31.987609121902345</v>
      </c>
      <c r="AC27" s="14" cm="1">
        <f t="array" ref="AC27">_xll.BDP(B27&amp;" EQUITY","eqy_beta")</f>
        <v>1.019689679145813</v>
      </c>
      <c r="AD27" s="404">
        <f>Tabelad[[#This Row],[D1 P&amp;L bps]]*$AD$5/10000</f>
        <v>210.90287139958482</v>
      </c>
      <c r="AE27" s="337"/>
      <c r="AF27" s="479" t="str">
        <f>_xll.BDP(B27&amp;" Equity","EXPECTED_REPORT_DT")</f>
        <v>28/01/2026</v>
      </c>
      <c r="AG27" s="480" t="e">
        <f>_xll.BDP(B27&amp;" Index","CHG_PCT_1D_PRE_FROM_REGULAR")/100</f>
        <v>#VALUE!</v>
      </c>
      <c r="AH27" s="474" t="e">
        <f t="shared" si="68"/>
        <v>#VALUE!</v>
      </c>
      <c r="AI27" s="481" t="str">
        <f>_xll.BDP(B27&amp;" Equity","DVD_EX_DT")</f>
        <v>19/02/2026</v>
      </c>
    </row>
    <row r="28" spans="1:35">
      <c r="B28" s="40" t="s">
        <v>81</v>
      </c>
      <c r="C28" t="s">
        <v>2252</v>
      </c>
      <c r="E28" t="s">
        <v>194</v>
      </c>
      <c r="F28" s="22" t="s">
        <v>99</v>
      </c>
      <c r="G28" s="15"/>
      <c r="H28" s="447"/>
      <c r="I28" s="36" cm="1">
        <f t="array" ref="I28">_xll.BDP(B28&amp;" Equity","LAST_PRICE")</f>
        <v>672.97</v>
      </c>
      <c r="J28" s="51">
        <f t="shared" si="2"/>
        <v>9.0725206734498798E-4</v>
      </c>
      <c r="K28" s="438" cm="1">
        <f t="array" ref="K28">_xll.BDP(B28&amp;" EQUITY","PX_YEST_CLOSE")</f>
        <v>672.36</v>
      </c>
      <c r="L28" s="53" cm="1">
        <f t="array" ref="L28">_xll.BDP(E28&amp;" Curncy","PX_LAST")</f>
        <v>1</v>
      </c>
      <c r="M28" s="52">
        <v>1</v>
      </c>
      <c r="N28" s="15">
        <f t="shared" si="3"/>
        <v>0</v>
      </c>
      <c r="O28" s="357">
        <f>IFERROR(IF(Tabelad[[#This Row],[D1 Exp USD]]&lt;&gt;0,N28/$AE$7,0),"-")</f>
        <v>0</v>
      </c>
      <c r="P28" s="20">
        <f>IFERROR(IF(Tabelad[[#This Row],[D1 Exp USD]]&lt;&gt;0,((I28-K28)/L28*M28*H28)/$AD$7*10000,0),"-")</f>
        <v>0</v>
      </c>
      <c r="Q28" s="15">
        <f>IF(SUM(SUMIFS(Options!$AL$4:$AL$26, Options!$D$4:$D$26, B28), SUMIFS(Options!$AL$4:$AL$26, Options!$D$4:$D$26, B28 &amp; " US"))=0,0,SUM(SUMIFS(Options!$AL$4:$AL$26, Options!$D$4:$D$26, B28), SUMIFS(Options!$AL$4:$AL$26, Options!$D$4:$D$26, B28 &amp; " US")))</f>
        <v>4943646.4552599192</v>
      </c>
      <c r="R28" s="19">
        <f t="shared" si="46"/>
        <v>2.0631502003059881E-3</v>
      </c>
      <c r="S28" s="20">
        <f>IF(SUM(SUMIFS(Options!$AK$4:$AK$26, Options!$D$4:$D$26, B28), SUMIFS(Options!$AK$4:$AK$26, Options!$D$4:$D$26, B28 &amp; " US"))=0,0,SUM(SUMIFS(Options!$AK$4:$AK$26, Options!$D$4:$D$26, B28), SUMIFS(Options!AK$4:$AK$26, Options!$D$4:$D$26, B28 &amp; " US")))</f>
        <v>-3.3491028347789116E-2</v>
      </c>
      <c r="T28" s="13">
        <f t="shared" si="5"/>
        <v>4943646.4552599192</v>
      </c>
      <c r="U28" s="48">
        <f t="shared" si="6"/>
        <v>2.0631502003059881E-3</v>
      </c>
      <c r="V28" s="20">
        <f t="shared" si="7"/>
        <v>-3.3491028347789116E-2</v>
      </c>
      <c r="W28" s="15">
        <f t="shared" si="8"/>
        <v>178.0290433451714</v>
      </c>
      <c r="X28" s="19"/>
      <c r="Y28" s="375">
        <f>Tabelad[[#This Row],[Exp %]]*$Y$10*$AD$7/Tabelad[[#This Row],[Price Today]]</f>
        <v>2571.1045950651169</v>
      </c>
      <c r="Z28" s="266">
        <f>Tabelad[[#This Row],[Vol 10d]]/16*Tabelad[[#This Row],[Exp %]]*100</f>
        <v>0.51262800106918471</v>
      </c>
      <c r="AA28" s="19">
        <f>Tabelad[[#This Row],[Exp %]]*Tabelad[[#This Row],[Beta Adj2]]</f>
        <v>2.4311073235169884E-3</v>
      </c>
      <c r="AB28" s="36">
        <f>_xll.BDP($B28&amp;" Equity","volatility_10d")</f>
        <v>39.754972836638366</v>
      </c>
      <c r="AC28" s="36" cm="1">
        <f t="array" ref="AC28">_xll.BDP(B28&amp;" EQUITY","eqy_beta")</f>
        <v>1.1783472299575806</v>
      </c>
      <c r="AD28" s="15">
        <f>Tabelad[[#This Row],[D1 P&amp;L bps]]*$AD$5/10000</f>
        <v>0</v>
      </c>
      <c r="AE28" s="277"/>
      <c r="AF28" s="231" t="str">
        <f>_xll.BDP(B28&amp;" Equity","EXPECTED_REPORT_DT")</f>
        <v>28/01/2026</v>
      </c>
      <c r="AG28" s="172" t="e">
        <f>_xll.BDP(B28&amp;" Index","CHG_PCT_1D_PRE_FROM_REGULAR")/100</f>
        <v>#VALUE!</v>
      </c>
      <c r="AH28" s="20" t="e">
        <f t="shared" si="9"/>
        <v>#VALUE!</v>
      </c>
      <c r="AI28" s="446" t="str">
        <f>_xll.BDP(B28&amp;" Equity","DVD_EX_DT")</f>
        <v>15/12/2025</v>
      </c>
    </row>
    <row r="29" spans="1:35">
      <c r="B29" s="40" t="s">
        <v>90</v>
      </c>
      <c r="C29" t="s">
        <v>2252</v>
      </c>
      <c r="E29" t="s">
        <v>194</v>
      </c>
      <c r="F29" s="22" t="s">
        <v>99</v>
      </c>
      <c r="G29" s="15"/>
      <c r="H29" s="447">
        <v>2450</v>
      </c>
      <c r="I29" s="36" cm="1">
        <f t="array" ref="I29">_xll.BDP(B29&amp;" Equity","LAST_PRICE")</f>
        <v>480.58</v>
      </c>
      <c r="J29" s="51">
        <f t="shared" si="2"/>
        <v>2.1901845708939272E-2</v>
      </c>
      <c r="K29" s="438" cm="1">
        <f t="array" ref="K29">_xll.BDP(B29&amp;" EQUITY","PX_YEST_CLOSE")</f>
        <v>470.28</v>
      </c>
      <c r="L29" s="53" cm="1">
        <f t="array" ref="L29">_xll.BDP(E29&amp;" Curncy","PX_LAST")</f>
        <v>1</v>
      </c>
      <c r="M29" s="52">
        <v>1</v>
      </c>
      <c r="N29" s="15">
        <f t="shared" si="3"/>
        <v>1177421</v>
      </c>
      <c r="O29" s="357">
        <f>IFERROR(IF(Tabelad[[#This Row],[D1 Exp USD]]&lt;&gt;0,N29/$AE$7,0),"-")</f>
        <v>4.9137744658295116E-4</v>
      </c>
      <c r="P29" s="20">
        <f>IFERROR(IF(Tabelad[[#This Row],[D1 Exp USD]]&lt;&gt;0,((I29-K29)/L29*M29*H29)/$AD$7*10000,0),"-")</f>
        <v>0.10531415580765748</v>
      </c>
      <c r="Q29" s="15">
        <f>IF(SUM(SUMIFS(Options!$AL$4:$AL$26, Options!$D$4:$D$26, B29), SUMIFS(Options!$AL$4:$AL$26, Options!$D$4:$D$26, B29 &amp; " US"))=0,0,SUM(SUMIFS(Options!$AL$4:$AL$26, Options!$D$4:$D$26, B29), SUMIFS(Options!$AL$4:$AL$26, Options!$D$4:$D$26, B29 &amp; " US")))</f>
        <v>3891020.930019021</v>
      </c>
      <c r="R29" s="19">
        <f t="shared" si="46"/>
        <v>1.623854109272356E-3</v>
      </c>
      <c r="S29" s="20">
        <f>IF(SUM(SUMIFS(Options!$AK$4:$AK$26, Options!$D$4:$D$26, B29), SUMIFS(Options!$AK$4:$AK$26, Options!$D$4:$D$26, B29 &amp; " US"))=0,0,SUM(SUMIFS(Options!$AK$4:$AK$26, Options!$D$4:$D$26, B29), SUMIFS(Options!AK$4:$AK$26, Options!$D$4:$D$26, B29 &amp; " US")))</f>
        <v>0.38916366273287317</v>
      </c>
      <c r="T29" s="13">
        <f t="shared" si="5"/>
        <v>5068441.930019021</v>
      </c>
      <c r="U29" s="48">
        <f t="shared" si="6"/>
        <v>2.1152315558553071E-3</v>
      </c>
      <c r="V29" s="20">
        <f t="shared" si="7"/>
        <v>0.49447781854053063</v>
      </c>
      <c r="W29" s="15">
        <f t="shared" si="8"/>
        <v>249.29919118565067</v>
      </c>
      <c r="X29" s="19"/>
      <c r="Y29" s="375">
        <f>Tabelad[[#This Row],[Exp %]]*$Y$10*$AD$7/Tabelad[[#This Row],[Price Today]]</f>
        <v>3691.2786123156548</v>
      </c>
      <c r="Z29" s="266">
        <f>Tabelad[[#This Row],[Vol 10d]]/16*Tabelad[[#This Row],[Exp %]]*100</f>
        <v>0.42288250131883065</v>
      </c>
      <c r="AA29" s="19">
        <f>Tabelad[[#This Row],[Exp %]]*Tabelad[[#This Row],[Beta Adj2]]</f>
        <v>2.1568797865091967E-3</v>
      </c>
      <c r="AB29" s="36">
        <f>_xll.BDP($B29&amp;" Equity","volatility_10d")</f>
        <v>31.987609121902345</v>
      </c>
      <c r="AC29" s="36" cm="1">
        <f t="array" ref="AC29">_xll.BDP(B29&amp;" EQUITY","eqy_beta")</f>
        <v>1.019689679145813</v>
      </c>
      <c r="AD29" s="15">
        <f>Tabelad[[#This Row],[D1 P&amp;L bps]]*$AD$5/10000</f>
        <v>23653.928710081454</v>
      </c>
      <c r="AE29" s="277"/>
      <c r="AF29" s="231" t="str">
        <f>_xll.BDP(B29&amp;" Equity","EXPECTED_REPORT_DT")</f>
        <v>28/01/2026</v>
      </c>
      <c r="AG29" s="172" t="e">
        <f>_xll.BDP(B29&amp;" Index","CHG_PCT_1D_PRE_FROM_REGULAR")/100</f>
        <v>#VALUE!</v>
      </c>
      <c r="AH29" s="20" t="e">
        <f t="shared" si="9"/>
        <v>#VALUE!</v>
      </c>
      <c r="AI29" s="446" t="str">
        <f>_xll.BDP(B29&amp;" Equity","DVD_EX_DT")</f>
        <v>19/02/2026</v>
      </c>
    </row>
    <row r="30" spans="1:35">
      <c r="B30" s="444" t="s">
        <v>2285</v>
      </c>
      <c r="C30" t="s">
        <v>2137</v>
      </c>
      <c r="E30" t="s">
        <v>2110</v>
      </c>
      <c r="F30" s="22" t="s">
        <v>99</v>
      </c>
      <c r="G30" s="15"/>
      <c r="H30" s="447">
        <v>2400</v>
      </c>
      <c r="I30" s="36" cm="1">
        <f t="array" ref="I30">_xll.BDP(B30&amp;" Equity","LAST_PRICE")</f>
        <v>800000</v>
      </c>
      <c r="J30" s="51">
        <f t="shared" si="2"/>
        <v>8.6956521739130377E-2</v>
      </c>
      <c r="K30" s="438" cm="1">
        <f t="array" ref="K30">_xll.BDP(B30&amp;" EQUITY","PX_YEST_CLOSE")</f>
        <v>736000</v>
      </c>
      <c r="L30" s="53" cm="1">
        <f t="array" ref="L30">_xll.BDP(E30&amp;" Curncy","PX_LAST")</f>
        <v>1438.15</v>
      </c>
      <c r="M30" s="52">
        <v>1</v>
      </c>
      <c r="N30" s="15">
        <f t="shared" si="3"/>
        <v>1335048.4998087822</v>
      </c>
      <c r="O30" s="357">
        <f>IFERROR(IF(Tabelad[[#This Row],[D1 Exp USD]]&lt;&gt;0,N30/$AE$7,0),"-")</f>
        <v>5.5716071218403528E-4</v>
      </c>
      <c r="P30" s="20">
        <f>IFERROR(IF(Tabelad[[#This Row],[D1 Exp USD]]&lt;&gt;0,((I30-K30)/L30*M30*H30)/$AD$7*10000,0),"-")</f>
        <v>0.44572856974722819</v>
      </c>
      <c r="Q30" s="15">
        <f>IF(SUM(SUMIFS(Options!$AL$4:$AL$26, Options!$D$4:$D$26, B30), SUMIFS(Options!$AL$4:$AL$26, Options!$D$4:$D$26, B30 &amp; " US"))=0,0,SUM(SUMIFS(Options!$AL$4:$AL$26, Options!$D$4:$D$26, B30), SUMIFS(Options!$AL$4:$AL$26, Options!$D$4:$D$26, B30 &amp; " US")))</f>
        <v>0</v>
      </c>
      <c r="R30" s="19">
        <f t="shared" si="46"/>
        <v>0</v>
      </c>
      <c r="S30" s="20">
        <f>IF(SUM(SUMIFS(Options!$AK$4:$AK$26, Options!$D$4:$D$26, B30), SUMIFS(Options!$AK$4:$AK$26, Options!$D$4:$D$26, B30 &amp; " US"))=0,0,SUM(SUMIFS(Options!$AK$4:$AK$26, Options!$D$4:$D$26, B30), SUMIFS(Options!AK$4:$AK$26, Options!$D$4:$D$26, B30 &amp; " US")))</f>
        <v>0</v>
      </c>
      <c r="T30" s="13">
        <f t="shared" si="5"/>
        <v>1335048.4998087822</v>
      </c>
      <c r="U30" s="48">
        <f t="shared" si="6"/>
        <v>5.5716071218403528E-4</v>
      </c>
      <c r="V30" s="20">
        <f t="shared" si="7"/>
        <v>0.44572856974722819</v>
      </c>
      <c r="W30" s="15">
        <f t="shared" si="8"/>
        <v>215.37771306524374</v>
      </c>
      <c r="X30" s="19"/>
      <c r="Y30" s="375">
        <f>Tabelad[[#This Row],[Exp %]]*$Y$10*$AD$7/Tabelad[[#This Row],[Price Today]]</f>
        <v>0.58408371866634212</v>
      </c>
      <c r="Z30" s="266">
        <f>Tabelad[[#This Row],[Vol 10d]]/16*Tabelad[[#This Row],[Exp %]]*100</f>
        <v>0.19607516209073744</v>
      </c>
      <c r="AA30" s="19">
        <f>Tabelad[[#This Row],[Exp %]]*Tabelad[[#This Row],[Beta Adj2]]</f>
        <v>8.7920796123709037E-4</v>
      </c>
      <c r="AB30" s="36">
        <f>_xll.BDP($B30&amp;" Equity","volatility_10d")</f>
        <v>56.306959999999997</v>
      </c>
      <c r="AC30" s="36" cm="1">
        <f t="array" ref="AC30">_xll.BDP(B30&amp;" EQUITY","eqy_beta")</f>
        <v>1.5780149999999999</v>
      </c>
      <c r="AD30" s="15">
        <f>Tabelad[[#This Row],[D1 P&amp;L bps]]*$AD$5/10000</f>
        <v>100112.19984617583</v>
      </c>
      <c r="AE30" s="277"/>
      <c r="AF30" s="231" t="str">
        <f>_xll.BDP(B30&amp;" Equity","EXPECTED_REPORT_DT")</f>
        <v>29/01/2026</v>
      </c>
      <c r="AG30" s="172" t="e">
        <f>_xll.BDP(B30&amp;" Index","CHG_PCT_1D_PRE_FROM_REGULAR")/100</f>
        <v>#VALUE!</v>
      </c>
      <c r="AH30" s="20" t="e">
        <f t="shared" si="9"/>
        <v>#VALUE!</v>
      </c>
      <c r="AI30" s="446" t="str">
        <f>_xll.BDP(B30&amp;" Equity","DVD_EX_DT")</f>
        <v>27/11/2025</v>
      </c>
    </row>
    <row r="31" spans="1:35">
      <c r="B31" s="40" t="s">
        <v>1754</v>
      </c>
      <c r="C31" t="s">
        <v>2137</v>
      </c>
      <c r="E31" t="s">
        <v>194</v>
      </c>
      <c r="F31" s="22" t="s">
        <v>99</v>
      </c>
      <c r="G31" s="15"/>
      <c r="H31" s="447">
        <v>42000</v>
      </c>
      <c r="I31" s="36" cm="1">
        <f t="array" ref="I31">_xll.BDP(B31&amp;" Equity","LAST_PRICE")</f>
        <v>122.7</v>
      </c>
      <c r="J31" s="51">
        <f t="shared" si="2"/>
        <v>4.5857483804977894E-2</v>
      </c>
      <c r="K31" s="438" cm="1">
        <f t="array" ref="K31">_xll.BDP(B31&amp;" EQUITY","PX_YEST_CLOSE")</f>
        <v>117.32</v>
      </c>
      <c r="L31" s="53" cm="1">
        <f t="array" ref="L31">_xll.BDP(E31&amp;" Curncy","PX_LAST")</f>
        <v>1</v>
      </c>
      <c r="M31" s="52">
        <v>1</v>
      </c>
      <c r="N31" s="15">
        <f t="shared" si="3"/>
        <v>5153400</v>
      </c>
      <c r="O31" s="357">
        <f>IFERROR(IF(Tabelad[[#This Row],[D1 Exp USD]]&lt;&gt;0,N31/$AE$7,0),"-")</f>
        <v>2.1506874204049193E-3</v>
      </c>
      <c r="P31" s="20">
        <f>IFERROR(IF(Tabelad[[#This Row],[D1 Exp USD]]&lt;&gt;0,((I31-K31)/L31*M31*H31)/$AD$7*10000,0),"-")</f>
        <v>0.94300719818895584</v>
      </c>
      <c r="Q31" s="15">
        <f>IF(SUM(SUMIFS(Options!$AL$4:$AL$26, Options!$D$4:$D$26, B31), SUMIFS(Options!$AL$4:$AL$26, Options!$D$4:$D$26, B31 &amp; " US"))=0,0,SUM(SUMIFS(Options!$AL$4:$AL$26, Options!$D$4:$D$26, B31), SUMIFS(Options!$AL$4:$AL$26, Options!$D$4:$D$26, B31 &amp; " US")))</f>
        <v>0</v>
      </c>
      <c r="R31" s="19">
        <f t="shared" si="46"/>
        <v>0</v>
      </c>
      <c r="S31" s="20">
        <f>IF(SUM(SUMIFS(Options!$AK$4:$AK$26, Options!$D$4:$D$26, B31), SUMIFS(Options!$AK$4:$AK$26, Options!$D$4:$D$26, B31 &amp; " US"))=0,0,SUM(SUMIFS(Options!$AK$4:$AK$26, Options!$D$4:$D$26, B31), SUMIFS(Options!AK$4:$AK$26, Options!$D$4:$D$26, B31 &amp; " US")))</f>
        <v>0</v>
      </c>
      <c r="T31" s="13">
        <f t="shared" si="5"/>
        <v>5153400</v>
      </c>
      <c r="U31" s="48">
        <f t="shared" si="6"/>
        <v>2.1506874204049193E-3</v>
      </c>
      <c r="V31" s="20">
        <f t="shared" si="7"/>
        <v>0.94300719818895584</v>
      </c>
      <c r="W31" s="15">
        <f t="shared" si="8"/>
        <v>976.4319910350448</v>
      </c>
      <c r="X31" s="19"/>
      <c r="Y31" s="375">
        <f>Tabelad[[#This Row],[Exp %]]*$Y$10*$AD$7/Tabelad[[#This Row],[Price Today]]</f>
        <v>14699.999999999998</v>
      </c>
      <c r="Z31" s="266">
        <f>Tabelad[[#This Row],[Vol 10d]]/16*Tabelad[[#This Row],[Exp %]]*100</f>
        <v>0.40396930252382401</v>
      </c>
      <c r="AA31" s="19">
        <f>Tabelad[[#This Row],[Exp %]]*Tabelad[[#This Row],[Beta Adj2]]</f>
        <v>2.0195670408773496E-3</v>
      </c>
      <c r="AB31" s="36">
        <f>_xll.BDP($B31&amp;" Equity","volatility_10d")</f>
        <v>30.053222886123876</v>
      </c>
      <c r="AC31" s="36" cm="1">
        <f t="array" ref="AC31">_xll.BDP(B31&amp;" EQUITY","eqy_beta")</f>
        <v>0.93903326988220215</v>
      </c>
      <c r="AD31" s="15">
        <f>Tabelad[[#This Row],[D1 P&amp;L bps]]*$AD$5/10000</f>
        <v>211802.72365088211</v>
      </c>
      <c r="AE31" s="277"/>
      <c r="AF31" s="231" t="str">
        <f>_xll.BDP(B31&amp;" Equity","EXPECTED_REPORT_DT")</f>
        <v>#N/A N/A</v>
      </c>
      <c r="AG31" s="172">
        <f>_xll.BDP(B31&amp;" Index","CHG_PCT_1D_PRE_FROM_REGULAR")/100</f>
        <v>3.3668570000000002E-2</v>
      </c>
      <c r="AH31" s="20">
        <f t="shared" si="9"/>
        <v>0.72410569962022464</v>
      </c>
      <c r="AI31" s="446" t="str">
        <f>_xll.BDP(B31&amp;" Equity","DVD_EX_DT")</f>
        <v>16/12/2025</v>
      </c>
    </row>
    <row r="32" spans="1:35" s="59" customFormat="1">
      <c r="A32" s="468" t="s">
        <v>1770</v>
      </c>
      <c r="B32" s="423" t="s">
        <v>1754</v>
      </c>
      <c r="C32" s="59" t="s">
        <v>2137</v>
      </c>
      <c r="E32" s="59" t="s">
        <v>194</v>
      </c>
      <c r="F32" s="163" t="s">
        <v>99</v>
      </c>
      <c r="G32" s="404"/>
      <c r="H32" s="469">
        <v>-2500</v>
      </c>
      <c r="I32" s="14" cm="1">
        <f t="array" ref="I32">_xll.BDP(B32&amp;" Equity","LAST_PRICE")</f>
        <v>122.7</v>
      </c>
      <c r="J32" s="470">
        <f t="shared" ref="J32" si="76">I32/K32-1</f>
        <v>6.1500615006149228E-3</v>
      </c>
      <c r="K32" s="471">
        <v>121.95</v>
      </c>
      <c r="L32" s="8" cm="1">
        <f t="array" ref="L32">_xll.BDP(E32&amp;" Curncy","PX_LAST")</f>
        <v>1</v>
      </c>
      <c r="M32" s="472">
        <v>1</v>
      </c>
      <c r="N32" s="404">
        <f t="shared" ref="N32" si="77">IFERROR(IF(((I32/L32)*H32*M32)&lt;&gt;0,((I32/L32)*H32*M32),0),"-")</f>
        <v>-306750</v>
      </c>
      <c r="O32" s="473">
        <f>IFERROR(IF(Tabelad[[#This Row],[D1 Exp USD]]&lt;&gt;0,N32/$AE$7,0),"-")</f>
        <v>-1.2801710835743567E-4</v>
      </c>
      <c r="P32" s="474">
        <f>IFERROR(IF(Tabelad[[#This Row],[D1 Exp USD]]&lt;&gt;0,((I32-K32)/L32*M32*H32)/$AD$7*10000,0),"-")</f>
        <v>-7.8250066233151398E-3</v>
      </c>
      <c r="Q32" s="404"/>
      <c r="R32" s="128"/>
      <c r="S32" s="474"/>
      <c r="T32" s="475">
        <f t="shared" ref="T32" si="78">N32+Q32</f>
        <v>-306750</v>
      </c>
      <c r="U32" s="476">
        <f t="shared" ref="U32" si="79">T32/$AE$7</f>
        <v>-1.2801710835743567E-4</v>
      </c>
      <c r="V32" s="474">
        <f t="shared" ref="V32" si="80">P32+S32</f>
        <v>-7.8250066233151398E-3</v>
      </c>
      <c r="W32" s="404">
        <f t="shared" ref="W32" si="81">$W$10/(I32/L32*M32)</f>
        <v>976.4319910350448</v>
      </c>
      <c r="X32" s="128"/>
      <c r="Y32" s="477">
        <f>Tabelad[[#This Row],[Exp %]]*$Y$10*$AD$7/Tabelad[[#This Row],[Price Today]]</f>
        <v>-874.99999999999989</v>
      </c>
      <c r="Z32" s="478">
        <f>Tabelad[[#This Row],[Vol 10d]]/16*Tabelad[[#This Row],[Exp %]]*100</f>
        <v>-2.4045791816894285E-2</v>
      </c>
      <c r="AA32" s="128">
        <f>Tabelad[[#This Row],[Exp %]]*Tabelad[[#This Row],[Beta Adj2]]</f>
        <v>-1.2021232386174701E-4</v>
      </c>
      <c r="AB32" s="14">
        <f>_xll.BDP($B32&amp;" Equity","volatility_10d")</f>
        <v>30.053222886123876</v>
      </c>
      <c r="AC32" s="14" cm="1">
        <f t="array" ref="AC32">_xll.BDP(B32&amp;" EQUITY","eqy_beta")</f>
        <v>0.93903326988220215</v>
      </c>
      <c r="AD32" s="404">
        <f>Tabelad[[#This Row],[D1 P&amp;L bps]]*$AD$5/10000</f>
        <v>-1757.5239283298072</v>
      </c>
      <c r="AE32" s="337"/>
      <c r="AF32" s="479" t="str">
        <f>_xll.BDP(B32&amp;" Equity","EXPECTED_REPORT_DT")</f>
        <v>#N/A N/A</v>
      </c>
      <c r="AG32" s="480">
        <f>_xll.BDP(B32&amp;" Index","CHG_PCT_1D_PRE_FROM_REGULAR")/100</f>
        <v>3.3668570000000002E-2</v>
      </c>
      <c r="AH32" s="474">
        <f t="shared" ref="AH32" si="82">(T32*AG32)/$AD$7*10000</f>
        <v>-4.3101529739299087E-2</v>
      </c>
      <c r="AI32" s="481" t="str">
        <f>_xll.BDP(B32&amp;" Equity","DVD_EX_DT")</f>
        <v>16/12/2025</v>
      </c>
    </row>
    <row r="33" spans="1:35">
      <c r="B33" s="40" t="s">
        <v>2063</v>
      </c>
      <c r="C33" t="s">
        <v>2064</v>
      </c>
      <c r="E33" t="s">
        <v>194</v>
      </c>
      <c r="F33" s="22" t="s">
        <v>99</v>
      </c>
      <c r="G33" s="15"/>
      <c r="H33" s="447">
        <v>1900</v>
      </c>
      <c r="I33" s="36" cm="1">
        <f t="array" ref="I33">_xll.BDP(B33&amp;" Equity","LAST_PRICE")</f>
        <v>370.66</v>
      </c>
      <c r="J33" s="51">
        <f t="shared" si="2"/>
        <v>0.1149345766280645</v>
      </c>
      <c r="K33" s="438" cm="1">
        <f t="array" ref="K33">_xll.BDP(B33&amp;" EQUITY","PX_YEST_CLOSE")</f>
        <v>332.45</v>
      </c>
      <c r="L33" s="53" cm="1">
        <f t="array" ref="L33">_xll.BDP(E33&amp;" Curncy","PX_LAST")</f>
        <v>1</v>
      </c>
      <c r="M33" s="52">
        <v>1</v>
      </c>
      <c r="N33" s="15">
        <f t="shared" si="3"/>
        <v>704254</v>
      </c>
      <c r="O33" s="357">
        <f>IFERROR(IF(Tabelad[[#This Row],[D1 Exp USD]]&lt;&gt;0,N33/$AE$7,0),"-")</f>
        <v>2.9390891810646293E-4</v>
      </c>
      <c r="P33" s="20">
        <f>IFERROR(IF(Tabelad[[#This Row],[D1 Exp USD]]&lt;&gt;0,((I33-K33)/L33*M33*H33)/$AD$7*10000,0),"-")</f>
        <v>0.3029800831178967</v>
      </c>
      <c r="Q33" s="15">
        <f>IF(SUM(SUMIFS(Options!$AL$4:$AL$26, Options!$D$4:$D$26, B33), SUMIFS(Options!$AL$4:$AL$26, Options!$D$4:$D$26, B33 &amp; " US"))=0,0,SUM(SUMIFS(Options!$AL$4:$AL$26, Options!$D$4:$D$26, B33), SUMIFS(Options!$AL$4:$AL$26, Options!$D$4:$D$26, B33 &amp; " US")))</f>
        <v>1024944.9738764764</v>
      </c>
      <c r="R33" s="19">
        <f t="shared" si="46"/>
        <v>4.2774406448623951E-4</v>
      </c>
      <c r="S33" s="20">
        <f>IF(SUM(SUMIFS(Options!$AK$4:$AK$26, Options!$D$4:$D$26, B33), SUMIFS(Options!$AK$4:$AK$26, Options!$D$4:$D$26, B33 &amp; " US"))=0,0,SUM(SUMIFS(Options!$AK$4:$AK$26, Options!$D$4:$D$26, B33), SUMIFS(Options!AK$4:$AK$26, Options!$D$4:$D$26, B33 &amp; " US")))</f>
        <v>0.39438033381508303</v>
      </c>
      <c r="T33" s="13">
        <f t="shared" si="5"/>
        <v>1729198.9738764763</v>
      </c>
      <c r="U33" s="48">
        <f t="shared" si="6"/>
        <v>7.2165298259270244E-4</v>
      </c>
      <c r="V33" s="20">
        <f t="shared" si="7"/>
        <v>0.69736041693297968</v>
      </c>
      <c r="W33" s="15">
        <f t="shared" si="8"/>
        <v>323.22938892785839</v>
      </c>
      <c r="X33" s="19"/>
      <c r="Y33" s="375">
        <f>Tabelad[[#This Row],[Exp %]]*$Y$10*$AD$7/Tabelad[[#This Row],[Price Today]]</f>
        <v>1632.8161680698395</v>
      </c>
      <c r="Z33" s="266">
        <f>Tabelad[[#This Row],[Vol 10d]]/16*Tabelad[[#This Row],[Exp %]]*100</f>
        <v>0.47563677798830489</v>
      </c>
      <c r="AA33" s="19">
        <f>Tabelad[[#This Row],[Exp %]]*Tabelad[[#This Row],[Beta Adj2]]</f>
        <v>1.4575707408146382E-3</v>
      </c>
      <c r="AB33" s="36">
        <f>_xll.BDP($B33&amp;" Equity","volatility_10d")</f>
        <v>105.45495731856531</v>
      </c>
      <c r="AC33" s="36" cm="1">
        <f t="array" ref="AC33">_xll.BDP(B33&amp;" EQUITY","eqy_beta")</f>
        <v>2.0197668075561523</v>
      </c>
      <c r="AD33" s="15">
        <f>Tabelad[[#This Row],[D1 P&amp;L bps]]*$AD$5/10000</f>
        <v>68050.389158835082</v>
      </c>
      <c r="AE33" s="277"/>
      <c r="AF33" s="231" t="str">
        <f>_xll.BDP(B33&amp;" Equity","EXPECTED_REPORT_DT")</f>
        <v>03/02/2026</v>
      </c>
      <c r="AG33" s="172" t="e">
        <f>_xll.BDP(B33&amp;" Index","CHG_PCT_1D_PRE_FROM_REGULAR")/100</f>
        <v>#VALUE!</v>
      </c>
      <c r="AH33" s="20" t="e">
        <f t="shared" si="9"/>
        <v>#VALUE!</v>
      </c>
      <c r="AI33" s="446" t="str">
        <f>_xll.BDP(B33&amp;" Equity","DVD_EX_DT")</f>
        <v>#N/A N/A</v>
      </c>
    </row>
    <row r="34" spans="1:35" s="59" customFormat="1">
      <c r="A34" s="468" t="s">
        <v>1770</v>
      </c>
      <c r="B34" s="423" t="s">
        <v>2063</v>
      </c>
      <c r="C34" s="59" t="s">
        <v>2064</v>
      </c>
      <c r="E34" s="59" t="s">
        <v>194</v>
      </c>
      <c r="F34" s="163" t="s">
        <v>99</v>
      </c>
      <c r="G34" s="404"/>
      <c r="H34" s="469">
        <v>-1000</v>
      </c>
      <c r="I34" s="14" cm="1">
        <f t="array" ref="I34">_xll.BDP(B34&amp;" Equity","LAST_PRICE")</f>
        <v>370.66</v>
      </c>
      <c r="J34" s="470">
        <f t="shared" ref="J34" si="83">I34/K34-1</f>
        <v>7.8307683941487571E-3</v>
      </c>
      <c r="K34" s="471">
        <v>367.78</v>
      </c>
      <c r="L34" s="8" cm="1">
        <f t="array" ref="L34">_xll.BDP(E34&amp;" Curncy","PX_LAST")</f>
        <v>1</v>
      </c>
      <c r="M34" s="472">
        <v>1</v>
      </c>
      <c r="N34" s="404">
        <f t="shared" ref="N34" si="84">IFERROR(IF(((I34/L34)*H34*M34)&lt;&gt;0,((I34/L34)*H34*M34),0),"-")</f>
        <v>-370660</v>
      </c>
      <c r="O34" s="473">
        <f>IFERROR(IF(Tabelad[[#This Row],[D1 Exp USD]]&lt;&gt;0,N34/$AE$7,0),"-")</f>
        <v>-1.5468890426655944E-4</v>
      </c>
      <c r="P34" s="474">
        <f>IFERROR(IF(Tabelad[[#This Row],[D1 Exp USD]]&lt;&gt;0,((I34-K34)/L34*M34*H34)/$AD$7*10000,0),"-")</f>
        <v>-1.2019210173412271E-2</v>
      </c>
      <c r="Q34" s="404"/>
      <c r="R34" s="128"/>
      <c r="S34" s="474"/>
      <c r="T34" s="475">
        <f t="shared" ref="T34" si="85">N34+Q34</f>
        <v>-370660</v>
      </c>
      <c r="U34" s="476">
        <f t="shared" ref="U34" si="86">T34/$AE$7</f>
        <v>-1.5468890426655944E-4</v>
      </c>
      <c r="V34" s="474">
        <f t="shared" ref="V34" si="87">P34+S34</f>
        <v>-1.2019210173412271E-2</v>
      </c>
      <c r="W34" s="404">
        <f t="shared" ref="W34" si="88">$W$10/(I34/L34*M34)</f>
        <v>323.22938892785839</v>
      </c>
      <c r="X34" s="128"/>
      <c r="Y34" s="477">
        <f>Tabelad[[#This Row],[Exp %]]*$Y$10*$AD$7/Tabelad[[#This Row],[Price Today]]</f>
        <v>-349.99999999999994</v>
      </c>
      <c r="Z34" s="478">
        <f>Tabelad[[#This Row],[Vol 10d]]/16*Tabelad[[#This Row],[Exp %]]*100</f>
        <v>-0.10195444873178539</v>
      </c>
      <c r="AA34" s="128">
        <f>Tabelad[[#This Row],[Exp %]]*Tabelad[[#This Row],[Beta Adj2]]</f>
        <v>-3.1243551433482805E-4</v>
      </c>
      <c r="AB34" s="14">
        <f>_xll.BDP($B34&amp;" Equity","volatility_10d")</f>
        <v>105.45495731856531</v>
      </c>
      <c r="AC34" s="14" cm="1">
        <f t="array" ref="AC34">_xll.BDP(B34&amp;" EQUITY","eqy_beta")</f>
        <v>2.0197668075561523</v>
      </c>
      <c r="AD34" s="404">
        <f>Tabelad[[#This Row],[D1 P&amp;L bps]]*$AD$5/10000</f>
        <v>-2699.5567539146323</v>
      </c>
      <c r="AE34" s="337"/>
      <c r="AF34" s="479" t="str">
        <f>_xll.BDP(B34&amp;" Equity","EXPECTED_REPORT_DT")</f>
        <v>03/02/2026</v>
      </c>
      <c r="AG34" s="480" t="e">
        <f>_xll.BDP(B34&amp;" Index","CHG_PCT_1D_PRE_FROM_REGULAR")/100</f>
        <v>#VALUE!</v>
      </c>
      <c r="AH34" s="474" t="e">
        <f t="shared" ref="AH34" si="89">(T34*AG34)/$AD$7*10000</f>
        <v>#VALUE!</v>
      </c>
      <c r="AI34" s="481" t="str">
        <f>_xll.BDP(B34&amp;" Equity","DVD_EX_DT")</f>
        <v>#N/A N/A</v>
      </c>
    </row>
    <row r="35" spans="1:35">
      <c r="B35" s="40" t="s">
        <v>2373</v>
      </c>
      <c r="C35" t="s">
        <v>2064</v>
      </c>
      <c r="E35" t="s">
        <v>194</v>
      </c>
      <c r="F35" s="22" t="s">
        <v>99</v>
      </c>
      <c r="G35" s="15"/>
      <c r="H35" s="447">
        <v>18073</v>
      </c>
      <c r="I35" s="36" cm="1">
        <f t="array" ref="I35">_xll.BDP(B35&amp;" Equity","LAST_PRICE")</f>
        <v>78.680000000000007</v>
      </c>
      <c r="J35" s="51">
        <f t="shared" ref="J35:J36" si="90">I35/K35-1</f>
        <v>2.1685495390209031E-2</v>
      </c>
      <c r="K35" s="438" cm="1">
        <f t="array" ref="K35">_xll.BDP(B35&amp;" EQUITY","PX_YEST_CLOSE")</f>
        <v>77.010000000000005</v>
      </c>
      <c r="L35" s="53" cm="1">
        <f t="array" ref="L35">_xll.BDP(E35&amp;" Curncy","PX_LAST")</f>
        <v>1</v>
      </c>
      <c r="M35" s="52">
        <v>1</v>
      </c>
      <c r="N35" s="15">
        <f t="shared" ref="N35:N36" si="91">IFERROR(IF(((I35/L35)*H35*M35)&lt;&gt;0,((I35/L35)*H35*M35),0),"-")</f>
        <v>1421983.6400000001</v>
      </c>
      <c r="O35" s="357">
        <f>IFERROR(IF(Tabelad[[#This Row],[D1 Exp USD]]&lt;&gt;0,N35/$AE$7,0),"-")</f>
        <v>5.9344167473310782E-4</v>
      </c>
      <c r="P35" s="20">
        <f>IFERROR(IF(Tabelad[[#This Row],[D1 Exp USD]]&lt;&gt;0,((I35-K35)/L35*M35*H35)/$AD$7*10000,0),"-")</f>
        <v>0.12595927768229423</v>
      </c>
      <c r="Q35" s="15">
        <f>IF(SUM(SUMIFS(Options!$AL$4:$AL$26, Options!$D$4:$D$26, B35), SUMIFS(Options!$AL$4:$AL$26, Options!$D$4:$D$26, B35 &amp; " US"))=0,0,SUM(SUMIFS(Options!$AL$4:$AL$26, Options!$D$4:$D$26, B35), SUMIFS(Options!$AL$4:$AL$26, Options!$D$4:$D$26, B35 &amp; " US")))</f>
        <v>0</v>
      </c>
      <c r="R35" s="19">
        <f t="shared" si="46"/>
        <v>0</v>
      </c>
      <c r="S35" s="20">
        <f>IF(SUM(SUMIFS(Options!$AK$4:$AK$26, Options!$D$4:$D$26, B35), SUMIFS(Options!$AK$4:$AK$26, Options!$D$4:$D$26, B35 &amp; " US"))=0,0,SUM(SUMIFS(Options!$AK$4:$AK$26, Options!$D$4:$D$26, B35), SUMIFS(Options!AK$4:$AK$26, Options!$D$4:$D$26, B35 &amp; " US")))</f>
        <v>0</v>
      </c>
      <c r="T35" s="13">
        <f t="shared" ref="T35:T36" si="92">N35+Q35</f>
        <v>1421983.6400000001</v>
      </c>
      <c r="U35" s="48">
        <f t="shared" ref="U35:U36" si="93">T35/$AE$7</f>
        <v>5.9344167473310782E-4</v>
      </c>
      <c r="V35" s="20">
        <f t="shared" ref="V35:V36" si="94">P35+S35</f>
        <v>0.12595927768229423</v>
      </c>
      <c r="W35" s="15">
        <f t="shared" ref="W35:W36" si="95">$W$10/(I35/L35*M35)</f>
        <v>1522.7275711743771</v>
      </c>
      <c r="X35" s="19"/>
      <c r="Y35" s="375">
        <f>Tabelad[[#This Row],[Exp %]]*$Y$10*$AD$7/Tabelad[[#This Row],[Price Today]]</f>
        <v>6325.5499999999993</v>
      </c>
      <c r="Z35" s="266">
        <f>Tabelad[[#This Row],[Vol 10d]]/16*Tabelad[[#This Row],[Exp %]]*100</f>
        <v>0.10281263078752267</v>
      </c>
      <c r="AA35" s="19">
        <f>Tabelad[[#This Row],[Exp %]]*Tabelad[[#This Row],[Beta Adj2]]</f>
        <v>5.5293369139252377E-4</v>
      </c>
      <c r="AB35" s="36">
        <f>_xll.BDP($B35&amp;" Equity","volatility_10d")</f>
        <v>27.7196928129488</v>
      </c>
      <c r="AC35" s="36" cm="1">
        <f t="array" ref="AC35">_xll.BDP(B35&amp;" EQUITY","eqy_beta")</f>
        <v>0.93174058198928833</v>
      </c>
      <c r="AD35" s="15">
        <f>Tabelad[[#This Row],[D1 P&amp;L bps]]*$AD$5/10000</f>
        <v>28290.89548143826</v>
      </c>
      <c r="AE35" s="277"/>
      <c r="AF35" s="231" t="str">
        <f>_xll.BDP(B35&amp;" Equity","EXPECTED_REPORT_DT")</f>
        <v>12/02/2026</v>
      </c>
      <c r="AG35" s="172">
        <f>_xll.BDP(B35&amp;" Index","CHG_PCT_1D_PRE_FROM_REGULAR")/100</f>
        <v>2.5970260000000001E-3</v>
      </c>
      <c r="AH35" s="20">
        <f t="shared" ref="AH35:AH36" si="96">(T35*AG35)/$AD$7*10000</f>
        <v>1.5411834587654242E-2</v>
      </c>
      <c r="AI35" s="446" t="str">
        <f>_xll.BDP(B35&amp;" Equity","DVD_EX_DT")</f>
        <v>02/01/2026</v>
      </c>
    </row>
    <row r="36" spans="1:35" s="59" customFormat="1">
      <c r="A36" s="468" t="s">
        <v>1770</v>
      </c>
      <c r="B36" s="423" t="s">
        <v>2373</v>
      </c>
      <c r="C36" s="59" t="s">
        <v>2064</v>
      </c>
      <c r="E36" s="59" t="s">
        <v>194</v>
      </c>
      <c r="F36" s="163" t="s">
        <v>99</v>
      </c>
      <c r="G36" s="404"/>
      <c r="H36" s="469">
        <v>12337</v>
      </c>
      <c r="I36" s="14" cm="1">
        <f t="array" ref="I36">_xll.BDP(B36&amp;" Equity","LAST_PRICE")</f>
        <v>78.680000000000007</v>
      </c>
      <c r="J36" s="470">
        <f t="shared" si="90"/>
        <v>1.2873326467559121E-2</v>
      </c>
      <c r="K36" s="471">
        <v>77.680000000000007</v>
      </c>
      <c r="L36" s="8" cm="1">
        <f t="array" ref="L36">_xll.BDP(E36&amp;" Curncy","PX_LAST")</f>
        <v>1</v>
      </c>
      <c r="M36" s="472">
        <v>1</v>
      </c>
      <c r="N36" s="404">
        <f t="shared" si="91"/>
        <v>970675.16</v>
      </c>
      <c r="O36" s="473">
        <f>IFERROR(IF(Tabelad[[#This Row],[D1 Exp USD]]&lt;&gt;0,N36/$AE$7,0),"-")</f>
        <v>4.0509544299133243E-4</v>
      </c>
      <c r="P36" s="474">
        <f>IFERROR(IF(Tabelad[[#This Row],[D1 Exp USD]]&lt;&gt;0,((I36-K36)/L36*M36*H36)/$AD$7*10000,0),"-")</f>
        <v>5.1486456912980733E-2</v>
      </c>
      <c r="Q36" s="404"/>
      <c r="R36" s="128"/>
      <c r="S36" s="474"/>
      <c r="T36" s="475">
        <f t="shared" si="92"/>
        <v>970675.16</v>
      </c>
      <c r="U36" s="476">
        <f t="shared" si="93"/>
        <v>4.0509544299133243E-4</v>
      </c>
      <c r="V36" s="474">
        <f t="shared" si="94"/>
        <v>5.1486456912980733E-2</v>
      </c>
      <c r="W36" s="404">
        <f t="shared" si="95"/>
        <v>1522.7275711743771</v>
      </c>
      <c r="X36" s="128"/>
      <c r="Y36" s="477">
        <f>Tabelad[[#This Row],[Exp %]]*$Y$10*$AD$7/Tabelad[[#This Row],[Price Today]]</f>
        <v>4317.95</v>
      </c>
      <c r="Z36" s="478">
        <f>Tabelad[[#This Row],[Vol 10d]]/16*Tabelad[[#This Row],[Exp %]]*100</f>
        <v>7.0182007747782174E-2</v>
      </c>
      <c r="AA36" s="128">
        <f>Tabelad[[#This Row],[Exp %]]*Tabelad[[#This Row],[Beta Adj2]]</f>
        <v>3.7744386381395264E-4</v>
      </c>
      <c r="AB36" s="14">
        <f>_xll.BDP($B36&amp;" Equity","volatility_10d")</f>
        <v>27.7196928129488</v>
      </c>
      <c r="AC36" s="14" cm="1">
        <f t="array" ref="AC36">_xll.BDP(B36&amp;" EQUITY","eqy_beta")</f>
        <v>0.93174058198928833</v>
      </c>
      <c r="AD36" s="404">
        <f>Tabelad[[#This Row],[D1 P&amp;L bps]]*$AD$5/10000</f>
        <v>11564.038775362575</v>
      </c>
      <c r="AE36" s="337"/>
      <c r="AF36" s="479" t="str">
        <f>_xll.BDP(B36&amp;" Equity","EXPECTED_REPORT_DT")</f>
        <v>12/02/2026</v>
      </c>
      <c r="AG36" s="480">
        <f>_xll.BDP(B36&amp;" Index","CHG_PCT_1D_PRE_FROM_REGULAR")/100</f>
        <v>2.5970260000000001E-3</v>
      </c>
      <c r="AH36" s="474">
        <f t="shared" si="96"/>
        <v>1.0520433979300081E-2</v>
      </c>
      <c r="AI36" s="481" t="str">
        <f>_xll.BDP(B36&amp;" Equity","DVD_EX_DT")</f>
        <v>02/01/2026</v>
      </c>
    </row>
    <row r="37" spans="1:35" s="59" customFormat="1">
      <c r="A37" s="468" t="s">
        <v>1770</v>
      </c>
      <c r="B37" s="423" t="s">
        <v>2382</v>
      </c>
      <c r="C37" s="59" t="s">
        <v>2064</v>
      </c>
      <c r="E37" s="59" t="s">
        <v>194</v>
      </c>
      <c r="F37" s="163" t="s">
        <v>99</v>
      </c>
      <c r="G37" s="404"/>
      <c r="H37" s="469">
        <v>11600</v>
      </c>
      <c r="I37" s="14" cm="1">
        <f t="array" ref="I37">_xll.BDP(B37&amp;" Equity","LAST_PRICE")</f>
        <v>103.26</v>
      </c>
      <c r="J37" s="470">
        <f t="shared" ref="J37" si="97">I37/K37-1</f>
        <v>2.5242718446603085E-3</v>
      </c>
      <c r="K37" s="471">
        <v>103</v>
      </c>
      <c r="L37" s="8" cm="1">
        <f t="array" ref="L37">_xll.BDP(E37&amp;" Curncy","PX_LAST")</f>
        <v>1</v>
      </c>
      <c r="M37" s="472">
        <v>1</v>
      </c>
      <c r="N37" s="404">
        <f t="shared" ref="N37" si="98">IFERROR(IF(((I37/L37)*H37*M37)&lt;&gt;0,((I37/L37)*H37*M37),0),"-")</f>
        <v>1197816</v>
      </c>
      <c r="O37" s="473">
        <f>IFERROR(IF(Tabelad[[#This Row],[D1 Exp USD]]&lt;&gt;0,N37/$AE$7,0),"-")</f>
        <v>4.9988896712068517E-4</v>
      </c>
      <c r="P37" s="474">
        <f>IFERROR(IF(Tabelad[[#This Row],[D1 Exp USD]]&lt;&gt;0,((I37-K37)/L37*M37*H37)/$AD$7*10000,0),"-")</f>
        <v>1.2586783987156758E-2</v>
      </c>
      <c r="Q37" s="404"/>
      <c r="R37" s="128"/>
      <c r="S37" s="474"/>
      <c r="T37" s="475">
        <f t="shared" ref="T37" si="99">N37+Q37</f>
        <v>1197816</v>
      </c>
      <c r="U37" s="476">
        <f t="shared" ref="U37" si="100">T37/$AE$7</f>
        <v>4.9988896712068517E-4</v>
      </c>
      <c r="V37" s="474">
        <f t="shared" ref="V37" si="101">P37+S37</f>
        <v>1.2586783987156758E-2</v>
      </c>
      <c r="W37" s="404">
        <f t="shared" ref="W37" si="102">$W$10/(I37/L37*M37)</f>
        <v>1160.2576534960294</v>
      </c>
      <c r="X37" s="128"/>
      <c r="Y37" s="477">
        <f>Tabelad[[#This Row],[Exp %]]*$Y$10*$AD$7/Tabelad[[#This Row],[Price Today]]</f>
        <v>4059.9999999999995</v>
      </c>
      <c r="Z37" s="478">
        <f>Tabelad[[#This Row],[Vol 10d]]/16*Tabelad[[#This Row],[Exp %]]*100</f>
        <v>0.1522202980930461</v>
      </c>
      <c r="AA37" s="128">
        <f>Tabelad[[#This Row],[Exp %]]*Tabelad[[#This Row],[Beta Adj2]]</f>
        <v>3.7317367663824053E-4</v>
      </c>
      <c r="AB37" s="14">
        <f>_xll.BDP($B37&amp;" Equity","volatility_10d")</f>
        <v>48.721314725490707</v>
      </c>
      <c r="AC37" s="14" cm="1">
        <f t="array" ref="AC37">_xll.BDP(B37&amp;" EQUITY","eqy_beta")</f>
        <v>0.74651312828063965</v>
      </c>
      <c r="AD37" s="404">
        <f>Tabelad[[#This Row],[D1 P&amp;L bps]]*$AD$5/10000</f>
        <v>2827.0358228494938</v>
      </c>
      <c r="AE37" s="337"/>
      <c r="AF37" s="479" t="str">
        <f>_xll.BDP(B37&amp;" Equity","EXPECTED_REPORT_DT")</f>
        <v>19/02/2026</v>
      </c>
      <c r="AG37" s="480">
        <f>_xll.BDP(B37&amp;" Index","CHG_PCT_1D_PRE_FROM_REGULAR")/100</f>
        <v>3.2231830000000003E-2</v>
      </c>
      <c r="AH37" s="474">
        <f t="shared" ref="AH37" si="103">(T37*AG37)/$AD$7*10000</f>
        <v>0.16112336207109518</v>
      </c>
      <c r="AI37" s="481" t="str">
        <f>_xll.BDP(B37&amp;" Equity","DVD_EX_DT")</f>
        <v>#N/A Field Not Applicable</v>
      </c>
    </row>
    <row r="38" spans="1:35" s="59" customFormat="1">
      <c r="A38" s="468"/>
      <c r="B38" s="423" t="s">
        <v>2383</v>
      </c>
      <c r="C38" s="59" t="s">
        <v>2064</v>
      </c>
      <c r="E38" s="59" t="s">
        <v>194</v>
      </c>
      <c r="F38" s="163" t="s">
        <v>99</v>
      </c>
      <c r="G38" s="404"/>
      <c r="H38" s="469">
        <v>238</v>
      </c>
      <c r="I38" s="14">
        <v>212.88</v>
      </c>
      <c r="J38" s="470">
        <f t="shared" ref="J38" si="104">I38/K38-1</f>
        <v>0.10661745594427408</v>
      </c>
      <c r="K38" s="471">
        <v>192.37</v>
      </c>
      <c r="L38" s="8" cm="1">
        <f t="array" ref="L38">_xll.BDP(E38&amp;" Curncy","PX_LAST")</f>
        <v>1</v>
      </c>
      <c r="M38" s="472">
        <v>1</v>
      </c>
      <c r="N38" s="404">
        <f t="shared" ref="N38" si="105">IFERROR(IF(((I38/L38)*H38*M38)&lt;&gt;0,((I38/L38)*H38*M38),0),"-")</f>
        <v>50665.440000000002</v>
      </c>
      <c r="O38" s="473"/>
      <c r="P38" s="474">
        <f>IFERROR(IF(Tabelad[[#This Row],[D1 Exp USD]]&lt;&gt;0,((I38-K38)/L38*M38*H38)/$AD$7*10000,0),"-")</f>
        <v>2.0371643109822955E-2</v>
      </c>
      <c r="Q38" s="404"/>
      <c r="R38" s="128"/>
      <c r="S38" s="474"/>
      <c r="T38" s="475">
        <f t="shared" ref="T38" si="106">N38+Q38</f>
        <v>50665.440000000002</v>
      </c>
      <c r="U38" s="476"/>
      <c r="V38" s="474">
        <f t="shared" ref="V38" si="107">P38+S38</f>
        <v>2.0371643109822955E-2</v>
      </c>
      <c r="W38" s="404">
        <f t="shared" ref="W38" si="108">$W$10/(I38/L38*M38)</f>
        <v>562.79690576850805</v>
      </c>
      <c r="X38" s="128"/>
      <c r="Y38" s="477">
        <f>Tabelad[[#This Row],[Exp %]]*$Y$10*$AD$7/Tabelad[[#This Row],[Price Today]]</f>
        <v>0</v>
      </c>
      <c r="Z38" s="478">
        <f>Tabelad[[#This Row],[Vol 10d]]/16*Tabelad[[#This Row],[Exp %]]*100</f>
        <v>0</v>
      </c>
      <c r="AA38" s="128">
        <f>Tabelad[[#This Row],[Exp %]]*Tabelad[[#This Row],[Beta Adj2]]</f>
        <v>0</v>
      </c>
      <c r="AB38" s="14">
        <f>_xll.BDP($B38&amp;" Equity","volatility_10d")</f>
        <v>76.364059965220079</v>
      </c>
      <c r="AC38" s="14" cm="1">
        <f t="array" ref="AC38">_xll.BDP(B38&amp;" EQUITY","eqy_beta")</f>
        <v>1.6181738376617432</v>
      </c>
      <c r="AD38" s="404">
        <f>Tabelad[[#This Row],[D1 P&amp;L bps]]*$AD$5/10000</f>
        <v>4575.5424817442927</v>
      </c>
      <c r="AE38" s="337"/>
      <c r="AF38" s="479" t="str">
        <f>_xll.BDP(B38&amp;" Equity","EXPECTED_REPORT_DT")</f>
        <v>10/02/2026</v>
      </c>
      <c r="AG38" s="480" t="e">
        <f>_xll.BDP(B38&amp;" Index","CHG_PCT_1D_PRE_FROM_REGULAR")/100</f>
        <v>#VALUE!</v>
      </c>
      <c r="AH38" s="474" t="e">
        <f t="shared" ref="AH38" si="109">(T38*AG38)/$AD$7*10000</f>
        <v>#VALUE!</v>
      </c>
      <c r="AI38" s="481" t="str">
        <f>_xll.BDP(B38&amp;" Equity","DVD_EX_DT")</f>
        <v>#N/A N/A</v>
      </c>
    </row>
    <row r="39" spans="1:35">
      <c r="B39" s="40" t="s">
        <v>137</v>
      </c>
      <c r="C39" t="s">
        <v>1880</v>
      </c>
      <c r="E39" t="s">
        <v>194</v>
      </c>
      <c r="F39" s="22" t="s">
        <v>99</v>
      </c>
      <c r="G39" s="15"/>
      <c r="H39" s="447"/>
      <c r="I39" s="36" cm="1">
        <f t="array" ref="I39">_xll.BDP(B39&amp;" Equity","LAST_PRICE")</f>
        <v>332.79</v>
      </c>
      <c r="J39" s="51">
        <f t="shared" si="2"/>
        <v>2.4442050177004848E-2</v>
      </c>
      <c r="K39" s="438" cm="1">
        <f t="array" ref="K39">_xll.BDP(B39&amp;" EQUITY","PX_YEST_CLOSE")</f>
        <v>324.85000000000002</v>
      </c>
      <c r="L39" s="53" cm="1">
        <f t="array" ref="L39">_xll.BDP(E39&amp;" Curncy","PX_LAST")</f>
        <v>1</v>
      </c>
      <c r="M39" s="52">
        <v>1</v>
      </c>
      <c r="N39" s="15">
        <f t="shared" si="3"/>
        <v>0</v>
      </c>
      <c r="O39" s="357">
        <f>IFERROR(IF(Tabelad[[#This Row],[D1 Exp USD]]&lt;&gt;0,N39/$AE$7,0),"-")</f>
        <v>0</v>
      </c>
      <c r="P39" s="20">
        <f>IFERROR(IF(Tabelad[[#This Row],[D1 Exp USD]]&lt;&gt;0,((I39-K39)/L39*M39*H39)/$AD$7*10000,0),"-")</f>
        <v>0</v>
      </c>
      <c r="Q39" s="15">
        <f>IF(SUM(SUMIFS(Options!$AL$4:$AL$26, Options!$D$4:$D$26, B39), SUMIFS(Options!$AL$4:$AL$26, Options!$D$4:$D$26, B39 &amp; " US"))=0,0,SUM(SUMIFS(Options!$AL$4:$AL$26, Options!$D$4:$D$26, B39), SUMIFS(Options!$AL$4:$AL$26, Options!$D$4:$D$26, B39 &amp; " US")))</f>
        <v>2057320.5282497408</v>
      </c>
      <c r="R39" s="19">
        <f t="shared" ref="R39:R49" si="110">Q39/$AE$7</f>
        <v>8.5858916052460922E-4</v>
      </c>
      <c r="S39" s="20">
        <f>IF(SUM(SUMIFS(Options!$AK$4:$AK$26, Options!$D$4:$D$26, B39), SUMIFS(Options!$AK$4:$AK$26, Options!$D$4:$D$26, B39 &amp; " US"))=0,0,SUM(SUMIFS(Options!$AK$4:$AK$26, Options!$D$4:$D$26, B39), SUMIFS(Options!AK$4:$AK$26, Options!$D$4:$D$26, B39 &amp; " US")))</f>
        <v>0.19656416637767615</v>
      </c>
      <c r="T39" s="13">
        <f t="shared" si="5"/>
        <v>2057320.5282497408</v>
      </c>
      <c r="U39" s="48">
        <f t="shared" si="6"/>
        <v>8.5858916052460922E-4</v>
      </c>
      <c r="V39" s="20">
        <f t="shared" si="7"/>
        <v>0.19656416637767615</v>
      </c>
      <c r="W39" s="15">
        <f t="shared" si="8"/>
        <v>360.01143453829741</v>
      </c>
      <c r="X39" s="19"/>
      <c r="Y39" s="375">
        <f>Tabelad[[#This Row],[Exp %]]*$Y$10*$AD$7/Tabelad[[#This Row],[Price Today]]</f>
        <v>2163.7134075164795</v>
      </c>
      <c r="Z39" s="266">
        <f>Tabelad[[#This Row],[Vol 10d]]/16*Tabelad[[#This Row],[Exp %]]*100</f>
        <v>0.24347311474606836</v>
      </c>
      <c r="AA39" s="19">
        <f>Tabelad[[#This Row],[Exp %]]*Tabelad[[#This Row],[Beta Adj2]]</f>
        <v>1.7441422896606073E-3</v>
      </c>
      <c r="AB39" s="36">
        <f>_xll.BDP($B39&amp;" Equity","volatility_10d")</f>
        <v>45.371756540192635</v>
      </c>
      <c r="AC39" s="36" cm="1">
        <f t="array" ref="AC39">_xll.BDP(B39&amp;" EQUITY","eqy_beta")</f>
        <v>2.031404972076416</v>
      </c>
      <c r="AD39" s="15">
        <f>Tabelad[[#This Row],[D1 P&amp;L bps]]*$AD$5/10000</f>
        <v>0</v>
      </c>
      <c r="AE39" s="277"/>
      <c r="AF39" s="231" t="str">
        <f>_xll.BDP(B39&amp;" Equity","EXPECTED_REPORT_DT")</f>
        <v>06/03/2026</v>
      </c>
      <c r="AG39" s="172">
        <f>_xll.BDP(B39&amp;" Index","CHG_PCT_1D_PRE_FROM_REGULAR")/100</f>
        <v>1.57611E-2</v>
      </c>
      <c r="AH39" s="20">
        <f t="shared" si="9"/>
        <v>0.13532309617944419</v>
      </c>
      <c r="AI39" s="446" t="str">
        <f>_xll.BDP(B39&amp;" Equity","DVD_EX_DT")</f>
        <v>22/12/2025</v>
      </c>
    </row>
    <row r="40" spans="1:35">
      <c r="B40" s="40" t="s">
        <v>96</v>
      </c>
      <c r="C40" t="s">
        <v>1880</v>
      </c>
      <c r="E40" t="s">
        <v>194</v>
      </c>
      <c r="F40" s="22" t="s">
        <v>99</v>
      </c>
      <c r="G40" s="15"/>
      <c r="H40" s="447">
        <v>4100</v>
      </c>
      <c r="I40" s="36" cm="1">
        <f t="array" ref="I40">_xll.BDP(B40&amp;" Equity","LAST_PRICE")</f>
        <v>338.34</v>
      </c>
      <c r="J40" s="51">
        <f t="shared" si="2"/>
        <v>1.6921643473295056E-2</v>
      </c>
      <c r="K40" s="438" cm="1">
        <f t="array" ref="K40">_xll.BDP(B40&amp;" EQUITY","PX_YEST_CLOSE")</f>
        <v>332.71</v>
      </c>
      <c r="L40" s="53" cm="1">
        <f t="array" ref="L40">_xll.BDP(E40&amp;" Curncy","PX_LAST")</f>
        <v>1</v>
      </c>
      <c r="M40" s="52">
        <v>1</v>
      </c>
      <c r="N40" s="15">
        <f t="shared" si="3"/>
        <v>1387194</v>
      </c>
      <c r="O40" s="357">
        <f>IFERROR(IF(Tabelad[[#This Row],[D1 Exp USD]]&lt;&gt;0,N40/$AE$7,0),"-")</f>
        <v>5.7892278601722781E-4</v>
      </c>
      <c r="P40" s="20">
        <f>IFERROR(IF(Tabelad[[#This Row],[D1 Exp USD]]&lt;&gt;0,((I40-K40)/L40*M40*H40)/$AD$7*10000,0),"-")</f>
        <v>9.6333134872524387E-2</v>
      </c>
      <c r="Q40" s="15">
        <f>IF(SUM(SUMIFS(Options!$AL$4:$AL$26, Options!$D$4:$D$26, B40), SUMIFS(Options!$AL$4:$AL$26, Options!$D$4:$D$26, B40 &amp; " US"))=0,0,SUM(SUMIFS(Options!$AL$4:$AL$26, Options!$D$4:$D$26, B40), SUMIFS(Options!$AL$4:$AL$26, Options!$D$4:$D$26, B40 &amp; " US")))</f>
        <v>11490954.36047316</v>
      </c>
      <c r="R40" s="19">
        <f t="shared" si="110"/>
        <v>4.7955623455421042E-3</v>
      </c>
      <c r="S40" s="20">
        <f>IF(SUM(SUMIFS(Options!$AK$4:$AK$26, Options!$D$4:$D$26, B40), SUMIFS(Options!$AK$4:$AK$26, Options!$D$4:$D$26, B40 &amp; " US"))=0,0,SUM(SUMIFS(Options!$AK$4:$AK$26, Options!$D$4:$D$26, B40), SUMIFS(Options!AK$4:$AK$26, Options!$D$4:$D$26, B40 &amp; " US")))</f>
        <v>1.197017346523928</v>
      </c>
      <c r="T40" s="13">
        <f t="shared" si="5"/>
        <v>12878148.36047316</v>
      </c>
      <c r="U40" s="48">
        <f t="shared" si="6"/>
        <v>5.374485131559332E-3</v>
      </c>
      <c r="V40" s="20">
        <f t="shared" si="7"/>
        <v>1.2933504813964525</v>
      </c>
      <c r="W40" s="15">
        <f t="shared" si="8"/>
        <v>354.10594461192886</v>
      </c>
      <c r="X40" s="19"/>
      <c r="Y40" s="375">
        <f>Tabelad[[#This Row],[Exp %]]*$Y$10*$AD$7/Tabelad[[#This Row],[Price Today]]</f>
        <v>13321.959940195089</v>
      </c>
      <c r="Z40" s="266">
        <f>Tabelad[[#This Row],[Vol 10d]]/16*Tabelad[[#This Row],[Exp %]]*100</f>
        <v>1.3489577409839062</v>
      </c>
      <c r="AA40" s="19">
        <f>Tabelad[[#This Row],[Exp %]]*Tabelad[[#This Row],[Beta Adj2]]</f>
        <v>7.9574780592367427E-3</v>
      </c>
      <c r="AB40" s="36">
        <f>_xll.BDP($B40&amp;" Equity","volatility_10d")</f>
        <v>40.158867923931531</v>
      </c>
      <c r="AC40" s="36" cm="1">
        <f t="array" ref="AC40">_xll.BDP(B40&amp;" EQUITY","eqy_beta")</f>
        <v>1.4806028604507446</v>
      </c>
      <c r="AD40" s="15">
        <f>Tabelad[[#This Row],[D1 P&amp;L bps]]*$AD$5/10000</f>
        <v>21636.759913406349</v>
      </c>
      <c r="AE40" s="277"/>
      <c r="AF40" s="231" t="str">
        <f>_xll.BDP(B40&amp;" Equity","EXPECTED_REPORT_DT")</f>
        <v>17/04/2026</v>
      </c>
      <c r="AG40" s="172" t="e">
        <f>_xll.BDP(B40&amp;" Index","CHG_PCT_1D_PRE_FROM_REGULAR")/100</f>
        <v>#VALUE!</v>
      </c>
      <c r="AH40" s="20" t="e">
        <f t="shared" si="9"/>
        <v>#VALUE!</v>
      </c>
      <c r="AI40" s="446" t="str">
        <f>_xll.BDP(B40&amp;" Equity","DVD_EX_DT")</f>
        <v>17/03/2026</v>
      </c>
    </row>
    <row r="41" spans="1:35" s="59" customFormat="1">
      <c r="A41" s="468" t="s">
        <v>1770</v>
      </c>
      <c r="B41" s="423" t="s">
        <v>96</v>
      </c>
      <c r="C41" s="59" t="s">
        <v>1880</v>
      </c>
      <c r="E41" s="59" t="s">
        <v>194</v>
      </c>
      <c r="F41" s="163" t="s">
        <v>99</v>
      </c>
      <c r="G41" s="404"/>
      <c r="H41" s="469">
        <v>-1765</v>
      </c>
      <c r="I41" s="14" cm="1">
        <f t="array" ref="I41">_xll.BDP(B41&amp;" Equity","LAST_PRICE")</f>
        <v>338.34</v>
      </c>
      <c r="J41" s="470">
        <f t="shared" ref="J41" si="111">I41/K41-1</f>
        <v>-4.9116202464634107E-3</v>
      </c>
      <c r="K41" s="471">
        <v>340.01</v>
      </c>
      <c r="L41" s="8" cm="1">
        <f t="array" ref="L41">_xll.BDP(E41&amp;" Curncy","PX_LAST")</f>
        <v>1</v>
      </c>
      <c r="M41" s="472">
        <v>1</v>
      </c>
      <c r="N41" s="404">
        <f t="shared" ref="N41" si="112">IFERROR(IF(((I41/L41)*H41*M41)&lt;&gt;0,((I41/L41)*H41*M41),0),"-")</f>
        <v>-597170.1</v>
      </c>
      <c r="O41" s="473">
        <f>IFERROR(IF(Tabelad[[#This Row],[D1 Exp USD]]&lt;&gt;0,N41/$AE$7,0),"-")</f>
        <v>-2.4921919934644074E-4</v>
      </c>
      <c r="P41" s="474">
        <f>IFERROR(IF(Tabelad[[#This Row],[D1 Exp USD]]&lt;&gt;0,((I41-K41)/L41*M41*H41)/$AD$7*10000,0),"-")</f>
        <v>1.2301119078694803E-2</v>
      </c>
      <c r="Q41" s="404"/>
      <c r="R41" s="128"/>
      <c r="S41" s="474"/>
      <c r="T41" s="475">
        <f t="shared" ref="T41" si="113">N41+Q41</f>
        <v>-597170.1</v>
      </c>
      <c r="U41" s="476">
        <f t="shared" ref="U41" si="114">T41/$AE$7</f>
        <v>-2.4921919934644074E-4</v>
      </c>
      <c r="V41" s="474">
        <f t="shared" ref="V41" si="115">P41+S41</f>
        <v>1.2301119078694803E-2</v>
      </c>
      <c r="W41" s="404">
        <f t="shared" ref="W41" si="116">$W$10/(I41/L41*M41)</f>
        <v>354.10594461192886</v>
      </c>
      <c r="X41" s="128"/>
      <c r="Y41" s="477">
        <f>Tabelad[[#This Row],[Exp %]]*$Y$10*$AD$7/Tabelad[[#This Row],[Price Today]]</f>
        <v>-617.75</v>
      </c>
      <c r="Z41" s="478">
        <f>Tabelad[[#This Row],[Vol 10d]]/16*Tabelad[[#This Row],[Exp %]]*100</f>
        <v>-6.2552255691635486E-2</v>
      </c>
      <c r="AA41" s="128">
        <f>Tabelad[[#This Row],[Exp %]]*Tabelad[[#This Row],[Beta Adj2]]</f>
        <v>-3.6899465943158452E-4</v>
      </c>
      <c r="AB41" s="14">
        <f>_xll.BDP($B41&amp;" Equity","volatility_10d")</f>
        <v>40.158867923931531</v>
      </c>
      <c r="AC41" s="14" cm="1">
        <f t="array" ref="AC41">_xll.BDP(B41&amp;" EQUITY","eqy_beta")</f>
        <v>1.4806028604507446</v>
      </c>
      <c r="AD41" s="404">
        <f>Tabelad[[#This Row],[D1 P&amp;L bps]]*$AD$5/10000</f>
        <v>2762.8744826392381</v>
      </c>
      <c r="AE41" s="337"/>
      <c r="AF41" s="479" t="str">
        <f>_xll.BDP(B41&amp;" Equity","EXPECTED_REPORT_DT")</f>
        <v>17/04/2026</v>
      </c>
      <c r="AG41" s="480" t="e">
        <f>_xll.BDP(B41&amp;" Index","CHG_PCT_1D_PRE_FROM_REGULAR")/100</f>
        <v>#VALUE!</v>
      </c>
      <c r="AH41" s="474" t="e">
        <f t="shared" ref="AH41" si="117">(T41*AG41)/$AD$7*10000</f>
        <v>#VALUE!</v>
      </c>
      <c r="AI41" s="481" t="str">
        <f>_xll.BDP(B41&amp;" Equity","DVD_EX_DT")</f>
        <v>17/03/2026</v>
      </c>
    </row>
    <row r="42" spans="1:35">
      <c r="B42" s="40" t="s">
        <v>708</v>
      </c>
      <c r="C42" t="s">
        <v>1880</v>
      </c>
      <c r="E42" t="s">
        <v>194</v>
      </c>
      <c r="F42" s="22" t="s">
        <v>99</v>
      </c>
      <c r="G42" s="15"/>
      <c r="H42" s="447"/>
      <c r="I42" s="36" cm="1">
        <f t="array" ref="I42">_xll.BDP(B42&amp;" Equity","LAST_PRICE")</f>
        <v>43.93</v>
      </c>
      <c r="J42" s="51">
        <f t="shared" ref="J42" si="118">I42/K42-1</f>
        <v>3.389032713579665E-2</v>
      </c>
      <c r="K42" s="438" cm="1">
        <f t="array" ref="K42">_xll.BDP(B42&amp;" EQUITY","PX_YEST_CLOSE")</f>
        <v>42.49</v>
      </c>
      <c r="L42" s="53" cm="1">
        <f t="array" ref="L42">_xll.BDP(E42&amp;" Curncy","PX_LAST")</f>
        <v>1</v>
      </c>
      <c r="M42" s="52">
        <v>1</v>
      </c>
      <c r="N42" s="15">
        <f t="shared" ref="N42" si="119">IFERROR(IF(((I42/L42)*H42*M42)&lt;&gt;0,((I42/L42)*H42*M42),0),"-")</f>
        <v>0</v>
      </c>
      <c r="O42" s="357">
        <f>IFERROR(IF(Tabelad[[#This Row],[D1 Exp USD]]&lt;&gt;0,N42/$AE$7,0),"-")</f>
        <v>0</v>
      </c>
      <c r="P42" s="20">
        <f>IFERROR(IF(Tabelad[[#This Row],[D1 Exp USD]]&lt;&gt;0,((I42-K42)/L42*M42*H42)/$AD$7*10000,0),"-")</f>
        <v>0</v>
      </c>
      <c r="Q42" s="15">
        <f>IF(SUM(SUMIFS(Options!$AL$4:$AL$26, Options!$D$4:$D$26, B42), SUMIFS(Options!$AL$4:$AL$26, Options!$D$4:$D$26, B42 &amp; " US"))=0,0,SUM(SUMIFS(Options!$AL$4:$AL$26, Options!$D$4:$D$26, B42), SUMIFS(Options!$AL$4:$AL$26, Options!$D$4:$D$26, B42 &amp; " US")))</f>
        <v>320167.04358905554</v>
      </c>
      <c r="R42" s="19">
        <f t="shared" ref="R42" si="120">Q42/$AE$7</f>
        <v>1.3361649262141794E-4</v>
      </c>
      <c r="S42" s="20">
        <f>IF(SUM(SUMIFS(Options!$AK$4:$AK$26, Options!$D$4:$D$26, B42), SUMIFS(Options!$AK$4:$AK$26, Options!$D$4:$D$26, B42 &amp; " US"))=0,0,SUM(SUMIFS(Options!$AK$4:$AK$26, Options!$D$4:$D$26, B42), SUMIFS(Options!AK$4:$AK$26, Options!$D$4:$D$26, B42 &amp; " US")))</f>
        <v>5.1645043713879873E-2</v>
      </c>
      <c r="T42" s="13">
        <f t="shared" ref="T42" si="121">N42+Q42</f>
        <v>320167.04358905554</v>
      </c>
      <c r="U42" s="48">
        <f t="shared" ref="U42" si="122">T42/$AE$7</f>
        <v>1.3361649262141794E-4</v>
      </c>
      <c r="V42" s="20">
        <f t="shared" ref="V42" si="123">P42+S42</f>
        <v>5.1645043713879873E-2</v>
      </c>
      <c r="W42" s="15">
        <f t="shared" ref="W42" si="124">$W$10/(I42/L42*M42)</f>
        <v>2727.2525677213748</v>
      </c>
      <c r="X42" s="19"/>
      <c r="Y42" s="375">
        <f>Tabelad[[#This Row],[Exp %]]*$Y$10*$AD$7/Tabelad[[#This Row],[Price Today]]</f>
        <v>2550.8414581418037</v>
      </c>
      <c r="Z42" s="266">
        <f>Tabelad[[#This Row],[Vol 10d]]/16*Tabelad[[#This Row],[Exp %]]*100</f>
        <v>0.11045431713667425</v>
      </c>
      <c r="AA42" s="19">
        <f>Tabelad[[#This Row],[Exp %]]*Tabelad[[#This Row],[Beta Adj2]]</f>
        <v>1.9667111713913272E-4</v>
      </c>
      <c r="AB42" s="36">
        <f>_xll.BDP($B42&amp;" Equity","volatility_10d")</f>
        <v>132.26429159415798</v>
      </c>
      <c r="AC42" s="36" cm="1">
        <f t="array" ref="AC42">_xll.BDP(B42&amp;" EQUITY","eqy_beta")</f>
        <v>1.4719074964523315</v>
      </c>
      <c r="AD42" s="15">
        <f>Tabelad[[#This Row],[D1 P&amp;L bps]]*$AD$5/10000</f>
        <v>0</v>
      </c>
      <c r="AE42" s="277"/>
      <c r="AF42" s="231" t="str">
        <f>_xll.BDP(B42&amp;" Equity","EXPECTED_REPORT_DT")</f>
        <v>24/04/2026</v>
      </c>
      <c r="AG42" s="172" t="e">
        <f>_xll.BDP(B42&amp;" Index","CHG_PCT_1D_PRE_FROM_REGULAR")/100</f>
        <v>#VALUE!</v>
      </c>
      <c r="AH42" s="20" t="e">
        <f t="shared" ref="AH42" si="125">(T42*AG42)/$AD$7*10000</f>
        <v>#VALUE!</v>
      </c>
      <c r="AI42" s="446" t="str">
        <f>_xll.BDP(B42&amp;" Equity","DVD_EX_DT")</f>
        <v>03/09/2024</v>
      </c>
    </row>
    <row r="43" spans="1:35" s="59" customFormat="1">
      <c r="A43" s="468" t="s">
        <v>1770</v>
      </c>
      <c r="B43" s="423" t="s">
        <v>448</v>
      </c>
      <c r="C43" s="59" t="s">
        <v>1880</v>
      </c>
      <c r="E43" s="59" t="s">
        <v>194</v>
      </c>
      <c r="F43" s="163" t="s">
        <v>99</v>
      </c>
      <c r="G43" s="404"/>
      <c r="H43" s="469">
        <v>4500</v>
      </c>
      <c r="I43" s="14">
        <v>251.53</v>
      </c>
      <c r="J43" s="470">
        <f t="shared" ref="J43" si="126">I43/K43-1</f>
        <v>8.7541283673542303E-4</v>
      </c>
      <c r="K43" s="471" cm="1">
        <f t="array" ref="K43">_xll.BDP(B43&amp;" EQUITY","PX_YEST_CLOSE")</f>
        <v>251.31</v>
      </c>
      <c r="L43" s="8" cm="1">
        <f t="array" ref="L43">_xll.BDP(E43&amp;" Curncy","PX_LAST")</f>
        <v>1</v>
      </c>
      <c r="M43" s="472">
        <v>1</v>
      </c>
      <c r="N43" s="404">
        <f t="shared" ref="N43" si="127">IFERROR(IF(((I43/L43)*H43*M43)&lt;&gt;0,((I43/L43)*H43*M43),0),"-")</f>
        <v>1131885</v>
      </c>
      <c r="O43" s="473"/>
      <c r="P43" s="474">
        <f>IFERROR(IF(Tabelad[[#This Row],[D1 Exp USD]]&lt;&gt;0,((I43-K43)/L43*M43*H43)/$AD$7*10000,0),"-")</f>
        <v>4.1316034971103721E-3</v>
      </c>
      <c r="Q43" s="404">
        <f>IF(SUM(SUMIFS(Options!$AL$4:$AL$26, Options!$D$4:$D$26, B43), SUMIFS(Options!$AL$4:$AL$26, Options!$D$4:$D$26, B43 &amp; " US"))=0,0,SUM(SUMIFS(Options!$AL$4:$AL$26, Options!$D$4:$D$26, B43), SUMIFS(Options!$AL$4:$AL$26, Options!$D$4:$D$26, B43 &amp; " US")))</f>
        <v>0</v>
      </c>
      <c r="R43" s="128"/>
      <c r="S43" s="474">
        <f>IF(SUM(SUMIFS(Options!$AK$4:$AK$26, Options!$D$4:$D$26, B43), SUMIFS(Options!$AK$4:$AK$26, Options!$D$4:$D$26, B43 &amp; " US"))=0,0,SUM(SUMIFS(Options!$AK$4:$AK$26, Options!$D$4:$D$26, B43), SUMIFS(Options!AK$4:$AK$26, Options!$D$4:$D$26, B43 &amp; " US")))</f>
        <v>0</v>
      </c>
      <c r="T43" s="475">
        <f t="shared" ref="T43" si="128">N43+Q43</f>
        <v>1131885</v>
      </c>
      <c r="U43" s="476"/>
      <c r="V43" s="474">
        <f t="shared" ref="V43" si="129">P43+S43</f>
        <v>4.1316034971103721E-3</v>
      </c>
      <c r="W43" s="404">
        <f t="shared" ref="W43" si="130">$W$10/(I43/L43*M43)</f>
        <v>476.31775653003621</v>
      </c>
      <c r="X43" s="128"/>
      <c r="Y43" s="477">
        <f>Tabelad[[#This Row],[Exp %]]*$Y$10*$AD$7/Tabelad[[#This Row],[Price Today]]</f>
        <v>0</v>
      </c>
      <c r="Z43" s="478">
        <f>Tabelad[[#This Row],[Vol 10d]]/16*Tabelad[[#This Row],[Exp %]]*100</f>
        <v>0</v>
      </c>
      <c r="AA43" s="128">
        <f>Tabelad[[#This Row],[Exp %]]*Tabelad[[#This Row],[Beta Adj2]]</f>
        <v>0</v>
      </c>
      <c r="AB43" s="14">
        <f>_xll.BDP($B43&amp;" Equity","volatility_10d")</f>
        <v>45.373150502934877</v>
      </c>
      <c r="AC43" s="14" cm="1">
        <f t="array" ref="AC43">_xll.BDP(B43&amp;" EQUITY","eqy_beta")</f>
        <v>1.5579228401184082</v>
      </c>
      <c r="AD43" s="404">
        <f>Tabelad[[#This Row],[D1 P&amp;L bps]]*$AD$5/10000</f>
        <v>927.97263415813336</v>
      </c>
      <c r="AE43" s="337"/>
      <c r="AF43" s="479" t="str">
        <f>_xll.BDP(B43&amp;" Equity","EXPECTED_REPORT_DT")</f>
        <v>03/02/2026</v>
      </c>
      <c r="AG43" s="480" t="e">
        <f>_xll.BDP(B43&amp;" Index","CHG_PCT_1D_PRE_FROM_REGULAR")/100</f>
        <v>#VALUE!</v>
      </c>
      <c r="AH43" s="474" t="e">
        <f t="shared" ref="AH43" si="131">(T43*AG43)/$AD$7*10000</f>
        <v>#VALUE!</v>
      </c>
      <c r="AI43" s="481" t="str">
        <f>_xll.BDP(B43&amp;" Equity","DVD_EX_DT")</f>
        <v>27/04/1995</v>
      </c>
    </row>
    <row r="44" spans="1:35">
      <c r="B44" s="40" t="s">
        <v>94</v>
      </c>
      <c r="C44" t="s">
        <v>1880</v>
      </c>
      <c r="E44" t="s">
        <v>194</v>
      </c>
      <c r="F44" s="22" t="s">
        <v>99</v>
      </c>
      <c r="G44" s="15"/>
      <c r="H44" s="447">
        <f>25392-2384</f>
        <v>23008</v>
      </c>
      <c r="I44" s="36" cm="1">
        <f t="array" ref="I44">_xll.BDP(B44&amp;" Equity","LAST_PRICE")</f>
        <v>188.52</v>
      </c>
      <c r="J44" s="51">
        <f t="shared" si="2"/>
        <v>1.0993725532257193E-2</v>
      </c>
      <c r="K44" s="438" cm="1">
        <f t="array" ref="K44">_xll.BDP(B44&amp;" EQUITY","PX_YEST_CLOSE")</f>
        <v>186.47</v>
      </c>
      <c r="L44" s="53" cm="1">
        <f t="array" ref="L44">_xll.BDP(E44&amp;" Curncy","PX_LAST")</f>
        <v>1</v>
      </c>
      <c r="M44" s="52">
        <v>1</v>
      </c>
      <c r="N44" s="15">
        <f t="shared" si="3"/>
        <v>4337468.16</v>
      </c>
      <c r="O44" s="357">
        <f>IFERROR(IF(Tabelad[[#This Row],[D1 Exp USD]]&lt;&gt;0,N44/$AE$7,0),"-")</f>
        <v>1.8101715776223217E-3</v>
      </c>
      <c r="P44" s="20">
        <f>IFERROR(IF(Tabelad[[#This Row],[D1 Exp USD]]&lt;&gt;0,((I44-K44)/L44*M44*H44)/$AD$7*10000,0),"-")</f>
        <v>0.19684127594556441</v>
      </c>
      <c r="Q44" s="15">
        <f>IF(SUM(SUMIFS(Options!$AL$4:$AL$26, Options!$D$4:$D$26, B44), SUMIFS(Options!$AL$4:$AL$26, Options!$D$4:$D$26, B44 &amp; " US"))=0,0,SUM(SUMIFS(Options!$AL$4:$AL$26, Options!$D$4:$D$26, B44), SUMIFS(Options!$AL$4:$AL$26, Options!$D$4:$D$26, B44 &amp; " US")))</f>
        <v>0</v>
      </c>
      <c r="R44" s="19">
        <f t="shared" si="110"/>
        <v>0</v>
      </c>
      <c r="S44" s="20">
        <f>IF(SUM(SUMIFS(Options!$AK$4:$AK$26, Options!$D$4:$D$26, B44), SUMIFS(Options!$AK$4:$AK$26, Options!$D$4:$D$26, B44 &amp; " US"))=0,0,SUM(SUMIFS(Options!$AK$4:$AK$26, Options!$D$4:$D$26, B44), SUMIFS(Options!AK$4:$AK$26, Options!$D$4:$D$26, B44 &amp; " US")))</f>
        <v>0</v>
      </c>
      <c r="T44" s="13">
        <f t="shared" si="5"/>
        <v>4337468.16</v>
      </c>
      <c r="U44" s="48">
        <f t="shared" si="6"/>
        <v>1.8101715776223217E-3</v>
      </c>
      <c r="V44" s="20">
        <f t="shared" si="7"/>
        <v>0.19684127594556441</v>
      </c>
      <c r="W44" s="15">
        <f t="shared" si="8"/>
        <v>635.51986685762779</v>
      </c>
      <c r="X44" s="19"/>
      <c r="Y44" s="375">
        <f>Tabelad[[#This Row],[Exp %]]*$Y$10*$AD$7/Tabelad[[#This Row],[Price Today]]</f>
        <v>8052.7999999999993</v>
      </c>
      <c r="Z44" s="266">
        <f>Tabelad[[#This Row],[Vol 10d]]/16*Tabelad[[#This Row],[Exp %]]*100</f>
        <v>0.40844956714686087</v>
      </c>
      <c r="AA44" s="19">
        <f>Tabelad[[#This Row],[Exp %]]*Tabelad[[#This Row],[Beta Adj2]]</f>
        <v>3.3486612303293096E-3</v>
      </c>
      <c r="AB44" s="36">
        <f>_xll.BDP($B44&amp;" Equity","volatility_10d")</f>
        <v>36.102616763731397</v>
      </c>
      <c r="AC44" s="36" cm="1">
        <f t="array" ref="AC44">_xll.BDP(B44&amp;" EQUITY","eqy_beta")</f>
        <v>1.8499137163162231</v>
      </c>
      <c r="AD44" s="15">
        <f>Tabelad[[#This Row],[D1 P&amp;L bps]]*$AD$5/10000</f>
        <v>44211.240860360253</v>
      </c>
      <c r="AE44" s="277"/>
      <c r="AF44" s="231" t="str">
        <f>_xll.BDP(B44&amp;" Equity","EXPECTED_REPORT_DT")</f>
        <v>25/02/2026</v>
      </c>
      <c r="AG44" s="172">
        <f>_xll.BDP(B44&amp;" Index","CHG_PCT_1D_PRE_FROM_REGULAR")/100</f>
        <v>4.4511279999999995E-3</v>
      </c>
      <c r="AH44" s="20">
        <f t="shared" si="9"/>
        <v>8.0573053939588885E-2</v>
      </c>
      <c r="AI44" s="446" t="str">
        <f>_xll.BDP(B44&amp;" Equity","DVD_EX_DT")</f>
        <v>04/12/2025</v>
      </c>
    </row>
    <row r="45" spans="1:35">
      <c r="B45" s="40" t="s">
        <v>138</v>
      </c>
      <c r="C45" t="s">
        <v>1880</v>
      </c>
      <c r="E45" t="s">
        <v>194</v>
      </c>
      <c r="F45" s="22" t="s">
        <v>100</v>
      </c>
      <c r="G45" s="15"/>
      <c r="H45" s="447">
        <v>-49</v>
      </c>
      <c r="I45" s="36" cm="1">
        <f t="array" ref="I45">_xll.BDP(B45&amp;" Equity","LAST_PRICE")</f>
        <v>82.93</v>
      </c>
      <c r="J45" s="51">
        <f t="shared" si="2"/>
        <v>1.418613183319084E-2</v>
      </c>
      <c r="K45" s="438" cm="1">
        <f t="array" ref="K45">_xll.BDP(B45&amp;" EQUITY","PX_YEST_CLOSE")</f>
        <v>81.77</v>
      </c>
      <c r="L45" s="53" cm="1">
        <f t="array" ref="L45">_xll.BDP(E45&amp;" Curncy","PX_LAST")</f>
        <v>1</v>
      </c>
      <c r="M45" s="52">
        <v>1</v>
      </c>
      <c r="N45" s="15">
        <f t="shared" si="3"/>
        <v>-4063.57</v>
      </c>
      <c r="O45" s="357">
        <f>IFERROR(IF(Tabelad[[#This Row],[D1 Exp USD]]&lt;&gt;0,N45/$AE$7,0),"-")</f>
        <v>-1.6958646487629175E-6</v>
      </c>
      <c r="P45" s="20">
        <f>IFERROR(IF(Tabelad[[#This Row],[D1 Exp USD]]&lt;&gt;0,((I45-K45)/L45*M45*H45)/$AD$7*10000,0),"-")</f>
        <v>-2.3721246745025956E-4</v>
      </c>
      <c r="Q45" s="15">
        <f>IF(SUM(SUMIFS(Options!$AL$4:$AL$26, Options!$D$4:$D$26, B45), SUMIFS(Options!$AL$4:$AL$26, Options!$D$4:$D$26, B45 &amp; " US"))=0,0,SUM(SUMIFS(Options!$AL$4:$AL$26, Options!$D$4:$D$26, B45), SUMIFS(Options!$AL$4:$AL$26, Options!$D$4:$D$26, B45 &amp; " US")))</f>
        <v>-572155.30303940165</v>
      </c>
      <c r="R45" s="19">
        <f t="shared" si="110"/>
        <v>-2.3877968191190392E-4</v>
      </c>
      <c r="S45" s="20">
        <f>IF(SUM(SUMIFS(Options!$AK$4:$AK$26, Options!$D$4:$D$26, B45), SUMIFS(Options!$AK$4:$AK$26, Options!$D$4:$D$26, B45 &amp; " US"))=0,0,SUM(SUMIFS(Options!$AK$4:$AK$26, Options!$D$4:$D$26, B45), SUMIFS(Options!AK$4:$AK$26, Options!$D$4:$D$26, B45 &amp; " US")))</f>
        <v>-2.6918022784203924E-2</v>
      </c>
      <c r="T45" s="13">
        <f t="shared" si="5"/>
        <v>-576218.8730394016</v>
      </c>
      <c r="U45" s="48">
        <f t="shared" si="6"/>
        <v>-2.4047554656066682E-4</v>
      </c>
      <c r="V45" s="20">
        <f t="shared" si="7"/>
        <v>-2.7155235251654183E-2</v>
      </c>
      <c r="W45" s="15">
        <f t="shared" si="8"/>
        <v>1444.6907669118532</v>
      </c>
      <c r="X45" s="19"/>
      <c r="Y45" s="375">
        <f>Tabelad[[#This Row],[Exp %]]*$Y$10*$AD$7/Tabelad[[#This Row],[Price Today]]</f>
        <v>-2431.8896124899375</v>
      </c>
      <c r="Z45" s="266">
        <f>Tabelad[[#This Row],[Vol 10d]]/16*Tabelad[[#This Row],[Exp %]]*100</f>
        <v>-5.1602549097427917E-2</v>
      </c>
      <c r="AA45" s="19">
        <f>Tabelad[[#This Row],[Exp %]]*Tabelad[[#This Row],[Beta Adj2]]</f>
        <v>-4.7691180955812692E-4</v>
      </c>
      <c r="AB45" s="36">
        <f>_xll.BDP($B45&amp;" Equity","volatility_10d")</f>
        <v>34.333669155443843</v>
      </c>
      <c r="AC45" s="36" cm="1">
        <f t="array" ref="AC45">_xll.BDP(B45&amp;" EQUITY","eqy_beta")</f>
        <v>1.9832029342651367</v>
      </c>
      <c r="AD45" s="15">
        <f>Tabelad[[#This Row],[D1 P&amp;L bps]]*$AD$5/10000</f>
        <v>-53.278752046009153</v>
      </c>
      <c r="AE45" s="277"/>
      <c r="AF45" s="231" t="str">
        <f>_xll.BDP(B45&amp;" Equity","EXPECTED_REPORT_DT")</f>
        <v>05/03/2026</v>
      </c>
      <c r="AG45" s="172">
        <f>_xll.BDP(B45&amp;" Index","CHG_PCT_1D_PRE_FROM_REGULAR")/100</f>
        <v>1.2963249999999999E-2</v>
      </c>
      <c r="AH45" s="20">
        <f t="shared" si="9"/>
        <v>-3.1173446289525644E-2</v>
      </c>
      <c r="AI45" s="446" t="str">
        <f>_xll.BDP(B45&amp;" Equity","DVD_EX_DT")</f>
        <v>09/01/2026</v>
      </c>
    </row>
    <row r="46" spans="1:35">
      <c r="B46" s="40" t="s">
        <v>2131</v>
      </c>
      <c r="C46" t="s">
        <v>2132</v>
      </c>
      <c r="E46" t="s">
        <v>194</v>
      </c>
      <c r="F46" s="22" t="s">
        <v>99</v>
      </c>
      <c r="G46" s="15"/>
      <c r="H46" s="447">
        <v>31600</v>
      </c>
      <c r="I46" s="36" cm="1">
        <f t="array" ref="I46">_xll.BDP(B46&amp;" Equity","LAST_PRICE")</f>
        <v>17.55</v>
      </c>
      <c r="J46" s="51">
        <f>I46/K46-1</f>
        <v>8.1330868761552599E-2</v>
      </c>
      <c r="K46" s="438" cm="1">
        <f t="array" ref="K46">_xll.BDP(B46&amp;" EQUITY","PX_YEST_CLOSE")</f>
        <v>16.23</v>
      </c>
      <c r="L46" s="53" cm="1">
        <f t="array" ref="L46">_xll.BDP(E46&amp;" Curncy","PX_LAST")</f>
        <v>1</v>
      </c>
      <c r="M46" s="52">
        <v>1</v>
      </c>
      <c r="N46" s="15">
        <f>IFERROR(IF(((I46/L46)*H46*M46)&lt;&gt;0,((I46/L46)*H46*M46),0),"-")</f>
        <v>554580</v>
      </c>
      <c r="O46" s="357">
        <f>IFERROR(IF(Tabelad[[#This Row],[D1 Exp USD]]&lt;&gt;0,N46/$AE$7,0),"-")</f>
        <v>2.3144491590176586E-4</v>
      </c>
      <c r="P46" s="20">
        <f>IFERROR(IF(Tabelad[[#This Row],[D1 Exp USD]]&lt;&gt;0,((I46-K46)/L46*M46*H46)/$AD$7*10000,0),"-")</f>
        <v>0.17407822734491796</v>
      </c>
      <c r="Q46" s="15">
        <f>IF(SUM(SUMIFS(Options!$AL$4:$AL$26, Options!$D$4:$D$26, B46), SUMIFS(Options!$AL$4:$AL$26, Options!$D$4:$D$26, B46 &amp; " US"))=0,0,SUM(SUMIFS(Options!$AL$4:$AL$26, Options!$D$4:$D$26, B46), SUMIFS(Options!$AL$4:$AL$26, Options!$D$4:$D$26, B46 &amp; " US")))</f>
        <v>0</v>
      </c>
      <c r="R46" s="19">
        <f t="shared" si="110"/>
        <v>0</v>
      </c>
      <c r="S46" s="20">
        <f>IF(SUM(SUMIFS(Options!$AK$4:$AK$26, Options!$D$4:$D$26, B46), SUMIFS(Options!$AK$4:$AK$26, Options!$D$4:$D$26, B46 &amp; " US"))=0,0,SUM(SUMIFS(Options!$AK$4:$AK$26, Options!$D$4:$D$26, B46), SUMIFS(Options!AK$4:$AK$26, Options!$D$4:$D$26, B46 &amp; " US")))</f>
        <v>0</v>
      </c>
      <c r="T46" s="13">
        <f>N46+Q46</f>
        <v>554580</v>
      </c>
      <c r="U46" s="48">
        <f>T46/$AE$7</f>
        <v>2.3144491590176586E-4</v>
      </c>
      <c r="V46" s="20">
        <f>P46+S46</f>
        <v>0.17407822734491796</v>
      </c>
      <c r="W46" s="15">
        <f>$W$10/(I46/L46*M46)</f>
        <v>6826.6783646723643</v>
      </c>
      <c r="X46" s="19"/>
      <c r="Y46" s="375">
        <f>Tabelad[[#This Row],[Exp %]]*$Y$10*$AD$7/Tabelad[[#This Row],[Price Today]]</f>
        <v>11060</v>
      </c>
      <c r="Z46" s="266">
        <f>Tabelad[[#This Row],[Vol 10d]]/16*Tabelad[[#This Row],[Exp %]]*100</f>
        <v>0.16511527705000451</v>
      </c>
      <c r="AA46" s="19">
        <f>Tabelad[[#This Row],[Exp %]]*Tabelad[[#This Row],[Beta Adj2]]</f>
        <v>4.7949758754535553E-4</v>
      </c>
      <c r="AB46" s="36">
        <f>_xll.BDP($B46&amp;" Equity","volatility_10d")</f>
        <v>114.14571033054676</v>
      </c>
      <c r="AC46" s="36" cm="1">
        <f t="array" ref="AC46">_xll.BDP(B46&amp;" EQUITY","eqy_beta")</f>
        <v>2.0717568397521973</v>
      </c>
      <c r="AD46" s="15">
        <f>Tabelad[[#This Row],[D1 P&amp;L bps]]*$AD$5/10000</f>
        <v>39098.580319196226</v>
      </c>
      <c r="AE46" s="277"/>
      <c r="AF46" s="231" t="str">
        <f>_xll.BDP(B46&amp;" Equity","EXPECTED_REPORT_DT")</f>
        <v>24/02/2026</v>
      </c>
      <c r="AG46" s="172">
        <f>_xll.BDP(B46&amp;" Index","CHG_PCT_1D_PRE_FROM_REGULAR")/100</f>
        <v>4.3129819999999999E-3</v>
      </c>
      <c r="AH46" s="20">
        <f>(T46*AG46)/$AD$7*10000</f>
        <v>9.9821775627583001E-3</v>
      </c>
      <c r="AI46" s="446" t="str">
        <f>_xll.BDP(B46&amp;" Equity","DVD_EX_DT")</f>
        <v>12/10/2017</v>
      </c>
    </row>
    <row r="47" spans="1:35">
      <c r="B47" s="40" t="s">
        <v>88</v>
      </c>
      <c r="C47" t="s">
        <v>2258</v>
      </c>
      <c r="E47" t="s">
        <v>194</v>
      </c>
      <c r="F47" s="22" t="s">
        <v>99</v>
      </c>
      <c r="G47" s="15"/>
      <c r="H47" s="447">
        <v>45750</v>
      </c>
      <c r="I47" s="36" cm="1">
        <f t="array" ref="I47">_xll.BDP(B47&amp;" Equity","LAST_PRICE")</f>
        <v>53</v>
      </c>
      <c r="J47" s="51">
        <f t="shared" ref="J47:J49" si="132">I47/K47-1</f>
        <v>-7.6764650814453717E-3</v>
      </c>
      <c r="K47" s="438" cm="1">
        <f t="array" ref="K47">_xll.BDP(B47&amp;" EQUITY","PX_YEST_CLOSE")</f>
        <v>53.41</v>
      </c>
      <c r="L47" s="53" cm="1">
        <f t="array" ref="L47">_xll.BDP(E47&amp;" Curncy","PX_LAST")</f>
        <v>1</v>
      </c>
      <c r="M47" s="52">
        <v>1</v>
      </c>
      <c r="N47" s="15">
        <f t="shared" ref="N47:N49" si="133">IFERROR(IF(((I47/L47)*H47*M47)&lt;&gt;0,((I47/L47)*H47*M47),0),"-")</f>
        <v>2424750</v>
      </c>
      <c r="O47" s="357">
        <f>IFERROR(IF(Tabelad[[#This Row],[D1 Exp USD]]&lt;&gt;0,N47/$AE$7,0),"-")</f>
        <v>1.0119298565271139E-3</v>
      </c>
      <c r="P47" s="20">
        <f>IFERROR(IF(Tabelad[[#This Row],[D1 Exp USD]]&lt;&gt;0,((I47-K47)/L47*M47*H47)/$AD$7*10000,0),"-")</f>
        <v>-7.8281366259644006E-2</v>
      </c>
      <c r="Q47" s="15">
        <f>IF(SUM(SUMIFS(Options!$AL$4:$AL$26, Options!$D$4:$D$26, B47), SUMIFS(Options!$AL$4:$AL$26, Options!$D$4:$D$26, B47 &amp; " US"))=0,0,SUM(SUMIFS(Options!$AL$4:$AL$26, Options!$D$4:$D$26, B47), SUMIFS(Options!$AL$4:$AL$26, Options!$D$4:$D$26, B47 &amp; " US")))</f>
        <v>0</v>
      </c>
      <c r="R47" s="19">
        <f t="shared" si="110"/>
        <v>0</v>
      </c>
      <c r="S47" s="20">
        <f>IF(SUM(SUMIFS(Options!$AK$4:$AK$26, Options!$D$4:$D$26, B47), SUMIFS(Options!$AK$4:$AK$26, Options!$D$4:$D$26, B47 &amp; " US"))=0,0,SUM(SUMIFS(Options!$AK$4:$AK$26, Options!$D$4:$D$26, B47), SUMIFS(Options!AK$4:$AK$26, Options!$D$4:$D$26, B47 &amp; " US")))</f>
        <v>0</v>
      </c>
      <c r="T47" s="13">
        <f t="shared" ref="T47:T49" si="134">N47+Q47</f>
        <v>2424750</v>
      </c>
      <c r="U47" s="48">
        <f t="shared" ref="U47:U49" si="135">T47/$AE$7</f>
        <v>1.0119298565271139E-3</v>
      </c>
      <c r="V47" s="20">
        <f t="shared" ref="V47:V49" si="136">P47+S47</f>
        <v>-7.8281366259644006E-2</v>
      </c>
      <c r="W47" s="15">
        <f t="shared" ref="W47:W49" si="137">$W$10/(I47/L47*M47)</f>
        <v>2260.5321754716983</v>
      </c>
      <c r="X47" s="19"/>
      <c r="Y47" s="375">
        <f>Tabelad[[#This Row],[Exp %]]*$Y$10*$AD$7/Tabelad[[#This Row],[Price Today]]</f>
        <v>16012.5</v>
      </c>
      <c r="Z47" s="266">
        <f>Tabelad[[#This Row],[Vol 10d]]/16*Tabelad[[#This Row],[Exp %]]*100</f>
        <v>0.1051176442856961</v>
      </c>
      <c r="AA47" s="19">
        <f>Tabelad[[#This Row],[Exp %]]*Tabelad[[#This Row],[Beta Adj2]]</f>
        <v>1.0117693563971627E-3</v>
      </c>
      <c r="AB47" s="36">
        <f>_xll.BDP($B47&amp;" Equity","volatility_10d")</f>
        <v>16.620542399482733</v>
      </c>
      <c r="AC47" s="36">
        <f>_xll.BDP(B47&amp;" EQUITY","eqy_beta")</f>
        <v>0.99984139204025269</v>
      </c>
      <c r="AD47" s="15">
        <f>Tabelad[[#This Row],[D1 P&amp;L bps]]*$AD$5/10000</f>
        <v>-17582.269379011243</v>
      </c>
      <c r="AE47" s="277"/>
      <c r="AF47" s="231" t="str">
        <f>_xll.BDP(B47&amp;" Equity","EXPECTED_REPORT_DT")</f>
        <v>#N/A N/A</v>
      </c>
      <c r="AG47" s="172">
        <f>_xll.BDP(B47&amp;" Index","CHG_PCT_1D_PRE_FROM_REGULAR")/100</f>
        <v>-1.31061E-3</v>
      </c>
      <c r="AH47" s="20">
        <f t="shared" ref="AH47:AH49" si="138">(T47*AG47)/$AD$7*10000</f>
        <v>-1.3262453892630007E-2</v>
      </c>
      <c r="AI47" s="446" t="str">
        <f>_xll.BDP(B47&amp;" Equity","DVD_EX_DT")</f>
        <v>22/12/2025</v>
      </c>
    </row>
    <row r="48" spans="1:35">
      <c r="B48" s="40" t="s">
        <v>2276</v>
      </c>
      <c r="C48" t="s">
        <v>2258</v>
      </c>
      <c r="E48" t="s">
        <v>194</v>
      </c>
      <c r="F48" s="22" t="s">
        <v>100</v>
      </c>
      <c r="G48" s="15"/>
      <c r="H48" s="447">
        <v>-11500</v>
      </c>
      <c r="I48" s="36" cm="1">
        <f t="array" ref="I48">_xll.BDP(B48&amp;" Equity","LAST_PRICE")</f>
        <v>23.7</v>
      </c>
      <c r="J48" s="51">
        <f t="shared" ref="J48" si="139">I48/K48-1</f>
        <v>5.0890585241729624E-3</v>
      </c>
      <c r="K48" s="438" cm="1">
        <f t="array" ref="K48">_xll.BDP(B48&amp;" EQUITY","PX_YEST_CLOSE")</f>
        <v>23.58</v>
      </c>
      <c r="L48" s="53" cm="1">
        <f t="array" ref="L48">_xll.BDP(E48&amp;" Curncy","PX_LAST")</f>
        <v>1</v>
      </c>
      <c r="M48" s="52">
        <v>1</v>
      </c>
      <c r="N48" s="15">
        <f t="shared" ref="N48" si="140">IFERROR(IF(((I48/L48)*H48*M48)&lt;&gt;0,((I48/L48)*H48*M48),0),"-")</f>
        <v>-272550</v>
      </c>
      <c r="O48" s="357">
        <f>IFERROR(IF(Tabelad[[#This Row],[D1 Exp USD]]&lt;&gt;0,N48/$AE$7,0),"-")</f>
        <v>-1.1374429627650887E-4</v>
      </c>
      <c r="P48" s="20">
        <f>IFERROR(IF(Tabelad[[#This Row],[D1 Exp USD]]&lt;&gt;0,((I48-K48)/L48*M48*H48)/$AD$7*10000,0),"-")</f>
        <v>-5.7592048747599897E-3</v>
      </c>
      <c r="Q48" s="15">
        <f>IF(SUM(SUMIFS(Options!$AL$4:$AL$26, Options!$D$4:$D$26, B48), SUMIFS(Options!$AL$4:$AL$26, Options!$D$4:$D$26, B48 &amp; " US"))=0,0,SUM(SUMIFS(Options!$AL$4:$AL$26, Options!$D$4:$D$26, B48), SUMIFS(Options!$AL$4:$AL$26, Options!$D$4:$D$26, B48 &amp; " US")))</f>
        <v>0</v>
      </c>
      <c r="R48" s="19">
        <f t="shared" si="110"/>
        <v>0</v>
      </c>
      <c r="S48" s="20">
        <f>IF(SUM(SUMIFS(Options!$AK$4:$AK$26, Options!$D$4:$D$26, B48), SUMIFS(Options!$AK$4:$AK$26, Options!$D$4:$D$26, B48 &amp; " US"))=0,0,SUM(SUMIFS(Options!$AK$4:$AK$26, Options!$D$4:$D$26, B48), SUMIFS(Options!AK$4:$AK$26, Options!$D$4:$D$26, B48 &amp; " US")))</f>
        <v>0</v>
      </c>
      <c r="T48" s="13">
        <f t="shared" ref="T48" si="141">N48+Q48</f>
        <v>-272550</v>
      </c>
      <c r="U48" s="48">
        <f t="shared" ref="U48" si="142">T48/$AE$7</f>
        <v>-1.1374429627650887E-4</v>
      </c>
      <c r="V48" s="20">
        <f t="shared" ref="V48" si="143">P48+S48</f>
        <v>-5.7592048747599897E-3</v>
      </c>
      <c r="W48" s="15">
        <f t="shared" ref="W48" si="144">$W$10/(I48/L48*M48)</f>
        <v>5055.198535864979</v>
      </c>
      <c r="X48" s="19"/>
      <c r="Y48" s="375">
        <f>Tabelad[[#This Row],[Exp %]]*$Y$10*$AD$7/Tabelad[[#This Row],[Price Today]]</f>
        <v>-4024.9999999999995</v>
      </c>
      <c r="Z48" s="266">
        <f>Tabelad[[#This Row],[Vol 10d]]/16*Tabelad[[#This Row],[Exp %]]*100</f>
        <v>-3.2778479932911823E-2</v>
      </c>
      <c r="AA48" s="19">
        <f>Tabelad[[#This Row],[Exp %]]*Tabelad[[#This Row],[Beta Adj2]]</f>
        <v>-4.152106246374274E-5</v>
      </c>
      <c r="AB48" s="36">
        <f>_xll.BDP($B48&amp;" Equity","volatility_10d")</f>
        <v>46.108305743230723</v>
      </c>
      <c r="AC48" s="36">
        <f>_xll.BDP(B48&amp;" EQUITY","eqy_beta")</f>
        <v>0.36503863334655762</v>
      </c>
      <c r="AD48" s="15">
        <f>Tabelad[[#This Row],[D1 P&amp;L bps]]*$AD$5/10000</f>
        <v>-1293.5376112507486</v>
      </c>
      <c r="AE48" s="277"/>
      <c r="AF48" s="231" t="str">
        <f>_xll.BDP(B48&amp;" Equity","EXPECTED_REPORT_DT")</f>
        <v>11/02/2026</v>
      </c>
      <c r="AG48" s="172" t="e">
        <f>_xll.BDP(B48&amp;" Index","CHG_PCT_1D_PRE_FROM_REGULAR")/100</f>
        <v>#VALUE!</v>
      </c>
      <c r="AH48" s="20" t="e">
        <f t="shared" ref="AH48" si="145">(T48*AG48)/$AD$7*10000</f>
        <v>#VALUE!</v>
      </c>
      <c r="AI48" s="446" t="str">
        <f>_xll.BDP(B48&amp;" Equity","DVD_EX_DT")</f>
        <v>28/11/2025</v>
      </c>
    </row>
    <row r="49" spans="2:35">
      <c r="B49" s="40" t="s">
        <v>4</v>
      </c>
      <c r="C49" t="s">
        <v>2258</v>
      </c>
      <c r="E49" t="s">
        <v>194</v>
      </c>
      <c r="F49" s="22" t="s">
        <v>100</v>
      </c>
      <c r="G49" s="15"/>
      <c r="H49" s="447">
        <v>-27500</v>
      </c>
      <c r="I49" s="36" cm="1">
        <f t="array" ref="I49">_xll.BDP(B49&amp;" Equity","LAST_PRICE")</f>
        <v>83.16</v>
      </c>
      <c r="J49" s="51">
        <f t="shared" si="132"/>
        <v>4.5904807924619373E-3</v>
      </c>
      <c r="K49" s="438" cm="1">
        <f t="array" ref="K49">_xll.BDP(B49&amp;" EQUITY","PX_YEST_CLOSE")</f>
        <v>82.78</v>
      </c>
      <c r="L49" s="53" cm="1">
        <f t="array" ref="L49">_xll.BDP(E49&amp;" Curncy","PX_LAST")</f>
        <v>1</v>
      </c>
      <c r="M49" s="52">
        <v>1</v>
      </c>
      <c r="N49" s="15">
        <f t="shared" si="133"/>
        <v>-2286900</v>
      </c>
      <c r="O49" s="357">
        <f>IFERROR(IF(Tabelad[[#This Row],[D1 Exp USD]]&lt;&gt;0,N49/$AE$7,0),"-")</f>
        <v>-9.5440040783250095E-4</v>
      </c>
      <c r="P49" s="20">
        <f>IFERROR(IF(Tabelad[[#This Row],[D1 Exp USD]]&lt;&gt;0,((I49-K49)/L49*M49*H49)/$AD$7*10000,0),"-")</f>
        <v>-4.3611370247275856E-2</v>
      </c>
      <c r="Q49" s="15">
        <f>IF(SUM(SUMIFS(Options!$AL$4:$AL$26, Options!$D$4:$D$26, B49), SUMIFS(Options!$AL$4:$AL$26, Options!$D$4:$D$26, B49 &amp; " US"))=0,0,SUM(SUMIFS(Options!$AL$4:$AL$26, Options!$D$4:$D$26, B49), SUMIFS(Options!$AL$4:$AL$26, Options!$D$4:$D$26, B49 &amp; " US")))</f>
        <v>0</v>
      </c>
      <c r="R49" s="19">
        <f t="shared" si="110"/>
        <v>0</v>
      </c>
      <c r="S49" s="20">
        <f>IF(SUM(SUMIFS(Options!$AK$4:$AK$26, Options!$D$4:$D$26, B49), SUMIFS(Options!$AK$4:$AK$26, Options!$D$4:$D$26, B49 &amp; " US"))=0,0,SUM(SUMIFS(Options!$AK$4:$AK$26, Options!$D$4:$D$26, B49), SUMIFS(Options!AK$4:$AK$26, Options!$D$4:$D$26, B49 &amp; " US")))</f>
        <v>0</v>
      </c>
      <c r="T49" s="13">
        <f t="shared" si="134"/>
        <v>-2286900</v>
      </c>
      <c r="U49" s="48">
        <f t="shared" si="135"/>
        <v>-9.5440040783250095E-4</v>
      </c>
      <c r="V49" s="20">
        <f t="shared" si="136"/>
        <v>-4.3611370247275856E-2</v>
      </c>
      <c r="W49" s="15">
        <f t="shared" si="137"/>
        <v>1440.6951094276094</v>
      </c>
      <c r="X49" s="19"/>
      <c r="Y49" s="375">
        <f>Tabelad[[#This Row],[Exp %]]*$Y$10*$AD$7/Tabelad[[#This Row],[Price Today]]</f>
        <v>-9625</v>
      </c>
      <c r="Z49" s="266">
        <f>Tabelad[[#This Row],[Vol 10d]]/16*Tabelad[[#This Row],[Exp %]]*100</f>
        <v>-5.1783282695248671E-2</v>
      </c>
      <c r="AA49" s="19">
        <f>Tabelad[[#This Row],[Exp %]]*Tabelad[[#This Row],[Beta Adj2]]</f>
        <v>-9.5694381206799458E-4</v>
      </c>
      <c r="AB49" s="36">
        <f>_xll.BDP($B49&amp;" Equity","volatility_10d")</f>
        <v>8.6811836659377004</v>
      </c>
      <c r="AC49" s="36">
        <f>_xll.BDP(B49&amp;" EQUITY","eqy_beta")</f>
        <v>1.0026649236679077</v>
      </c>
      <c r="AD49" s="15">
        <f>Tabelad[[#This Row],[D1 P&amp;L bps]]*$AD$5/10000</f>
        <v>-9795.2666938913408</v>
      </c>
      <c r="AE49" s="277"/>
      <c r="AF49" s="231" t="str">
        <f>_xll.BDP(B49&amp;" Equity","EXPECTED_REPORT_DT")</f>
        <v>#N/A N/A</v>
      </c>
      <c r="AG49" s="172">
        <f>_xll.BDP(B49&amp;" Index","CHG_PCT_1D_PRE_FROM_REGULAR")/100</f>
        <v>-7.2478329999999989E-4</v>
      </c>
      <c r="AH49" s="20">
        <f t="shared" si="138"/>
        <v>6.9173347711018584E-3</v>
      </c>
      <c r="AI49" s="446" t="str">
        <f>_xll.BDP(B49&amp;" Equity","DVD_EX_DT")</f>
        <v>22/12/2025</v>
      </c>
    </row>
    <row r="50" spans="2:35">
      <c r="C50" s="40"/>
      <c r="D50" s="40"/>
      <c r="E50" s="40"/>
      <c r="H50" s="13"/>
      <c r="I50" s="53"/>
      <c r="K50" s="53"/>
      <c r="L50" s="53"/>
      <c r="M50" s="36"/>
      <c r="S50" s="277"/>
      <c r="U50" s="71"/>
      <c r="V50" s="65"/>
      <c r="X50" s="53"/>
      <c r="Y50" s="445"/>
      <c r="Z50" s="19"/>
      <c r="AG50" s="53"/>
      <c r="AI50" s="48"/>
    </row>
    <row r="51" spans="2:35">
      <c r="C51" s="21"/>
      <c r="D51" s="21"/>
      <c r="E51" s="21"/>
      <c r="H51" s="13"/>
      <c r="L51" s="3"/>
      <c r="S51" s="276"/>
    </row>
    <row r="52" spans="2:35">
      <c r="C52" s="21"/>
      <c r="D52" s="21"/>
      <c r="E52" s="21"/>
      <c r="H52" s="13"/>
      <c r="L52" s="3"/>
      <c r="S52" s="276"/>
    </row>
    <row r="53" spans="2:35">
      <c r="C53" s="21"/>
      <c r="D53" s="21"/>
      <c r="E53" s="21"/>
      <c r="H53" s="13"/>
      <c r="L53" s="3"/>
      <c r="S53" s="276"/>
    </row>
    <row r="54" spans="2:35">
      <c r="C54" s="21"/>
      <c r="D54" s="21"/>
      <c r="E54" s="21"/>
      <c r="H54" s="13"/>
      <c r="S54" s="276"/>
    </row>
    <row r="55" spans="2:35">
      <c r="C55" s="21"/>
      <c r="D55" s="21"/>
      <c r="E55" s="21"/>
      <c r="H55" s="13"/>
      <c r="S55" s="276"/>
    </row>
    <row r="56" spans="2:35">
      <c r="C56" s="21"/>
      <c r="D56" s="21"/>
      <c r="E56" s="21"/>
      <c r="H56" s="13"/>
    </row>
    <row r="57" spans="2:35">
      <c r="C57" s="21"/>
      <c r="D57" s="21"/>
      <c r="E57" s="21"/>
    </row>
    <row r="58" spans="2:35">
      <c r="C58" s="21"/>
      <c r="D58" s="21"/>
      <c r="E58" s="21"/>
    </row>
    <row r="59" spans="2:35">
      <c r="C59" s="21"/>
      <c r="D59" s="21"/>
      <c r="E59" s="21"/>
    </row>
    <row r="60" spans="2:35">
      <c r="C60" s="21"/>
      <c r="D60" s="21"/>
      <c r="E60" s="21"/>
    </row>
  </sheetData>
  <phoneticPr fontId="5" type="noConversion"/>
  <conditionalFormatting sqref="D1:D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9">
    <cfRule type="colorScale" priority="553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9">
    <cfRule type="colorScale" priority="55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3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49">
    <cfRule type="dataBar" priority="553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49">
    <cfRule type="colorScale" priority="553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49">
    <cfRule type="dataBar" priority="5532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49">
    <cfRule type="colorScale" priority="553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49">
    <cfRule type="colorScale" priority="553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49">
    <cfRule type="colorScale" priority="55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49">
    <cfRule type="colorScale" priority="55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mportarArquivoRelatorio2">
                <anchor moveWithCells="1" sizeWithCells="1">
                  <from>
                    <xdr:col>33</xdr:col>
                    <xdr:colOff>581025</xdr:colOff>
                    <xdr:row>3</xdr:row>
                    <xdr:rowOff>9525</xdr:rowOff>
                  </from>
                  <to>
                    <xdr:col>35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arPrecosBTG">
                <anchor moveWithCells="1" sizeWithCells="1">
                  <from>
                    <xdr:col>33</xdr:col>
                    <xdr:colOff>600075</xdr:colOff>
                    <xdr:row>4</xdr:row>
                    <xdr:rowOff>152400</xdr:rowOff>
                  </from>
                  <to>
                    <xdr:col>35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AB12:AB49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AC12:AC49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6"/>
  <sheetViews>
    <sheetView zoomScale="90" zoomScaleNormal="9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J24" sqref="J24"/>
    </sheetView>
  </sheetViews>
  <sheetFormatPr defaultRowHeight="15" outlineLevelCol="1"/>
  <cols>
    <col min="1" max="1" width="3.57031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32" customWidth="1" outlineLevel="1"/>
    <col min="6" max="6" width="4.5703125" customWidth="1" outlineLevel="1"/>
    <col min="7" max="7" width="6.140625" customWidth="1" outlineLevel="1"/>
    <col min="8" max="8" width="7.140625" style="36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9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5" customWidth="1" outlineLevel="1"/>
    <col min="22" max="23" width="8.140625" style="50" customWidth="1"/>
    <col min="24" max="24" width="7.5703125" customWidth="1" outlineLevel="1"/>
    <col min="25" max="25" width="8.140625" style="27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1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50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6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76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76">
        <f>'Master P&amp;L'!V10</f>
        <v>5.0923097622450406</v>
      </c>
      <c r="C1" s="95"/>
      <c r="D1" s="95"/>
      <c r="E1" s="333"/>
      <c r="F1" s="95"/>
      <c r="G1" s="95"/>
      <c r="H1" s="336">
        <f>548-256</f>
        <v>292</v>
      </c>
      <c r="I1" s="204"/>
      <c r="J1" s="197" t="s">
        <v>1696</v>
      </c>
      <c r="K1" s="74" t="str">
        <f>_xll.BDP(B1&amp;" index","PX_YEST_CLOSE")</f>
        <v>#N/A Invalid Security</v>
      </c>
      <c r="L1" s="74" t="str">
        <f>_xll.BDP($B1&amp;" Index","mid")</f>
        <v>#N/A Invalid Security</v>
      </c>
      <c r="O1" s="204" t="e">
        <f>#REF!-#REF!-#REF!</f>
        <v>#REF!</v>
      </c>
      <c r="P1" s="204"/>
      <c r="Q1" s="204"/>
      <c r="R1" s="204" t="e">
        <f>#REF!-#REF!-#REF!</f>
        <v>#REF!</v>
      </c>
      <c r="S1" s="95"/>
      <c r="T1" s="95"/>
      <c r="U1" s="95"/>
      <c r="V1" s="50">
        <f>SUM(V4:V26)</f>
        <v>22.142473408705676</v>
      </c>
      <c r="W1" s="50">
        <f>SUM(W4:W26)</f>
        <v>19.732684368989538</v>
      </c>
      <c r="X1" s="50">
        <f>SUM(X4:X26)</f>
        <v>20.489999999999995</v>
      </c>
      <c r="Y1" s="269"/>
      <c r="AG1" s="43"/>
      <c r="AI1" s="415">
        <f>SUM(AI4:AI26)*252</f>
        <v>-26.066894062695269</v>
      </c>
      <c r="AJ1" s="415"/>
      <c r="AK1" s="363" t="s">
        <v>1902</v>
      </c>
      <c r="AL1" s="14"/>
      <c r="AM1" s="95"/>
      <c r="AN1" s="116"/>
      <c r="AO1" s="13"/>
      <c r="AP1" s="95"/>
      <c r="AQ1" s="95"/>
      <c r="AR1" s="95"/>
      <c r="AS1" s="95"/>
      <c r="AT1" s="95"/>
      <c r="AU1" s="95"/>
      <c r="AV1" s="325"/>
      <c r="AX1" s="13"/>
      <c r="AY1" s="13"/>
    </row>
    <row r="2" spans="1:56">
      <c r="I2" s="64" t="e">
        <f>#REF!-#REF!</f>
        <v>#REF!</v>
      </c>
      <c r="J2" s="64"/>
      <c r="K2" s="74" t="str" cm="1">
        <f t="array" ref="K2">_xll.BDP(B2&amp;" Equity","PX_YEST_CLOSE")</f>
        <v>#N/A Invalid Security</v>
      </c>
      <c r="L2" s="74" t="str" cm="1">
        <f t="array" ref="L2">_xll.BDP($B2&amp;" Equity","mid")</f>
        <v>#N/A Invalid Security</v>
      </c>
      <c r="P2" s="36" t="str" cm="1">
        <f t="array" ref="P2">_xll.BDP($B2&amp;" Equity","bid")</f>
        <v>#N/A Invalid Security</v>
      </c>
      <c r="Q2" s="36" t="str" cm="1">
        <f t="array" ref="Q2">_xll.BDP($B2&amp;" Equity","ask")</f>
        <v>#N/A Invalid Security</v>
      </c>
      <c r="R2" s="64" t="e">
        <f>#REF!-#REF!-0.5*#REF!</f>
        <v>#REF!</v>
      </c>
      <c r="S2" s="129" t="e">
        <f>R2/Q2-1</f>
        <v>#REF!</v>
      </c>
      <c r="U2" s="13" t="e">
        <f>SUM(#REF!)</f>
        <v>#REF!</v>
      </c>
      <c r="V2" s="119" t="s">
        <v>197</v>
      </c>
      <c r="W2" s="119" t="s">
        <v>197</v>
      </c>
      <c r="X2" s="36"/>
      <c r="Y2" s="270"/>
      <c r="AG2" s="110" t="s">
        <v>197</v>
      </c>
      <c r="AH2" s="110" t="s">
        <v>197</v>
      </c>
      <c r="AI2" s="110" t="s">
        <v>197</v>
      </c>
      <c r="AJ2" s="110"/>
      <c r="AK2" s="110" t="s">
        <v>197</v>
      </c>
      <c r="AL2" s="13"/>
      <c r="AR2" s="114"/>
      <c r="AS2" s="59"/>
    </row>
    <row r="3" spans="1:56" s="10" customFormat="1" ht="60">
      <c r="A3" s="160"/>
      <c r="B3" s="10" t="s">
        <v>198</v>
      </c>
      <c r="C3" s="10" t="s">
        <v>199</v>
      </c>
      <c r="D3" s="10" t="s">
        <v>200</v>
      </c>
      <c r="E3" s="334" t="s">
        <v>201</v>
      </c>
      <c r="F3" s="10" t="s">
        <v>202</v>
      </c>
      <c r="G3" s="10" t="s">
        <v>203</v>
      </c>
      <c r="H3" s="10" t="s">
        <v>204</v>
      </c>
      <c r="I3" s="60" t="s">
        <v>116</v>
      </c>
      <c r="J3" s="67" t="s">
        <v>205</v>
      </c>
      <c r="K3" s="67" t="s">
        <v>206</v>
      </c>
      <c r="L3" s="83" t="s">
        <v>207</v>
      </c>
      <c r="M3" s="67" t="s">
        <v>208</v>
      </c>
      <c r="N3" s="351"/>
      <c r="O3" s="10" t="s">
        <v>103</v>
      </c>
      <c r="P3" s="67" t="s">
        <v>209</v>
      </c>
      <c r="Q3" s="67" t="s">
        <v>210</v>
      </c>
      <c r="R3" s="67" t="s">
        <v>211</v>
      </c>
      <c r="S3" s="60" t="s">
        <v>180</v>
      </c>
      <c r="T3" s="10" t="s">
        <v>181</v>
      </c>
      <c r="U3" s="60" t="s">
        <v>212</v>
      </c>
      <c r="V3" s="120" t="s">
        <v>213</v>
      </c>
      <c r="W3" s="120" t="s">
        <v>214</v>
      </c>
      <c r="X3" s="68" t="s">
        <v>215</v>
      </c>
      <c r="Y3" s="271" t="s">
        <v>216</v>
      </c>
      <c r="Z3" s="121" t="s">
        <v>217</v>
      </c>
      <c r="AA3" s="121" t="s">
        <v>218</v>
      </c>
      <c r="AB3" s="69" t="s">
        <v>219</v>
      </c>
      <c r="AC3" s="69" t="s">
        <v>1781</v>
      </c>
      <c r="AD3" s="10" t="s">
        <v>1780</v>
      </c>
      <c r="AE3" s="10" t="s">
        <v>1782</v>
      </c>
      <c r="AF3" s="10" t="s">
        <v>220</v>
      </c>
      <c r="AG3" s="94" t="s">
        <v>221</v>
      </c>
      <c r="AH3" s="10" t="s">
        <v>229</v>
      </c>
      <c r="AI3" s="68" t="s">
        <v>225</v>
      </c>
      <c r="AJ3" s="68" t="s">
        <v>2124</v>
      </c>
      <c r="AK3" s="68" t="s">
        <v>160</v>
      </c>
      <c r="AL3" s="60" t="s">
        <v>222</v>
      </c>
      <c r="AM3" s="72" t="s">
        <v>228</v>
      </c>
      <c r="AN3" s="117" t="s">
        <v>223</v>
      </c>
      <c r="AO3" s="10" t="s">
        <v>224</v>
      </c>
      <c r="AP3" s="70" t="s">
        <v>226</v>
      </c>
      <c r="AQ3" s="10" t="s">
        <v>227</v>
      </c>
      <c r="AR3" s="115" t="s">
        <v>230</v>
      </c>
      <c r="AS3" s="111">
        <v>0.01</v>
      </c>
      <c r="AT3" s="111">
        <v>0.05</v>
      </c>
      <c r="AU3" s="112">
        <v>0.01</v>
      </c>
      <c r="AV3" s="326" t="s">
        <v>125</v>
      </c>
      <c r="AW3" s="10" t="s">
        <v>231</v>
      </c>
      <c r="AX3" s="10" t="s">
        <v>232</v>
      </c>
      <c r="AY3" s="10" t="s">
        <v>233</v>
      </c>
      <c r="AZ3" s="10" t="s">
        <v>1672</v>
      </c>
      <c r="BA3" s="10" t="s">
        <v>1843</v>
      </c>
      <c r="BB3" s="10" t="s">
        <v>1846</v>
      </c>
      <c r="BC3" s="10" t="s">
        <v>1847</v>
      </c>
      <c r="BD3" s="10" t="s">
        <v>1848</v>
      </c>
    </row>
    <row r="4" spans="1:56" s="59" customFormat="1">
      <c r="A4" s="356"/>
      <c r="B4" t="s">
        <v>2306</v>
      </c>
      <c r="C4" t="str" cm="1">
        <f t="array" ref="C4">_xll.BDP($B4&amp;" Equity","opt_put_call")</f>
        <v>Call</v>
      </c>
      <c r="D4" t="str" cm="1">
        <f t="array" ref="D4">_xll.BDP(B4&amp;" Equity","OPT_UNDL_TICKER")</f>
        <v>AMZN US</v>
      </c>
      <c r="E4" t="str" cm="1">
        <f t="array" ref="E4">_xll.BDP($B4&amp;" Equity","mifid_Maturity_date")</f>
        <v>17/07/2026</v>
      </c>
      <c r="F4" cm="1">
        <f t="array" ref="F4">_xll.BDP($B4&amp;" Equity","opt_days_expire")</f>
        <v>171</v>
      </c>
      <c r="G4" t="str" cm="1">
        <f t="array" ref="G4">_xll.BDP(B4&amp;" Equity","QUOTED_CURRENCY_REALTIME")</f>
        <v>USD</v>
      </c>
      <c r="H4" s="15">
        <v>50</v>
      </c>
      <c r="I4" s="410">
        <v>19.59</v>
      </c>
      <c r="J4" s="14">
        <f>VLOOKUP(B4,Precificação!$B:$O,14,FALSE)</f>
        <v>21.450000000000003</v>
      </c>
      <c r="K4" s="14">
        <f t="shared" ref="K4" si="0">+J4</f>
        <v>21.450000000000003</v>
      </c>
      <c r="L4" s="74" cm="1">
        <f t="array" ref="L4">_xll.BDP($B4&amp;" Equity","mid")</f>
        <v>25.23</v>
      </c>
      <c r="M4" s="19">
        <f t="shared" ref="M4:M26" si="1">L4/Z4</f>
        <v>0.10311427170181461</v>
      </c>
      <c r="N4" s="350"/>
      <c r="O4" s="19">
        <f t="shared" ref="O4:O26" si="2">L4/K4-1</f>
        <v>0.17622377622377616</v>
      </c>
      <c r="P4" s="36" cm="1">
        <f t="array" ref="P4">_xll.BDP($B4&amp;" Equity","bid")</f>
        <v>25.15</v>
      </c>
      <c r="Q4" s="36" cm="1">
        <f t="array" ref="Q4">_xll.BDP($B4&amp;" Equity","ask")</f>
        <v>25.3</v>
      </c>
      <c r="R4" s="40">
        <f t="shared" ref="R4:R26" si="3">(Q4/P4-1)</f>
        <v>5.9642147117298094E-3</v>
      </c>
      <c r="S4" s="36" cm="1">
        <f t="array" ref="S4">_xll.BDP(G4&amp;" Curncy","PX_LAST")</f>
        <v>1</v>
      </c>
      <c r="T4" s="15" cm="1">
        <f t="array" ref="T4">_xll.BDP(B4&amp;" Equity","OPT_MULTIPLIER")</f>
        <v>100</v>
      </c>
      <c r="U4" s="15">
        <f t="shared" ref="U4:U26" si="4">(L4/S4)*H4*T4</f>
        <v>126150</v>
      </c>
      <c r="V4" s="124">
        <f>U4/'Master P&amp;L'!$AD$7*10000</f>
        <v>0.52646644561664258</v>
      </c>
      <c r="W4" s="124">
        <f>(Y4*H4*T4/S4)/'Master P&amp;L'!$AD$7*10000</f>
        <v>0.52646644561664258</v>
      </c>
      <c r="X4" s="413">
        <f t="shared" ref="X4:X26" si="5">IF(C4="Put",IF(Z4&lt;AA4,AA4-Z4,0),IF(Z4&gt;AA4,Z4-AA4,0))</f>
        <v>0</v>
      </c>
      <c r="Y4" s="273">
        <f t="shared" ref="Y4:Y26" si="6">L4-X4</f>
        <v>25.23</v>
      </c>
      <c r="Z4" s="37">
        <f>_xll.BDP(D4&amp;" Equity","LAST_PRICE")</f>
        <v>244.68</v>
      </c>
      <c r="AA4" s="37" cm="1">
        <f t="array" ref="AA4">_xll.BDP(B4&amp;" Equity","OPT_STRIKE_PX")</f>
        <v>245</v>
      </c>
      <c r="AB4" s="40">
        <f t="shared" ref="AB4:AB26" si="7">AA4/Z4-1</f>
        <v>1.3078306359326497E-3</v>
      </c>
      <c r="AC4" s="324" cm="1">
        <f t="array" ref="AC4">_xll.BDP($D4&amp;" Equity","volatility_10d")</f>
        <v>31.724894431810512</v>
      </c>
      <c r="AD4" s="37" cm="1">
        <f t="array" ref="AD4">_xll.BDP(B4&amp;" Equity","ivol_mid")</f>
        <v>35.32394</v>
      </c>
      <c r="AE4" s="37">
        <f t="shared" ref="AE4:AE26" si="8">AD4/AC4</f>
        <v>1.1134454702733614</v>
      </c>
      <c r="AF4" s="38" cm="1">
        <f t="array" ref="AF4">_xll.BDP(B4&amp;" Equity","DELTA_MID_RT")</f>
        <v>0.57352054119110107</v>
      </c>
      <c r="AG4" s="19">
        <f>AL4/'Master P&amp;L'!$AE$7</f>
        <v>2.9282010707708727E-4</v>
      </c>
      <c r="AH4" s="19">
        <f>AM4/'Master P&amp;L'!$AE$7</f>
        <v>5.105660321580662E-4</v>
      </c>
      <c r="AI4" s="434">
        <f>AO4/'Master P&amp;L'!$AD$7*10000</f>
        <v>-1.359004299274091E-3</v>
      </c>
      <c r="AJ4" s="350">
        <f t="shared" ref="AJ4:AJ26" si="9">(252*AI4)/$AI$1</f>
        <v>1.3138085519255771E-2</v>
      </c>
      <c r="AK4" s="38">
        <f>AP4/'Master P&amp;L'!$AD$7*10000</f>
        <v>7.8876066763016561E-2</v>
      </c>
      <c r="AL4" s="15">
        <f t="shared" ref="AL4:AL26" si="10">Z4*AF4*H4*T4/S4</f>
        <v>701645.03009319305</v>
      </c>
      <c r="AM4" s="15">
        <f t="shared" ref="AM4:AM26" si="11">IF(C4="Put",-Z4*H4*T4/S4,Z4*H4*T4/S4)</f>
        <v>1223400</v>
      </c>
      <c r="AN4" s="38" cm="1">
        <f t="array" ref="AN4">_xll.BDP($B4&amp;" Equity","theta_mid_rt")</f>
        <v>-6.5127946436405182E-2</v>
      </c>
      <c r="AO4" s="15">
        <f t="shared" ref="AO4:AO26" si="12">AN4*H4*T4/S4</f>
        <v>-325.63973218202591</v>
      </c>
      <c r="AP4" s="15">
        <f t="shared" ref="AP4:AP26" si="13">(L4-K4)*T4/S4*H4</f>
        <v>18899.999999999989</v>
      </c>
      <c r="AQ4" s="36" t="str" cm="1">
        <f t="array" ref="AQ4">_xll.BDP($D4&amp;" Equity","EXPECTED_REPORT_DT")</f>
        <v>05/02/2026</v>
      </c>
      <c r="AR4" s="66" cm="1">
        <f t="array" ref="AR4">_xll.BDP($B4&amp;" Equity","GAMMA_LAST")</f>
        <v>1.6191000000000001E-2</v>
      </c>
      <c r="AS4">
        <f t="shared" ref="AS4:AS26" si="14">$Z4*($AR4*$Z4*$AS$3)*$H4*$T4/$S4</f>
        <v>48466.384207920011</v>
      </c>
      <c r="AT4">
        <f t="shared" ref="AT4:AT26" si="15">$Z4*($AR4*$Z4*$AT$3)*$H4*$T4/$S4</f>
        <v>242331.92103960004</v>
      </c>
      <c r="AU4" t="s">
        <v>151</v>
      </c>
      <c r="AV4" s="277" cm="1">
        <f t="array" ref="AV4">_xll.BDP($D4&amp;" Equity","EST_PE_NXT_YR")*(AA4/Z4)</f>
        <v>26.300990356012527</v>
      </c>
      <c r="AW4"/>
      <c r="AX4" s="15"/>
      <c r="AY4" s="15">
        <v>25.3</v>
      </c>
      <c r="AZ4" s="355"/>
      <c r="BA4" s="15">
        <f t="shared" ref="BA4:BA26" si="16">+AY4</f>
        <v>25.3</v>
      </c>
      <c r="BB4" s="414">
        <f t="shared" ref="BB4:BB26" si="17">+J4</f>
        <v>21.450000000000003</v>
      </c>
      <c r="BC4" s="414">
        <f t="shared" ref="BC4:BC26" si="18">(BB4-BA4)*H4*100</f>
        <v>-19249.999999999989</v>
      </c>
      <c r="BD4" s="414">
        <f>BC4/'Master P&amp;L'!$AD$7*10000</f>
        <v>-8.0336734666035386E-2</v>
      </c>
    </row>
    <row r="5" spans="1:56">
      <c r="A5" s="335"/>
      <c r="B5" s="73" t="s">
        <v>2227</v>
      </c>
      <c r="C5" s="73" t="str" cm="1">
        <f t="array" ref="C5">_xll.BDP($B5&amp;" Equity","opt_put_call")</f>
        <v>Call</v>
      </c>
      <c r="D5" s="73" t="str" cm="1">
        <f t="array" ref="D5">_xll.BDP(B5&amp;" Equity","OPT_UNDL_TICKER")</f>
        <v>ASHR US</v>
      </c>
      <c r="E5" s="73" t="str" cm="1">
        <f t="array" ref="E5">_xll.BDP($B5&amp;" Equity","mifid_Maturity_date")</f>
        <v>20/02/2026</v>
      </c>
      <c r="F5" s="73" cm="1">
        <f t="array" ref="F5">_xll.BDP($B5&amp;" Equity","opt_days_expire")</f>
        <v>24</v>
      </c>
      <c r="G5" s="73" t="str" cm="1">
        <f t="array" ref="G5">_xll.BDP(B5&amp;" Equity","QUOTED_CURRENCY_REALTIME")</f>
        <v>USD</v>
      </c>
      <c r="H5" s="42">
        <v>2000</v>
      </c>
      <c r="I5" s="409">
        <v>0.48</v>
      </c>
      <c r="J5" s="14">
        <f>VLOOKUP(B5,Precificação!$B:$O,14,FALSE)</f>
        <v>0.25027146546103929</v>
      </c>
      <c r="K5" s="14">
        <f t="shared" ref="K5:K26" si="19">+J5</f>
        <v>0.25027146546103929</v>
      </c>
      <c r="L5" s="74" cm="1">
        <f t="array" ref="L5">_xll.BDP($B5&amp;" Equity","mid")</f>
        <v>0.25</v>
      </c>
      <c r="M5" s="75">
        <f t="shared" si="1"/>
        <v>7.403020432336393E-3</v>
      </c>
      <c r="N5" s="352"/>
      <c r="O5" s="75">
        <f t="shared" si="2"/>
        <v>-1.0846840271591107E-3</v>
      </c>
      <c r="P5" s="74" cm="1">
        <f t="array" ref="P5">_xll.BDP($B5&amp;" Equity","bid")</f>
        <v>0.19</v>
      </c>
      <c r="Q5" s="74" cm="1">
        <f t="array" ref="Q5">_xll.BDP($B5&amp;" Equity","ask")</f>
        <v>0.3</v>
      </c>
      <c r="R5" s="76">
        <f t="shared" si="3"/>
        <v>0.57894736842105265</v>
      </c>
      <c r="S5" s="36" cm="1">
        <f t="array" ref="S5">_xll.BDP(G5&amp;" Curncy","PX_LAST")</f>
        <v>1</v>
      </c>
      <c r="T5" s="42" cm="1">
        <f t="array" ref="T5">_xll.BDP(B5&amp;" Equity","OPT_MULTIPLIER")</f>
        <v>100</v>
      </c>
      <c r="U5" s="42">
        <f t="shared" si="4"/>
        <v>50000</v>
      </c>
      <c r="V5" s="113">
        <f>U5/'Master P&amp;L'!$AD$7*10000</f>
        <v>0.20866684328840374</v>
      </c>
      <c r="W5" s="113">
        <f>(Y5*H5*T5/S5)/'Master P&amp;L'!$AD$7*10000</f>
        <v>0.20866684328840374</v>
      </c>
      <c r="X5" s="118">
        <f t="shared" si="5"/>
        <v>0</v>
      </c>
      <c r="Y5" s="272">
        <f t="shared" si="6"/>
        <v>0.25</v>
      </c>
      <c r="Z5" s="77">
        <f>_xll.BDP(D5&amp;" Equity","LAST_PRICE")</f>
        <v>33.770000000000003</v>
      </c>
      <c r="AA5" s="77" cm="1">
        <f t="array" ref="AA5">_xll.BDP(B5&amp;" Equity","OPT_STRIKE_PX")</f>
        <v>35</v>
      </c>
      <c r="AB5" s="76">
        <f t="shared" si="7"/>
        <v>3.6422860527094869E-2</v>
      </c>
      <c r="AC5" s="323" cm="1">
        <f t="array" ref="AC5">_xll.BDP($D5&amp;" Equity","volatility_10d")</f>
        <v>10.147472329218992</v>
      </c>
      <c r="AD5" s="77" cm="1">
        <f t="array" ref="AD5">_xll.BDP(B5&amp;" Equity","ivol_mid")</f>
        <v>18.194559999999999</v>
      </c>
      <c r="AE5" s="77">
        <f t="shared" si="8"/>
        <v>1.7930140048384204</v>
      </c>
      <c r="AF5" s="78" cm="1">
        <f t="array" ref="AF5">_xll.BDP(B5&amp;" Equity","DELTA_MID_RT")</f>
        <v>0.25450581312179565</v>
      </c>
      <c r="AG5" s="75">
        <f>AL5/'Master P&amp;L'!$AE$7</f>
        <v>7.1736833780307384E-4</v>
      </c>
      <c r="AH5" s="75">
        <f>AM5/'Master P&amp;L'!$AE$7</f>
        <v>2.8186717191397573E-3</v>
      </c>
      <c r="AI5" s="435">
        <f>AO5/'Master P&amp;L'!$AD$7*10000</f>
        <v>-8.9973863499025926E-3</v>
      </c>
      <c r="AJ5" s="350">
        <f t="shared" si="9"/>
        <v>8.6981646325876641E-2</v>
      </c>
      <c r="AK5" s="78">
        <f>AP5/'Master P&amp;L'!$AD$7*10000</f>
        <v>-2.2658336326759798E-4</v>
      </c>
      <c r="AL5" s="42">
        <f t="shared" si="10"/>
        <v>1718932.2618246083</v>
      </c>
      <c r="AM5" s="42">
        <f t="shared" si="11"/>
        <v>6754000</v>
      </c>
      <c r="AN5" s="78" cm="1">
        <f t="array" ref="AN5">_xll.BDP($B5&amp;" Equity","theta_mid_rt")</f>
        <v>-1.0779607109725475E-2</v>
      </c>
      <c r="AO5" s="42">
        <f t="shared" si="12"/>
        <v>-2155.9214219450951</v>
      </c>
      <c r="AP5" s="42">
        <f t="shared" si="13"/>
        <v>-54.293092207857718</v>
      </c>
      <c r="AQ5" s="74" t="str" cm="1">
        <f t="array" ref="AQ5">_xll.BDP($D5&amp;" Equity","EXPECTED_REPORT_DT")</f>
        <v>#N/A N/A</v>
      </c>
      <c r="AR5" s="235" cm="1">
        <f t="array" ref="AR5">_xll.BDP($B5&amp;" Equity","GAMMA_LAST")</f>
        <v>6.6373000000000001E-2</v>
      </c>
      <c r="AS5" s="73">
        <f t="shared" si="14"/>
        <v>151385.25082340004</v>
      </c>
      <c r="AT5" s="73">
        <f t="shared" si="15"/>
        <v>756926.25411700015</v>
      </c>
      <c r="AU5" s="73" t="s">
        <v>151</v>
      </c>
      <c r="AV5" s="322" t="e" cm="1">
        <f t="array" ref="AV5">_xll.BDP($D5&amp;" Equity","EST_PE_NXT_YR")*(AA5/Z5)</f>
        <v>#VALUE!</v>
      </c>
      <c r="AW5" s="73"/>
      <c r="AX5" s="42"/>
      <c r="AY5" s="42">
        <v>0.24</v>
      </c>
      <c r="AZ5" s="354"/>
      <c r="BA5" s="42">
        <f t="shared" si="16"/>
        <v>0.24</v>
      </c>
      <c r="BB5" s="346">
        <f t="shared" si="17"/>
        <v>0.25027146546103929</v>
      </c>
      <c r="BC5" s="346">
        <f t="shared" si="18"/>
        <v>2054.2930922078594</v>
      </c>
      <c r="BD5" s="346">
        <f>BC5/'Master P&amp;L'!$AD$7*10000</f>
        <v>8.5732570948037542E-3</v>
      </c>
    </row>
    <row r="6" spans="1:56" s="59" customFormat="1">
      <c r="A6" s="424"/>
      <c r="B6" s="59" t="s">
        <v>2227</v>
      </c>
      <c r="C6" s="59" t="str" cm="1">
        <f t="array" ref="C6">_xll.BDP($B6&amp;" Equity","opt_put_call")</f>
        <v>Call</v>
      </c>
      <c r="D6" s="59" t="str" cm="1">
        <f t="array" ref="D6">_xll.BDP(B6&amp;" Equity","OPT_UNDL_TICKER")</f>
        <v>ASHR US</v>
      </c>
      <c r="E6" s="59" t="str" cm="1">
        <f t="array" ref="E6">_xll.BDP($B6&amp;" Equity","mifid_Maturity_date")</f>
        <v>20/02/2026</v>
      </c>
      <c r="F6" s="59" cm="1">
        <f t="array" ref="F6">_xll.BDP($B6&amp;" Equity","opt_days_expire")</f>
        <v>24</v>
      </c>
      <c r="G6" s="59" t="str" cm="1">
        <f t="array" ref="G6">_xll.BDP(B6&amp;" Equity","QUOTED_CURRENCY_REALTIME")</f>
        <v>USD</v>
      </c>
      <c r="H6" s="404">
        <v>-1000</v>
      </c>
      <c r="I6" s="411"/>
      <c r="J6" s="14"/>
      <c r="K6" s="14">
        <v>0.19</v>
      </c>
      <c r="L6" s="14" cm="1">
        <f t="array" ref="L6">_xll.BDP($B6&amp;" Equity","mid")</f>
        <v>0.25</v>
      </c>
      <c r="M6" s="128">
        <f t="shared" ref="M6" si="20">L6/Z6</f>
        <v>7.403020432336393E-3</v>
      </c>
      <c r="N6" s="425"/>
      <c r="O6" s="128">
        <f t="shared" ref="O6" si="21">L6/K6-1</f>
        <v>0.31578947368421062</v>
      </c>
      <c r="P6" s="14" cm="1">
        <f t="array" ref="P6">_xll.BDP($B6&amp;" Equity","bid")</f>
        <v>0.19</v>
      </c>
      <c r="Q6" s="14" cm="1">
        <f t="array" ref="Q6">_xll.BDP($B6&amp;" Equity","ask")</f>
        <v>0.3</v>
      </c>
      <c r="R6" s="423">
        <f t="shared" ref="R6" si="22">(Q6/P6-1)</f>
        <v>0.57894736842105265</v>
      </c>
      <c r="S6" s="14" cm="1">
        <f t="array" ref="S6">_xll.BDP(G6&amp;" Curncy","PX_LAST")</f>
        <v>1</v>
      </c>
      <c r="T6" s="404" cm="1">
        <f t="array" ref="T6">_xll.BDP(B6&amp;" Equity","OPT_MULTIPLIER")</f>
        <v>100</v>
      </c>
      <c r="U6" s="404">
        <f t="shared" ref="U6" si="23">(L6/S6)*H6*T6</f>
        <v>-25000</v>
      </c>
      <c r="V6" s="426">
        <f>U6/'Master P&amp;L'!$AD$7*10000</f>
        <v>-0.10433342164420187</v>
      </c>
      <c r="W6" s="426">
        <f>(Y6*H6*T6/S6)/'Master P&amp;L'!$AD$7*10000</f>
        <v>-0.10433342164420187</v>
      </c>
      <c r="X6" s="427">
        <f t="shared" ref="X6" si="24">IF(C6="Put",IF(Z6&lt;AA6,AA6-Z6,0),IF(Z6&gt;AA6,Z6-AA6,0))</f>
        <v>0</v>
      </c>
      <c r="Y6" s="428">
        <f t="shared" ref="Y6" si="25">L6-X6</f>
        <v>0.25</v>
      </c>
      <c r="Z6" s="429">
        <f>_xll.BDP(D6&amp;" Equity","LAST_PRICE")</f>
        <v>33.770000000000003</v>
      </c>
      <c r="AA6" s="429" cm="1">
        <f t="array" ref="AA6">_xll.BDP(B6&amp;" Equity","OPT_STRIKE_PX")</f>
        <v>35</v>
      </c>
      <c r="AB6" s="423">
        <f t="shared" ref="AB6" si="26">AA6/Z6-1</f>
        <v>3.6422860527094869E-2</v>
      </c>
      <c r="AC6" s="430" cm="1">
        <f t="array" ref="AC6">_xll.BDP($D6&amp;" Equity","volatility_10d")</f>
        <v>10.147472329218992</v>
      </c>
      <c r="AD6" s="429" cm="1">
        <f t="array" ref="AD6">_xll.BDP(B6&amp;" Equity","ivol_mid")</f>
        <v>18.194559999999999</v>
      </c>
      <c r="AE6" s="429">
        <f t="shared" ref="AE6" si="27">AD6/AC6</f>
        <v>1.7930140048384204</v>
      </c>
      <c r="AF6" s="431" cm="1">
        <f t="array" ref="AF6">_xll.BDP(B6&amp;" Equity","DELTA_MID_RT")</f>
        <v>0.25450581312179565</v>
      </c>
      <c r="AG6" s="128">
        <f>AL6/'Master P&amp;L'!$AE$7</f>
        <v>-3.5868416890153692E-4</v>
      </c>
      <c r="AH6" s="128">
        <f>AM6/'Master P&amp;L'!$AE$7</f>
        <v>-1.4093358595698787E-3</v>
      </c>
      <c r="AI6" s="440">
        <f>AO6/'Master P&amp;L'!$AD$7*10000</f>
        <v>4.4986931749512963E-3</v>
      </c>
      <c r="AJ6" s="425">
        <f t="shared" ref="AJ6" si="28">(252*AI6)/$AI$1</f>
        <v>-4.349082316293832E-2</v>
      </c>
      <c r="AK6" s="431">
        <f>AP6/'Master P&amp;L'!$AD$7*10000</f>
        <v>-2.5040021194608447E-2</v>
      </c>
      <c r="AL6" s="404">
        <f t="shared" ref="AL6" si="29">Z6*AF6*H6*T6/S6</f>
        <v>-859466.13091230416</v>
      </c>
      <c r="AM6" s="404">
        <f t="shared" ref="AM6" si="30">IF(C6="Put",-Z6*H6*T6/S6,Z6*H6*T6/S6)</f>
        <v>-3377000</v>
      </c>
      <c r="AN6" s="431" cm="1">
        <f t="array" ref="AN6">_xll.BDP($B6&amp;" Equity","theta_mid_rt")</f>
        <v>-1.0779607109725475E-2</v>
      </c>
      <c r="AO6" s="404">
        <f t="shared" ref="AO6" si="31">AN6*H6*T6/S6</f>
        <v>1077.9607109725475</v>
      </c>
      <c r="AP6" s="404">
        <f t="shared" ref="AP6" si="32">(L6-K6)*T6/S6*H6</f>
        <v>-6000</v>
      </c>
      <c r="AQ6" s="14" t="str" cm="1">
        <f t="array" ref="AQ6">_xll.BDP($D6&amp;" Equity","EXPECTED_REPORT_DT")</f>
        <v>#N/A N/A</v>
      </c>
      <c r="AR6" s="114" cm="1">
        <f t="array" ref="AR6">_xll.BDP($B6&amp;" Equity","GAMMA_LAST")</f>
        <v>6.6373000000000001E-2</v>
      </c>
      <c r="AS6" s="59">
        <f t="shared" si="14"/>
        <v>-75692.625411700021</v>
      </c>
      <c r="AT6" s="59">
        <f t="shared" si="15"/>
        <v>-378463.12705850007</v>
      </c>
      <c r="AU6" s="59" t="s">
        <v>151</v>
      </c>
      <c r="AV6" s="337" t="e" cm="1">
        <f t="array" ref="AV6">_xll.BDP($D6&amp;" Equity","EST_PE_NXT_YR")*(AA6/Z6)</f>
        <v>#VALUE!</v>
      </c>
      <c r="AX6" s="404"/>
      <c r="AY6" s="404">
        <v>0.24</v>
      </c>
      <c r="AZ6" s="432"/>
      <c r="BA6" s="404">
        <f t="shared" ref="BA6" si="33">+AY6</f>
        <v>0.24</v>
      </c>
      <c r="BB6" s="433">
        <f t="shared" ref="BB6" si="34">+J6</f>
        <v>0</v>
      </c>
      <c r="BC6" s="433">
        <f t="shared" ref="BC6" si="35">(BB6-BA6)*H6*100</f>
        <v>24000</v>
      </c>
      <c r="BD6" s="433">
        <f>BC6/'Master P&amp;L'!$AD$7*10000</f>
        <v>0.10016008477843379</v>
      </c>
    </row>
    <row r="7" spans="1:56" s="59" customFormat="1">
      <c r="A7" s="356"/>
      <c r="B7" t="s">
        <v>2105</v>
      </c>
      <c r="C7" t="str" cm="1">
        <f t="array" ref="C7">_xll.BDP($B7&amp;" Equity","opt_put_call")</f>
        <v>Call</v>
      </c>
      <c r="D7" t="str" cm="1">
        <f t="array" ref="D7">_xll.BDP(B7&amp;" Equity","OPT_UNDL_TICKER")</f>
        <v>AVGO US</v>
      </c>
      <c r="E7" t="str" cm="1">
        <f t="array" ref="E7">_xll.BDP($B7&amp;" Equity","mifid_Maturity_date")</f>
        <v>18/06/2026</v>
      </c>
      <c r="F7" cm="1">
        <f t="array" ref="F7">_xll.BDP($B7&amp;" Equity","opt_days_expire")</f>
        <v>142</v>
      </c>
      <c r="G7" t="str" cm="1">
        <f t="array" ref="G7">_xll.BDP(B7&amp;" Equity","QUOTED_CURRENCY_REALTIME")</f>
        <v>USD</v>
      </c>
      <c r="H7" s="15">
        <v>120</v>
      </c>
      <c r="I7" s="410">
        <v>37.5</v>
      </c>
      <c r="J7" s="14">
        <f>VLOOKUP(B7,Precificação!$B:$O,14,FALSE)</f>
        <v>31.875</v>
      </c>
      <c r="K7" s="14">
        <f t="shared" si="19"/>
        <v>31.875</v>
      </c>
      <c r="L7" s="74" cm="1">
        <f t="array" ref="L7">_xll.BDP($B7&amp;" Equity","mid")</f>
        <v>35.799999999999997</v>
      </c>
      <c r="M7" s="19">
        <f t="shared" si="1"/>
        <v>0.1075753478169416</v>
      </c>
      <c r="N7" s="350"/>
      <c r="O7" s="19">
        <f t="shared" si="2"/>
        <v>0.1231372549019607</v>
      </c>
      <c r="P7" s="36" cm="1">
        <f t="array" ref="P7">_xll.BDP($B7&amp;" Equity","bid")</f>
        <v>35.65</v>
      </c>
      <c r="Q7" s="36" cm="1">
        <f t="array" ref="Q7">_xll.BDP($B7&amp;" Equity","ask")</f>
        <v>35.950000000000003</v>
      </c>
      <c r="R7" s="40">
        <f t="shared" si="3"/>
        <v>8.4151472650773051E-3</v>
      </c>
      <c r="S7" s="36" cm="1">
        <f t="array" ref="S7">_xll.BDP(G7&amp;" Curncy","PX_LAST")</f>
        <v>1</v>
      </c>
      <c r="T7" s="15" cm="1">
        <f t="array" ref="T7">_xll.BDP(B7&amp;" Equity","OPT_MULTIPLIER")</f>
        <v>100</v>
      </c>
      <c r="U7" s="15">
        <f t="shared" si="4"/>
        <v>429600</v>
      </c>
      <c r="V7" s="124">
        <f>U7/'Master P&amp;L'!$AD$7*10000</f>
        <v>1.7928655175339649</v>
      </c>
      <c r="W7" s="124">
        <f>(Y7*H7*T7/S7)/'Master P&amp;L'!$AD$7*10000</f>
        <v>1.7928655175339649</v>
      </c>
      <c r="X7" s="413">
        <f t="shared" si="5"/>
        <v>0</v>
      </c>
      <c r="Y7" s="273">
        <f t="shared" si="6"/>
        <v>35.799999999999997</v>
      </c>
      <c r="Z7" s="37">
        <f>_xll.BDP(D7&amp;" Equity","LAST_PRICE")</f>
        <v>332.79</v>
      </c>
      <c r="AA7" s="37" cm="1">
        <f t="array" ref="AA7">_xll.BDP(B7&amp;" Equity","OPT_STRIKE_PX")</f>
        <v>350</v>
      </c>
      <c r="AB7" s="40">
        <f t="shared" si="7"/>
        <v>5.1714294299708419E-2</v>
      </c>
      <c r="AC7" s="324" cm="1">
        <f t="array" ref="AC7">_xll.BDP($D7&amp;" Equity","volatility_10d")</f>
        <v>45.353200204897718</v>
      </c>
      <c r="AD7" s="37" cm="1">
        <f t="array" ref="AD7">_xll.BDP(B7&amp;" Equity","ivol_mid")</f>
        <v>49.421460000000003</v>
      </c>
      <c r="AE7" s="37">
        <f t="shared" si="8"/>
        <v>1.0897017140294976</v>
      </c>
      <c r="AF7" s="38" cm="1">
        <f t="array" ref="AF7">_xll.BDP(B7&amp;" Equity","DELTA_MID_RT")</f>
        <v>0.51516985893249512</v>
      </c>
      <c r="AG7" s="19">
        <f>AL7/'Master P&amp;L'!$AE$7</f>
        <v>8.5858916052460922E-4</v>
      </c>
      <c r="AH7" s="19">
        <f>AM7/'Master P&amp;L'!$AE$7</f>
        <v>1.6666137306707491E-3</v>
      </c>
      <c r="AI7" s="434">
        <f>AO7/'Master P&amp;L'!$AD$7*10000</f>
        <v>-7.017960280188521E-3</v>
      </c>
      <c r="AJ7" s="350">
        <f t="shared" si="9"/>
        <v>6.7845673763583206E-2</v>
      </c>
      <c r="AK7" s="38">
        <f>AP7/'Master P&amp;L'!$AD$7*10000</f>
        <v>0.19656416637767615</v>
      </c>
      <c r="AL7" s="15">
        <f t="shared" si="10"/>
        <v>2057320.5282497408</v>
      </c>
      <c r="AM7" s="15">
        <f t="shared" si="11"/>
        <v>3993480.0000000005</v>
      </c>
      <c r="AN7" s="38" cm="1">
        <f t="array" ref="AN7">_xll.BDP($B7&amp;" Equity","theta_mid_rt")</f>
        <v>-0.14013487100601196</v>
      </c>
      <c r="AO7" s="15">
        <f t="shared" si="12"/>
        <v>-1681.6184520721436</v>
      </c>
      <c r="AP7" s="15">
        <f t="shared" si="13"/>
        <v>47099.999999999964</v>
      </c>
      <c r="AQ7" s="36" t="str" cm="1">
        <f t="array" ref="AQ7">_xll.BDP($D7&amp;" Equity","EXPECTED_REPORT_DT")</f>
        <v>06/03/2026</v>
      </c>
      <c r="AR7" s="66" cm="1">
        <f t="array" ref="AR7">_xll.BDP($B7&amp;" Equity","GAMMA_LAST")</f>
        <v>1.2851E-2</v>
      </c>
      <c r="AS7">
        <f t="shared" si="14"/>
        <v>170788.53178429205</v>
      </c>
      <c r="AT7">
        <f t="shared" si="15"/>
        <v>853942.65892146016</v>
      </c>
      <c r="AU7" t="s">
        <v>151</v>
      </c>
      <c r="AV7" s="277" cm="1">
        <f t="array" ref="AV7">_xll.BDP($D7&amp;" Equity","EST_PE_NXT_YR")*(AA7/Z7)</f>
        <v>24.776980321021572</v>
      </c>
      <c r="AW7"/>
      <c r="AX7" s="15"/>
      <c r="AY7" s="15">
        <v>35.799999999999997</v>
      </c>
      <c r="AZ7" s="355"/>
      <c r="BA7" s="15">
        <f t="shared" si="16"/>
        <v>35.799999999999997</v>
      </c>
      <c r="BB7" s="414">
        <f t="shared" si="17"/>
        <v>31.875</v>
      </c>
      <c r="BC7" s="414">
        <f t="shared" si="18"/>
        <v>-47099.999999999964</v>
      </c>
      <c r="BD7" s="414">
        <f>BC7/'Master P&amp;L'!$AD$7*10000</f>
        <v>-0.19656416637767615</v>
      </c>
    </row>
    <row r="8" spans="1:56">
      <c r="A8" s="335"/>
      <c r="B8" s="73" t="s">
        <v>2274</v>
      </c>
      <c r="C8" s="73" t="str" cm="1">
        <f t="array" ref="C8">_xll.BDP($B8&amp;" Equity","opt_put_call")</f>
        <v>Call</v>
      </c>
      <c r="D8" s="73" t="str" cm="1">
        <f t="array" ref="D8">_xll.BDP(B8&amp;" Equity","OPT_UNDL_TICKER")</f>
        <v>GDX US</v>
      </c>
      <c r="E8" s="73" t="str" cm="1">
        <f t="array" ref="E8">_xll.BDP($B8&amp;" Equity","mifid_Maturity_date")</f>
        <v>18/09/2026</v>
      </c>
      <c r="F8" s="73" cm="1">
        <f t="array" ref="F8">_xll.BDP($B8&amp;" Equity","opt_days_expire")</f>
        <v>234</v>
      </c>
      <c r="G8" s="73" t="str" cm="1">
        <f t="array" ref="G8">_xll.BDP(B8&amp;" Equity","QUOTED_CURRENCY_REALTIME")</f>
        <v>USD</v>
      </c>
      <c r="H8" s="42">
        <v>1100</v>
      </c>
      <c r="I8" s="409">
        <v>14.73</v>
      </c>
      <c r="J8" s="14">
        <f>VLOOKUP(B8,Precificação!$B:$O,14,FALSE)</f>
        <v>18.850000000000001</v>
      </c>
      <c r="K8" s="14">
        <f t="shared" si="19"/>
        <v>18.850000000000001</v>
      </c>
      <c r="L8" s="74" cm="1">
        <f t="array" ref="L8">_xll.BDP($B8&amp;" Equity","mid")</f>
        <v>19.38</v>
      </c>
      <c r="M8" s="75">
        <f t="shared" si="1"/>
        <v>0.17732637935767223</v>
      </c>
      <c r="N8" s="352"/>
      <c r="O8" s="75">
        <f t="shared" si="2"/>
        <v>2.8116710875331519E-2</v>
      </c>
      <c r="P8" s="74" cm="1">
        <f t="array" ref="P8">_xll.BDP($B8&amp;" Equity","bid")</f>
        <v>18.8</v>
      </c>
      <c r="Q8" s="74" cm="1">
        <f t="array" ref="Q8">_xll.BDP($B8&amp;" Equity","ask")</f>
        <v>19.95</v>
      </c>
      <c r="R8" s="76">
        <f t="shared" si="3"/>
        <v>6.1170212765957466E-2</v>
      </c>
      <c r="S8" s="36" cm="1">
        <f t="array" ref="S8">_xll.BDP(G8&amp;" Curncy","PX_LAST")</f>
        <v>1</v>
      </c>
      <c r="T8" s="42" cm="1">
        <f t="array" ref="T8">_xll.BDP(B8&amp;" Equity","OPT_MULTIPLIER")</f>
        <v>100</v>
      </c>
      <c r="U8" s="42">
        <f t="shared" si="4"/>
        <v>2131800</v>
      </c>
      <c r="V8" s="113">
        <f>U8/'Master P&amp;L'!$AD$7*10000</f>
        <v>8.8967195304443809</v>
      </c>
      <c r="W8" s="113">
        <f>(Y8*H8*T8/S8)/'Master P&amp;L'!$AD$7*10000</f>
        <v>6.927321863488423</v>
      </c>
      <c r="X8" s="118">
        <f t="shared" si="5"/>
        <v>4.2900000000000063</v>
      </c>
      <c r="Y8" s="272">
        <f t="shared" si="6"/>
        <v>15.089999999999993</v>
      </c>
      <c r="Z8" s="77">
        <f>_xll.BDP(D8&amp;" Equity","LAST_PRICE")</f>
        <v>109.29</v>
      </c>
      <c r="AA8" s="77" cm="1">
        <f t="array" ref="AA8">_xll.BDP(B8&amp;" Equity","OPT_STRIKE_PX")</f>
        <v>105</v>
      </c>
      <c r="AB8" s="76">
        <f t="shared" si="7"/>
        <v>-3.9253362613230869E-2</v>
      </c>
      <c r="AC8" s="323" cm="1">
        <f t="array" ref="AC8">_xll.BDP($D8&amp;" Equity","volatility_10d")</f>
        <v>34.133562800996621</v>
      </c>
      <c r="AD8" s="77" cm="1">
        <f t="array" ref="AD8">_xll.BDP(B8&amp;" Equity","ivol_mid")</f>
        <v>47.074689999999997</v>
      </c>
      <c r="AE8" s="77">
        <f t="shared" si="8"/>
        <v>1.3791320371228732</v>
      </c>
      <c r="AF8" s="78" cm="1">
        <f t="array" ref="AF8">_xll.BDP(B8&amp;" Equity","DELTA_MID_RT")</f>
        <v>0.63902777433395386</v>
      </c>
      <c r="AG8" s="75">
        <f>AL8/'Master P&amp;L'!$AE$7</f>
        <v>3.2060942658429757E-3</v>
      </c>
      <c r="AH8" s="75">
        <f>AM8/'Master P&amp;L'!$AE$7</f>
        <v>5.0171438466577213E-3</v>
      </c>
      <c r="AI8" s="435">
        <f>AO8/'Master P&amp;L'!$AD$7*10000</f>
        <v>-1.3755852920897147E-2</v>
      </c>
      <c r="AJ8" s="350">
        <f t="shared" si="9"/>
        <v>0.13298381186990002</v>
      </c>
      <c r="AK8" s="78">
        <f>AP8/'Master P&amp;L'!$AD$7*10000</f>
        <v>0.24330553927427759</v>
      </c>
      <c r="AL8" s="42">
        <f t="shared" si="10"/>
        <v>7682328.0002653599</v>
      </c>
      <c r="AM8" s="42">
        <f t="shared" si="11"/>
        <v>12021900</v>
      </c>
      <c r="AN8" s="78" cm="1">
        <f t="array" ref="AN8">_xll.BDP($B8&amp;" Equity","theta_mid_rt")</f>
        <v>-2.9964800924062729E-2</v>
      </c>
      <c r="AO8" s="42">
        <f t="shared" si="12"/>
        <v>-3296.1281016469002</v>
      </c>
      <c r="AP8" s="42">
        <f t="shared" si="13"/>
        <v>58299.999999999731</v>
      </c>
      <c r="AQ8" s="74" t="str" cm="1">
        <f t="array" ref="AQ8">_xll.BDP($D8&amp;" Equity","EXPECTED_REPORT_DT")</f>
        <v>#N/A N/A</v>
      </c>
      <c r="AR8" s="235" cm="1">
        <f t="array" ref="AR8">_xll.BDP($B8&amp;" Equity","GAMMA_LAST")</f>
        <v>9.9550000000000003E-3</v>
      </c>
      <c r="AS8" s="73">
        <f t="shared" si="14"/>
        <v>130796.10204704999</v>
      </c>
      <c r="AT8" s="73">
        <f t="shared" si="15"/>
        <v>653980.51023525011</v>
      </c>
      <c r="AU8" s="73" t="s">
        <v>151</v>
      </c>
      <c r="AV8" s="322" t="e" cm="1">
        <f t="array" ref="AV8">_xll.BDP($D8&amp;" Equity","EST_PE_NXT_YR")*(AA8/Z8)</f>
        <v>#VALUE!</v>
      </c>
      <c r="AW8" s="73"/>
      <c r="AX8" s="42"/>
      <c r="AY8" s="42">
        <v>19.3</v>
      </c>
      <c r="AZ8" s="354"/>
      <c r="BA8" s="42">
        <f t="shared" si="16"/>
        <v>19.3</v>
      </c>
      <c r="BB8" s="346">
        <f t="shared" si="17"/>
        <v>18.850000000000001</v>
      </c>
      <c r="BC8" s="346">
        <f t="shared" si="18"/>
        <v>-49499.99999999992</v>
      </c>
      <c r="BD8" s="346">
        <f>BC8/'Master P&amp;L'!$AD$7*10000</f>
        <v>-0.20658017485551936</v>
      </c>
    </row>
    <row r="9" spans="1:56" s="59" customFormat="1">
      <c r="A9" s="356"/>
      <c r="B9" t="s">
        <v>2275</v>
      </c>
      <c r="C9" t="str" cm="1">
        <f t="array" ref="C9">_xll.BDP($B9&amp;" Equity","opt_put_call")</f>
        <v>Call</v>
      </c>
      <c r="D9" t="str" cm="1">
        <f t="array" ref="D9">_xll.BDP(B9&amp;" Equity","OPT_UNDL_TICKER")</f>
        <v>GDX US</v>
      </c>
      <c r="E9" t="str" cm="1">
        <f t="array" ref="E9">_xll.BDP($B9&amp;" Equity","mifid_Maturity_date")</f>
        <v>18/09/2026</v>
      </c>
      <c r="F9" cm="1">
        <f t="array" ref="F9">_xll.BDP($B9&amp;" Equity","opt_days_expire")</f>
        <v>234</v>
      </c>
      <c r="G9" t="str" cm="1">
        <f t="array" ref="G9">_xll.BDP(B9&amp;" Equity","QUOTED_CURRENCY_REALTIME")</f>
        <v>USD</v>
      </c>
      <c r="H9" s="15">
        <v>-1100</v>
      </c>
      <c r="I9" s="410">
        <v>11.13</v>
      </c>
      <c r="J9" s="14">
        <f>VLOOKUP(B9,Precificação!$B:$O,14,FALSE)</f>
        <v>14.074999999999999</v>
      </c>
      <c r="K9" s="14">
        <f t="shared" si="19"/>
        <v>14.074999999999999</v>
      </c>
      <c r="L9" s="74" cm="1">
        <f t="array" ref="L9">_xll.BDP($B9&amp;" Equity","mid")</f>
        <v>15.38</v>
      </c>
      <c r="M9" s="19">
        <f t="shared" si="1"/>
        <v>0.1407265074572239</v>
      </c>
      <c r="N9" s="350"/>
      <c r="O9" s="19">
        <f t="shared" si="2"/>
        <v>9.2717584369449435E-2</v>
      </c>
      <c r="P9" s="36" cm="1">
        <f t="array" ref="P9">_xll.BDP($B9&amp;" Equity","bid")</f>
        <v>15</v>
      </c>
      <c r="Q9" s="36" cm="1">
        <f t="array" ref="Q9">_xll.BDP($B9&amp;" Equity","ask")</f>
        <v>15.75</v>
      </c>
      <c r="R9" s="40">
        <f t="shared" si="3"/>
        <v>5.0000000000000044E-2</v>
      </c>
      <c r="S9" s="36" cm="1">
        <f t="array" ref="S9">_xll.BDP(G9&amp;" Curncy","PX_LAST")</f>
        <v>1</v>
      </c>
      <c r="T9" s="15" cm="1">
        <f t="array" ref="T9">_xll.BDP(B9&amp;" Equity","OPT_MULTIPLIER")</f>
        <v>100</v>
      </c>
      <c r="U9" s="15">
        <f t="shared" si="4"/>
        <v>-1691800</v>
      </c>
      <c r="V9" s="124">
        <f>U9/'Master P&amp;L'!$AD$7*10000</f>
        <v>-7.0604513095064281</v>
      </c>
      <c r="W9" s="124">
        <f>(Y9*H9*T9/S9)/'Master P&amp;L'!$AD$7*10000</f>
        <v>-7.0604513095064281</v>
      </c>
      <c r="X9" s="413">
        <f t="shared" si="5"/>
        <v>0</v>
      </c>
      <c r="Y9" s="273">
        <f t="shared" si="6"/>
        <v>15.38</v>
      </c>
      <c r="Z9" s="37">
        <f>_xll.BDP(D9&amp;" Equity","LAST_PRICE")</f>
        <v>109.29</v>
      </c>
      <c r="AA9" s="37" cm="1">
        <f t="array" ref="AA9">_xll.BDP(B9&amp;" Equity","OPT_STRIKE_PX")</f>
        <v>115</v>
      </c>
      <c r="AB9" s="40">
        <f t="shared" si="7"/>
        <v>5.2246317137889964E-2</v>
      </c>
      <c r="AC9" s="324" cm="1">
        <f t="array" ref="AC9">_xll.BDP($D9&amp;" Equity","volatility_10d")</f>
        <v>34.133562800996621</v>
      </c>
      <c r="AD9" s="37" cm="1">
        <f t="array" ref="AD9">_xll.BDP(B9&amp;" Equity","ivol_mid")</f>
        <v>46.208570000000002</v>
      </c>
      <c r="AE9" s="37">
        <f t="shared" si="8"/>
        <v>1.3537575983322438</v>
      </c>
      <c r="AF9" s="38" cm="1">
        <f t="array" ref="AF9">_xll.BDP(B9&amp;" Equity","DELTA_MID_RT")</f>
        <v>0.547535240650177</v>
      </c>
      <c r="AG9" s="19">
        <f>AL9/'Master P&amp;L'!$AE$7</f>
        <v>-2.7470630634562902E-3</v>
      </c>
      <c r="AH9" s="19">
        <f>AM9/'Master P&amp;L'!$AE$7</f>
        <v>-5.0171438466577213E-3</v>
      </c>
      <c r="AI9" s="434">
        <f>AO9/'Master P&amp;L'!$AD$7*10000</f>
        <v>1.5088604739457456E-2</v>
      </c>
      <c r="AJ9" s="350">
        <f t="shared" si="9"/>
        <v>-0.14586810324229801</v>
      </c>
      <c r="AK9" s="38">
        <f>AP9/'Master P&amp;L'!$AD$7*10000</f>
        <v>-0.59908250708100763</v>
      </c>
      <c r="AL9" s="15">
        <f t="shared" si="10"/>
        <v>-6582413.9095723629</v>
      </c>
      <c r="AM9" s="15">
        <f t="shared" si="11"/>
        <v>-12021900</v>
      </c>
      <c r="AN9" s="38" cm="1">
        <f t="array" ref="AN9">_xll.BDP($B9&amp;" Equity","theta_mid_rt")</f>
        <v>-3.2867975533008575E-2</v>
      </c>
      <c r="AO9" s="15">
        <f t="shared" si="12"/>
        <v>3615.4773086309433</v>
      </c>
      <c r="AP9" s="15">
        <f t="shared" si="13"/>
        <v>-143550.00000000015</v>
      </c>
      <c r="AQ9" s="36" t="str" cm="1">
        <f t="array" ref="AQ9">_xll.BDP($D9&amp;" Equity","EXPECTED_REPORT_DT")</f>
        <v>#N/A N/A</v>
      </c>
      <c r="AR9" s="66" cm="1">
        <f t="array" ref="AR9">_xll.BDP($B9&amp;" Equity","GAMMA_LAST")</f>
        <v>1.0292000000000001E-2</v>
      </c>
      <c r="AS9">
        <f t="shared" si="14"/>
        <v>-135223.85557692003</v>
      </c>
      <c r="AT9">
        <f t="shared" si="15"/>
        <v>-676119.27788460022</v>
      </c>
      <c r="AU9" t="s">
        <v>151</v>
      </c>
      <c r="AV9" s="277" t="e" cm="1">
        <f t="array" ref="AV9">_xll.BDP($D9&amp;" Equity","EST_PE_NXT_YR")*(AA9/Z9)</f>
        <v>#VALUE!</v>
      </c>
      <c r="AW9"/>
      <c r="AX9" s="15"/>
      <c r="AY9" s="15">
        <v>15.38</v>
      </c>
      <c r="AZ9" s="355"/>
      <c r="BA9" s="15">
        <f t="shared" si="16"/>
        <v>15.38</v>
      </c>
      <c r="BB9" s="414">
        <f t="shared" si="17"/>
        <v>14.074999999999999</v>
      </c>
      <c r="BC9" s="414">
        <f t="shared" si="18"/>
        <v>143550.00000000015</v>
      </c>
      <c r="BD9" s="414">
        <f>BC9/'Master P&amp;L'!$AD$7*10000</f>
        <v>0.59908250708100763</v>
      </c>
    </row>
    <row r="10" spans="1:56">
      <c r="A10" s="335"/>
      <c r="B10" s="73" t="s">
        <v>2304</v>
      </c>
      <c r="C10" s="73" t="str" cm="1">
        <f t="array" ref="C10">_xll.BDP($B10&amp;" Equity","opt_put_call")</f>
        <v>Call</v>
      </c>
      <c r="D10" s="73" t="str" cm="1">
        <f t="array" ref="D10">_xll.BDP(B10&amp;" Equity","OPT_UNDL_TICKER")</f>
        <v>LITE US</v>
      </c>
      <c r="E10" s="73" t="str" cm="1">
        <f t="array" ref="E10">_xll.BDP($B10&amp;" Equity","mifid_Maturity_date")</f>
        <v>20/03/2026</v>
      </c>
      <c r="F10" s="73" cm="1">
        <f t="array" ref="F10">_xll.BDP($B10&amp;" Equity","opt_days_expire")</f>
        <v>52</v>
      </c>
      <c r="G10" s="73" t="str" cm="1">
        <f t="array" ref="G10">_xll.BDP(B10&amp;" Equity","QUOTED_CURRENCY_REALTIME")</f>
        <v>USD</v>
      </c>
      <c r="H10" s="42">
        <v>60</v>
      </c>
      <c r="I10" s="409">
        <v>39.83</v>
      </c>
      <c r="J10" s="14">
        <f>VLOOKUP(B10,Precificação!$B:$O,14,FALSE)</f>
        <v>26.15</v>
      </c>
      <c r="K10" s="14">
        <f t="shared" si="19"/>
        <v>26.15</v>
      </c>
      <c r="L10" s="74" cm="1">
        <f t="array" ref="L10">_xll.BDP($B10&amp;" Equity","mid")</f>
        <v>41.9</v>
      </c>
      <c r="M10" s="75">
        <f t="shared" si="1"/>
        <v>0.11304160146765228</v>
      </c>
      <c r="N10" s="352"/>
      <c r="O10" s="75">
        <f t="shared" si="2"/>
        <v>0.60229445506692159</v>
      </c>
      <c r="P10" s="74" cm="1">
        <f t="array" ref="P10">_xll.BDP($B10&amp;" Equity","bid")</f>
        <v>40.4</v>
      </c>
      <c r="Q10" s="74" cm="1">
        <f t="array" ref="Q10">_xll.BDP($B10&amp;" Equity","ask")</f>
        <v>43.4</v>
      </c>
      <c r="R10" s="76">
        <f t="shared" si="3"/>
        <v>7.4257425742574323E-2</v>
      </c>
      <c r="S10" s="36" cm="1">
        <f t="array" ref="S10">_xll.BDP(G10&amp;" Curncy","PX_LAST")</f>
        <v>1</v>
      </c>
      <c r="T10" s="42" cm="1">
        <f t="array" ref="T10">_xll.BDP(B10&amp;" Equity","OPT_MULTIPLIER")</f>
        <v>100</v>
      </c>
      <c r="U10" s="42">
        <f t="shared" si="4"/>
        <v>251400</v>
      </c>
      <c r="V10" s="113">
        <f>U10/'Master P&amp;L'!$AD$7*10000</f>
        <v>1.0491768880540939</v>
      </c>
      <c r="W10" s="113">
        <f>(Y10*H10*T10/S10)/'Master P&amp;L'!$AD$7*10000</f>
        <v>1.0491768880540939</v>
      </c>
      <c r="X10" s="118">
        <f t="shared" si="5"/>
        <v>0</v>
      </c>
      <c r="Y10" s="272">
        <f t="shared" si="6"/>
        <v>41.9</v>
      </c>
      <c r="Z10" s="77">
        <f>_xll.BDP(D10&amp;" Equity","LAST_PRICE")</f>
        <v>370.66</v>
      </c>
      <c r="AA10" s="77" cm="1">
        <f t="array" ref="AA10">_xll.BDP(B10&amp;" Equity","OPT_STRIKE_PX")</f>
        <v>420</v>
      </c>
      <c r="AB10" s="76">
        <f t="shared" si="7"/>
        <v>0.13311390492634745</v>
      </c>
      <c r="AC10" s="323" cm="1">
        <f t="array" ref="AC10">_xll.BDP($D10&amp;" Equity","volatility_10d")</f>
        <v>105.40104596438695</v>
      </c>
      <c r="AD10" s="77" cm="1">
        <f t="array" ref="AD10">_xll.BDP(B10&amp;" Equity","ivol_mid")</f>
        <v>105.24379999999999</v>
      </c>
      <c r="AE10" s="77">
        <f t="shared" si="8"/>
        <v>0.99850811760976177</v>
      </c>
      <c r="AF10" s="78" cm="1">
        <f t="array" ref="AF10">_xll.BDP(B10&amp;" Equity","DELTA_MID_RT")</f>
        <v>0.4608648419380188</v>
      </c>
      <c r="AG10" s="75">
        <f>AL10/'Master P&amp;L'!$AE$7</f>
        <v>4.2774406448623951E-4</v>
      </c>
      <c r="AH10" s="75">
        <f>AM10/'Master P&amp;L'!$AE$7</f>
        <v>9.2813342559935669E-4</v>
      </c>
      <c r="AI10" s="435">
        <f>AO10/'Master P&amp;L'!$AD$7*10000</f>
        <v>-1.3715723751381572E-2</v>
      </c>
      <c r="AJ10" s="350">
        <f t="shared" si="9"/>
        <v>0.1325958657381667</v>
      </c>
      <c r="AK10" s="78">
        <f>AP10/'Master P&amp;L'!$AD$7*10000</f>
        <v>0.39438033381508303</v>
      </c>
      <c r="AL10" s="42">
        <f t="shared" si="10"/>
        <v>1024944.9738764764</v>
      </c>
      <c r="AM10" s="42">
        <f t="shared" si="11"/>
        <v>2223960</v>
      </c>
      <c r="AN10" s="78" cm="1">
        <f t="array" ref="AN10">_xll.BDP($B10&amp;" Equity","theta_mid_rt")</f>
        <v>-0.54775208234786987</v>
      </c>
      <c r="AO10" s="42">
        <f t="shared" si="12"/>
        <v>-3286.5124940872192</v>
      </c>
      <c r="AP10" s="42">
        <f t="shared" si="13"/>
        <v>94500</v>
      </c>
      <c r="AQ10" s="74" t="str" cm="1">
        <f t="array" ref="AQ10">_xll.BDP($D10&amp;" Equity","EXPECTED_REPORT_DT")</f>
        <v>03/02/2026</v>
      </c>
      <c r="AR10" s="235" cm="1">
        <f t="array" ref="AR10">_xll.BDP($B10&amp;" Equity","GAMMA_LAST")</f>
        <v>9.8219999999999991E-3</v>
      </c>
      <c r="AS10" s="73">
        <f t="shared" si="14"/>
        <v>80965.988595792005</v>
      </c>
      <c r="AT10" s="73">
        <f t="shared" si="15"/>
        <v>404829.94297896</v>
      </c>
      <c r="AU10" s="73" t="s">
        <v>151</v>
      </c>
      <c r="AV10" s="322" cm="1">
        <f t="array" ref="AV10">_xll.BDP($D10&amp;" Equity","EST_PE_NXT_YR")*(AA10/Z10)</f>
        <v>45.355360729049501</v>
      </c>
      <c r="AW10" s="73"/>
      <c r="AX10" s="42"/>
      <c r="AY10" s="42">
        <v>41.85</v>
      </c>
      <c r="AZ10" s="354"/>
      <c r="BA10" s="42">
        <f t="shared" si="16"/>
        <v>41.85</v>
      </c>
      <c r="BB10" s="346">
        <f t="shared" si="17"/>
        <v>26.15</v>
      </c>
      <c r="BC10" s="346">
        <f t="shared" si="18"/>
        <v>-94200.000000000029</v>
      </c>
      <c r="BD10" s="346">
        <f>BC10/'Master P&amp;L'!$AD$7*10000</f>
        <v>-0.39312833275535275</v>
      </c>
    </row>
    <row r="11" spans="1:56" s="59" customFormat="1">
      <c r="A11" s="356"/>
      <c r="B11" t="s">
        <v>2068</v>
      </c>
      <c r="C11" t="str" cm="1">
        <f t="array" ref="C11">_xll.BDP($B11&amp;" Equity","opt_put_call")</f>
        <v>Call</v>
      </c>
      <c r="D11" t="str" cm="1">
        <f t="array" ref="D11">_xll.BDP(B11&amp;" Equity","OPT_UNDL_TICKER")</f>
        <v>META US</v>
      </c>
      <c r="E11" t="str" cm="1">
        <f t="array" ref="E11">_xll.BDP($B11&amp;" Equity","mifid_Maturity_date")</f>
        <v>17/04/2026</v>
      </c>
      <c r="F11" cm="1">
        <f t="array" ref="F11">_xll.BDP($B11&amp;" Equity","opt_days_expire")</f>
        <v>80</v>
      </c>
      <c r="G11" t="str" cm="1">
        <f t="array" ref="G11">_xll.BDP(B11&amp;" Equity","QUOTED_CURRENCY_REALTIME")</f>
        <v>USD</v>
      </c>
      <c r="H11" s="15">
        <v>60</v>
      </c>
      <c r="I11" s="410">
        <v>43.12</v>
      </c>
      <c r="J11" s="14">
        <f>VLOOKUP(B11,Precificação!$B:$O,14,FALSE)</f>
        <v>41.174999999999997</v>
      </c>
      <c r="K11" s="14">
        <f t="shared" si="19"/>
        <v>41.174999999999997</v>
      </c>
      <c r="L11" s="74" cm="1">
        <f t="array" ref="L11">_xll.BDP($B11&amp;" Equity","mid")</f>
        <v>40.799999999999997</v>
      </c>
      <c r="M11" s="19">
        <f t="shared" si="1"/>
        <v>6.0626773853217818E-2</v>
      </c>
      <c r="N11" s="350"/>
      <c r="O11" s="19">
        <f t="shared" si="2"/>
        <v>-9.1074681238615396E-3</v>
      </c>
      <c r="P11" s="36" cm="1">
        <f t="array" ref="P11">_xll.BDP($B11&amp;" Equity","bid")</f>
        <v>40.700000000000003</v>
      </c>
      <c r="Q11" s="36" cm="1">
        <f t="array" ref="Q11">_xll.BDP($B11&amp;" Equity","ask")</f>
        <v>40.9</v>
      </c>
      <c r="R11" s="40">
        <f t="shared" si="3"/>
        <v>4.9140049140048436E-3</v>
      </c>
      <c r="S11" s="36" cm="1">
        <f t="array" ref="S11">_xll.BDP(G11&amp;" Curncy","PX_LAST")</f>
        <v>1</v>
      </c>
      <c r="T11" s="15" cm="1">
        <f t="array" ref="T11">_xll.BDP(B11&amp;" Equity","OPT_MULTIPLIER")</f>
        <v>100</v>
      </c>
      <c r="U11" s="15">
        <f t="shared" si="4"/>
        <v>244800</v>
      </c>
      <c r="V11" s="124">
        <f>U11/'Master P&amp;L'!$AD$7*10000</f>
        <v>1.0216328647400246</v>
      </c>
      <c r="W11" s="124">
        <f>(Y11*H11*T11/S11)/'Master P&amp;L'!$AD$7*10000</f>
        <v>1.0216328647400246</v>
      </c>
      <c r="X11" s="413">
        <f t="shared" si="5"/>
        <v>0</v>
      </c>
      <c r="Y11" s="273">
        <f t="shared" si="6"/>
        <v>40.799999999999997</v>
      </c>
      <c r="Z11" s="37">
        <f>_xll.BDP(D11&amp;" Equity","LAST_PRICE")</f>
        <v>672.97</v>
      </c>
      <c r="AA11" s="37" cm="1">
        <f t="array" ref="AA11">_xll.BDP(B11&amp;" Equity","OPT_STRIKE_PX")</f>
        <v>690</v>
      </c>
      <c r="AB11" s="40">
        <f t="shared" si="7"/>
        <v>2.5305734282360159E-2</v>
      </c>
      <c r="AC11" s="324" cm="1">
        <f t="array" ref="AC11">_xll.BDP($D11&amp;" Equity","volatility_10d")</f>
        <v>39.762125927633129</v>
      </c>
      <c r="AD11" s="37" cm="1">
        <f t="array" ref="AD11">_xll.BDP(B11&amp;" Equity","ivol_mid")</f>
        <v>36.415280000000003</v>
      </c>
      <c r="AE11" s="37">
        <f t="shared" si="8"/>
        <v>0.91582829515392694</v>
      </c>
      <c r="AF11" s="38" cm="1">
        <f t="array" ref="AF11">_xll.BDP(B11&amp;" Equity","DELTA_MID_RT")</f>
        <v>0.49484530091285706</v>
      </c>
      <c r="AG11" s="19">
        <f>AL11/'Master P&amp;L'!$AE$7</f>
        <v>8.3387287537139683E-4</v>
      </c>
      <c r="AH11" s="19">
        <f>AM11/'Master P&amp;L'!$AE$7</f>
        <v>1.6851183063335648E-3</v>
      </c>
      <c r="AI11" s="434">
        <f>AO11/'Master P&amp;L'!$AD$7*10000</f>
        <v>-6.9920407516996363E-3</v>
      </c>
      <c r="AJ11" s="350">
        <f t="shared" si="9"/>
        <v>6.7595098410666632E-2</v>
      </c>
      <c r="AK11" s="38">
        <f>AP11/'Master P&amp;L'!$AD$7*10000</f>
        <v>-9.390007947978167E-3</v>
      </c>
      <c r="AL11" s="15">
        <f t="shared" si="10"/>
        <v>1998096.2529319525</v>
      </c>
      <c r="AM11" s="15">
        <f t="shared" si="11"/>
        <v>4037820.0000000005</v>
      </c>
      <c r="AN11" s="38" cm="1">
        <f t="array" ref="AN11">_xll.BDP($B11&amp;" Equity","theta_mid_rt")</f>
        <v>-0.2792346179485321</v>
      </c>
      <c r="AO11" s="15">
        <f t="shared" si="12"/>
        <v>-1675.4077076911926</v>
      </c>
      <c r="AP11" s="15">
        <f t="shared" si="13"/>
        <v>-2250</v>
      </c>
      <c r="AQ11" s="36" t="str" cm="1">
        <f t="array" ref="AQ11">_xll.BDP($D11&amp;" Equity","EXPECTED_REPORT_DT")</f>
        <v>28/01/2026</v>
      </c>
      <c r="AR11" s="66" cm="1">
        <f t="array" ref="AR11">_xll.BDP($B11&amp;" Equity","GAMMA_LAST")</f>
        <v>2.3223000000000001E-2</v>
      </c>
      <c r="AS11">
        <f t="shared" si="14"/>
        <v>631045.9465896422</v>
      </c>
      <c r="AT11">
        <f t="shared" si="15"/>
        <v>3155229.7329482101</v>
      </c>
      <c r="AU11" t="s">
        <v>151</v>
      </c>
      <c r="AV11" s="277" cm="1">
        <f t="array" ref="AV11">_xll.BDP($D11&amp;" Equity","EST_PE_NXT_YR")*(AA11/Z11)</f>
        <v>20.557122648607876</v>
      </c>
      <c r="AW11"/>
      <c r="AX11" s="15"/>
      <c r="AY11" s="15">
        <v>40.75</v>
      </c>
      <c r="AZ11" s="355"/>
      <c r="BA11" s="15">
        <f t="shared" si="16"/>
        <v>40.75</v>
      </c>
      <c r="BB11" s="414">
        <f t="shared" si="17"/>
        <v>41.174999999999997</v>
      </c>
      <c r="BC11" s="414">
        <f t="shared" si="18"/>
        <v>2549.9999999999827</v>
      </c>
      <c r="BD11" s="414">
        <f>BC11/'Master P&amp;L'!$AD$7*10000</f>
        <v>1.0642009007708519E-2</v>
      </c>
    </row>
    <row r="12" spans="1:56">
      <c r="A12" s="335"/>
      <c r="B12" s="73" t="s">
        <v>2307</v>
      </c>
      <c r="C12" s="73" t="str" cm="1">
        <f t="array" ref="C12">_xll.BDP($B12&amp;" Equity","opt_put_call")</f>
        <v>Call</v>
      </c>
      <c r="D12" s="73" t="str" cm="1">
        <f t="array" ref="D12">_xll.BDP(B12&amp;" Equity","OPT_UNDL_TICKER")</f>
        <v>META US</v>
      </c>
      <c r="E12" s="73" t="str" cm="1">
        <f t="array" ref="E12">_xll.BDP($B12&amp;" Equity","mifid_Maturity_date")</f>
        <v>17/07/2026</v>
      </c>
      <c r="F12" s="73" cm="1">
        <f t="array" ref="F12">_xll.BDP($B12&amp;" Equity","opt_days_expire")</f>
        <v>171</v>
      </c>
      <c r="G12" s="73" t="str" cm="1">
        <f t="array" ref="G12">_xll.BDP(B12&amp;" Equity","QUOTED_CURRENCY_REALTIME")</f>
        <v>USD</v>
      </c>
      <c r="H12" s="42">
        <v>75</v>
      </c>
      <c r="I12" s="409">
        <v>54.96</v>
      </c>
      <c r="J12" s="14">
        <f>VLOOKUP(B12,Precificação!$B:$O,14,FALSE)</f>
        <v>75.400000000000006</v>
      </c>
      <c r="K12" s="14">
        <f t="shared" si="19"/>
        <v>75.400000000000006</v>
      </c>
      <c r="L12" s="74" cm="1">
        <f t="array" ref="L12">_xll.BDP($B12&amp;" Equity","mid")</f>
        <v>74.63</v>
      </c>
      <c r="M12" s="75">
        <f t="shared" si="1"/>
        <v>0.11089647383984426</v>
      </c>
      <c r="N12" s="352"/>
      <c r="O12" s="75">
        <f t="shared" si="2"/>
        <v>-1.0212201591512038E-2</v>
      </c>
      <c r="P12" s="74" cm="1">
        <f t="array" ref="P12">_xll.BDP($B12&amp;" Equity","bid")</f>
        <v>74.400000000000006</v>
      </c>
      <c r="Q12" s="74" cm="1">
        <f t="array" ref="Q12">_xll.BDP($B12&amp;" Equity","ask")</f>
        <v>74.849999999999994</v>
      </c>
      <c r="R12" s="76">
        <f t="shared" si="3"/>
        <v>6.0483870967740216E-3</v>
      </c>
      <c r="S12" s="36" cm="1">
        <f t="array" ref="S12">_xll.BDP(G12&amp;" Curncy","PX_LAST")</f>
        <v>1</v>
      </c>
      <c r="T12" s="42" cm="1">
        <f t="array" ref="T12">_xll.BDP(B12&amp;" Equity","OPT_MULTIPLIER")</f>
        <v>100</v>
      </c>
      <c r="U12" s="42">
        <f t="shared" si="4"/>
        <v>559725</v>
      </c>
      <c r="V12" s="113">
        <f>U12/'Master P&amp;L'!$AD$7*10000</f>
        <v>2.3359209771920355</v>
      </c>
      <c r="W12" s="113">
        <f>(Y12*H12*T12/S12)/'Master P&amp;L'!$AD$7*10000</f>
        <v>2.2429598985070509</v>
      </c>
      <c r="X12" s="118">
        <f t="shared" si="5"/>
        <v>2.9700000000000273</v>
      </c>
      <c r="Y12" s="272">
        <f t="shared" si="6"/>
        <v>71.659999999999968</v>
      </c>
      <c r="Z12" s="77">
        <f>_xll.BDP(D12&amp;" Equity","LAST_PRICE")</f>
        <v>672.97</v>
      </c>
      <c r="AA12" s="77" cm="1">
        <f t="array" ref="AA12">_xll.BDP(B12&amp;" Equity","OPT_STRIKE_PX")</f>
        <v>670</v>
      </c>
      <c r="AB12" s="76">
        <f t="shared" si="7"/>
        <v>-4.4132725084328195E-3</v>
      </c>
      <c r="AC12" s="323" cm="1">
        <f t="array" ref="AC12">_xll.BDP($D12&amp;" Equity","volatility_10d")</f>
        <v>39.762125927633129</v>
      </c>
      <c r="AD12" s="77" cm="1">
        <f t="array" ref="AD12">_xll.BDP(B12&amp;" Equity","ivol_mid")</f>
        <v>37.133490000000002</v>
      </c>
      <c r="AE12" s="77">
        <f t="shared" si="8"/>
        <v>0.9338909611518954</v>
      </c>
      <c r="AF12" s="78" cm="1">
        <f t="array" ref="AF12">_xll.BDP(B12&amp;" Equity","DELTA_MID_RT")</f>
        <v>0.58359217643737793</v>
      </c>
      <c r="AG12" s="75">
        <f>AL12/'Master P&amp;L'!$AE$7</f>
        <v>1.2292773249345916E-3</v>
      </c>
      <c r="AH12" s="75">
        <f>AM12/'Master P&amp;L'!$AE$7</f>
        <v>2.1063978829169556E-3</v>
      </c>
      <c r="AI12" s="435">
        <f>AO12/'Master P&amp;L'!$AD$7*10000</f>
        <v>-5.8738346032933047E-3</v>
      </c>
      <c r="AJ12" s="350">
        <f t="shared" si="9"/>
        <v>5.6784913326066666E-2</v>
      </c>
      <c r="AK12" s="78">
        <f>AP12/'Master P&amp;L'!$AD$7*10000</f>
        <v>-2.4101020399810949E-2</v>
      </c>
      <c r="AL12" s="42">
        <f t="shared" si="10"/>
        <v>2945550.2023279672</v>
      </c>
      <c r="AM12" s="42">
        <f t="shared" si="11"/>
        <v>5047275</v>
      </c>
      <c r="AN12" s="78" cm="1">
        <f t="array" ref="AN12">_xll.BDP($B12&amp;" Equity","theta_mid_rt")</f>
        <v>-0.18766228854656219</v>
      </c>
      <c r="AO12" s="42">
        <f t="shared" si="12"/>
        <v>-1407.4671640992165</v>
      </c>
      <c r="AP12" s="42">
        <f t="shared" si="13"/>
        <v>-5775.0000000000764</v>
      </c>
      <c r="AQ12" s="74" t="str" cm="1">
        <f t="array" ref="AQ12">_xll.BDP($D12&amp;" Equity","EXPECTED_REPORT_DT")</f>
        <v>28/01/2026</v>
      </c>
      <c r="AR12" s="235" cm="1">
        <f t="array" ref="AR12">_xll.BDP($B12&amp;" Equity","GAMMA_LAST")</f>
        <v>1.5335E-2</v>
      </c>
      <c r="AS12" s="73">
        <f t="shared" si="14"/>
        <v>520878.52511261252</v>
      </c>
      <c r="AT12" s="73">
        <f t="shared" si="15"/>
        <v>2604392.6255630627</v>
      </c>
      <c r="AU12" s="73" t="s">
        <v>151</v>
      </c>
      <c r="AV12" s="322" cm="1">
        <f t="array" ref="AV12">_xll.BDP($D12&amp;" Equity","EST_PE_NXT_YR")*(AA12/Z12)</f>
        <v>19.961264021111997</v>
      </c>
      <c r="AW12" s="73"/>
      <c r="AX12" s="42"/>
      <c r="AY12" s="42">
        <v>74.58</v>
      </c>
      <c r="AZ12" s="354"/>
      <c r="BA12" s="42">
        <f t="shared" si="16"/>
        <v>74.58</v>
      </c>
      <c r="BB12" s="346">
        <f t="shared" si="17"/>
        <v>75.400000000000006</v>
      </c>
      <c r="BC12" s="346">
        <f t="shared" si="18"/>
        <v>6150.0000000000555</v>
      </c>
      <c r="BD12" s="346">
        <f>BC12/'Master P&amp;L'!$AD$7*10000</f>
        <v>2.5666021724473888E-2</v>
      </c>
    </row>
    <row r="13" spans="1:56" s="59" customFormat="1">
      <c r="A13" s="356"/>
      <c r="B13" t="s">
        <v>2097</v>
      </c>
      <c r="C13" t="str" cm="1">
        <f t="array" ref="C13">_xll.BDP($B13&amp;" Equity","opt_put_call")</f>
        <v>Put</v>
      </c>
      <c r="D13" t="str" cm="1">
        <f t="array" ref="D13">_xll.BDP(B13&amp;" Equity","OPT_UNDL_TICKER")</f>
        <v>MRVL US</v>
      </c>
      <c r="E13" t="str" cm="1">
        <f t="array" ref="E13">_xll.BDP($B13&amp;" Equity","mifid_Maturity_date")</f>
        <v>20/03/2026</v>
      </c>
      <c r="F13" cm="1">
        <f t="array" ref="F13">_xll.BDP($B13&amp;" Equity","opt_days_expire")</f>
        <v>52</v>
      </c>
      <c r="G13" t="str" cm="1">
        <f t="array" ref="G13">_xll.BDP(B13&amp;" Equity","QUOTED_CURRENCY_REALTIME")</f>
        <v>USD</v>
      </c>
      <c r="H13" s="15">
        <v>200</v>
      </c>
      <c r="I13" s="410">
        <v>9.1999999999999993</v>
      </c>
      <c r="J13" s="14">
        <f>VLOOKUP(B13,Precificação!$B:$O,14,FALSE)</f>
        <v>8.9499999999999993</v>
      </c>
      <c r="K13" s="14">
        <f t="shared" si="19"/>
        <v>8.9499999999999993</v>
      </c>
      <c r="L13" s="74" cm="1">
        <f t="array" ref="L13">_xll.BDP($B13&amp;" Equity","mid")</f>
        <v>8.6300000000000008</v>
      </c>
      <c r="M13" s="19">
        <f t="shared" si="1"/>
        <v>0.10406366815386471</v>
      </c>
      <c r="N13" s="350"/>
      <c r="O13" s="19">
        <f t="shared" si="2"/>
        <v>-3.5754189944133929E-2</v>
      </c>
      <c r="P13" s="36" cm="1">
        <f t="array" ref="P13">_xll.BDP($B13&amp;" Equity","bid")</f>
        <v>8.5</v>
      </c>
      <c r="Q13" s="36" cm="1">
        <f t="array" ref="Q13">_xll.BDP($B13&amp;" Equity","ask")</f>
        <v>8.75</v>
      </c>
      <c r="R13" s="40">
        <f t="shared" si="3"/>
        <v>2.9411764705882248E-2</v>
      </c>
      <c r="S13" s="36" cm="1">
        <f t="array" ref="S13">_xll.BDP(G13&amp;" Curncy","PX_LAST")</f>
        <v>1</v>
      </c>
      <c r="T13" s="15" cm="1">
        <f t="array" ref="T13">_xll.BDP(B13&amp;" Equity","OPT_MULTIPLIER")</f>
        <v>100</v>
      </c>
      <c r="U13" s="15">
        <f t="shared" si="4"/>
        <v>172600.00000000003</v>
      </c>
      <c r="V13" s="124">
        <f>U13/'Master P&amp;L'!$AD$7*10000</f>
        <v>0.72031794303156982</v>
      </c>
      <c r="W13" s="124">
        <f>(Y13*H13*T13/S13)/'Master P&amp;L'!$AD$7*10000</f>
        <v>0.54754179678877191</v>
      </c>
      <c r="X13" s="413">
        <f t="shared" si="5"/>
        <v>2.0699999999999932</v>
      </c>
      <c r="Y13" s="273">
        <f t="shared" si="6"/>
        <v>6.5600000000000076</v>
      </c>
      <c r="Z13" s="37">
        <f>_xll.BDP(D13&amp;" Equity","LAST_PRICE")</f>
        <v>82.93</v>
      </c>
      <c r="AA13" s="37" cm="1">
        <f t="array" ref="AA13">_xll.BDP(B13&amp;" Equity","OPT_STRIKE_PX")</f>
        <v>85</v>
      </c>
      <c r="AB13" s="40">
        <f t="shared" si="7"/>
        <v>2.4960810321958293E-2</v>
      </c>
      <c r="AC13" s="324" cm="1">
        <f t="array" ref="AC13">_xll.BDP($D13&amp;" Equity","volatility_10d")</f>
        <v>34.296686632662073</v>
      </c>
      <c r="AD13" s="37" cm="1">
        <f t="array" ref="AD13">_xll.BDP(B13&amp;" Equity","ivol_mid")</f>
        <v>60.185389999999998</v>
      </c>
      <c r="AE13" s="37">
        <f t="shared" si="8"/>
        <v>1.7548456107326444</v>
      </c>
      <c r="AF13" s="38" cm="1">
        <f t="array" ref="AF13">_xll.BDP(B13&amp;" Equity","DELTA_MID_RT")</f>
        <v>-0.48901918530464172</v>
      </c>
      <c r="AG13" s="19">
        <f>AL13/'Master P&amp;L'!$AE$7</f>
        <v>-3.3849401996938135E-4</v>
      </c>
      <c r="AH13" s="19">
        <f>AM13/'Master P&amp;L'!$AE$7</f>
        <v>-6.9218965255629281E-4</v>
      </c>
      <c r="AI13" s="434">
        <f>AO13/'Master P&amp;L'!$AD$7*10000</f>
        <v>-6.0137278635886623E-3</v>
      </c>
      <c r="AJ13" s="350">
        <f t="shared" si="9"/>
        <v>5.8137322305427251E-2</v>
      </c>
      <c r="AK13" s="38">
        <f>AP13/'Master P&amp;L'!$AD$7*10000</f>
        <v>-2.6709355940915551E-2</v>
      </c>
      <c r="AL13" s="15">
        <f t="shared" si="10"/>
        <v>-811087.22074627876</v>
      </c>
      <c r="AM13" s="15">
        <f t="shared" si="11"/>
        <v>-1658600</v>
      </c>
      <c r="AN13" s="38" cm="1">
        <f t="array" ref="AN13">_xll.BDP($B13&amp;" Equity","theta_mid_rt")</f>
        <v>-7.2049394249916077E-2</v>
      </c>
      <c r="AO13" s="15">
        <f t="shared" si="12"/>
        <v>-1440.9878849983215</v>
      </c>
      <c r="AP13" s="15">
        <f t="shared" si="13"/>
        <v>-6399.99999999997</v>
      </c>
      <c r="AQ13" s="36" t="str" cm="1">
        <f t="array" ref="AQ13">_xll.BDP($D13&amp;" Equity","EXPECTED_REPORT_DT")</f>
        <v>05/03/2026</v>
      </c>
      <c r="AR13" s="66" cm="1">
        <f t="array" ref="AR13">_xll.BDP($B13&amp;" Equity","GAMMA_LAST")</f>
        <v>1.7600000000000001E-2</v>
      </c>
      <c r="AS13">
        <f t="shared" si="14"/>
        <v>24208.394848000007</v>
      </c>
      <c r="AT13">
        <f t="shared" si="15"/>
        <v>121041.97424000001</v>
      </c>
      <c r="AU13" t="s">
        <v>151</v>
      </c>
      <c r="AV13" s="277" cm="1">
        <f t="array" ref="AV13">_xll.BDP($D13&amp;" Equity","EST_PE_NXT_YR")*(AA13/Z13)</f>
        <v>23.709368297919074</v>
      </c>
      <c r="AW13"/>
      <c r="AX13" s="15"/>
      <c r="AY13" s="15">
        <v>8.6300000000000008</v>
      </c>
      <c r="AZ13" s="355"/>
      <c r="BA13" s="15">
        <f t="shared" si="16"/>
        <v>8.6300000000000008</v>
      </c>
      <c r="BB13" s="414">
        <f t="shared" si="17"/>
        <v>8.9499999999999993</v>
      </c>
      <c r="BC13" s="414">
        <f t="shared" si="18"/>
        <v>6399.99999999997</v>
      </c>
      <c r="BD13" s="414">
        <f>BC13/'Master P&amp;L'!$AD$7*10000</f>
        <v>2.6709355940915551E-2</v>
      </c>
    </row>
    <row r="14" spans="1:56">
      <c r="A14" s="335"/>
      <c r="B14" s="73" t="s">
        <v>2098</v>
      </c>
      <c r="C14" s="73" t="str" cm="1">
        <f t="array" ref="C14">_xll.BDP($B14&amp;" Equity","opt_put_call")</f>
        <v>Put</v>
      </c>
      <c r="D14" s="73" t="str" cm="1">
        <f t="array" ref="D14">_xll.BDP(B14&amp;" Equity","OPT_UNDL_TICKER")</f>
        <v>MRVL US</v>
      </c>
      <c r="E14" s="73" t="str" cm="1">
        <f t="array" ref="E14">_xll.BDP($B14&amp;" Equity","mifid_Maturity_date")</f>
        <v>20/03/2026</v>
      </c>
      <c r="F14" s="73" cm="1">
        <f t="array" ref="F14">_xll.BDP($B14&amp;" Equity","opt_days_expire")</f>
        <v>52</v>
      </c>
      <c r="G14" s="73" t="str" cm="1">
        <f t="array" ref="G14">_xll.BDP(B14&amp;" Equity","QUOTED_CURRENCY_REALTIME")</f>
        <v>USD</v>
      </c>
      <c r="H14" s="42">
        <v>-200</v>
      </c>
      <c r="I14" s="409">
        <v>4.5999999999999996</v>
      </c>
      <c r="J14" s="14">
        <f>VLOOKUP(B14,Precificação!$B:$O,14,FALSE)</f>
        <v>4.0750000000000002</v>
      </c>
      <c r="K14" s="14">
        <f t="shared" si="19"/>
        <v>4.0750000000000002</v>
      </c>
      <c r="L14" s="74" cm="1">
        <f t="array" ref="L14">_xll.BDP($B14&amp;" Equity","mid")</f>
        <v>3.95</v>
      </c>
      <c r="M14" s="75">
        <f t="shared" si="1"/>
        <v>4.7630531773785116E-2</v>
      </c>
      <c r="N14" s="352"/>
      <c r="O14" s="75">
        <f t="shared" si="2"/>
        <v>-3.0674846625766916E-2</v>
      </c>
      <c r="P14" s="74" cm="1">
        <f t="array" ref="P14">_xll.BDP($B14&amp;" Equity","bid")</f>
        <v>3.85</v>
      </c>
      <c r="Q14" s="74" cm="1">
        <f t="array" ref="Q14">_xll.BDP($B14&amp;" Equity","ask")</f>
        <v>4.05</v>
      </c>
      <c r="R14" s="76">
        <f t="shared" si="3"/>
        <v>5.1948051948051965E-2</v>
      </c>
      <c r="S14" s="36" cm="1">
        <f t="array" ref="S14">_xll.BDP(G14&amp;" Curncy","PX_LAST")</f>
        <v>1</v>
      </c>
      <c r="T14" s="42" cm="1">
        <f t="array" ref="T14">_xll.BDP(B14&amp;" Equity","OPT_MULTIPLIER")</f>
        <v>100</v>
      </c>
      <c r="U14" s="42">
        <f t="shared" si="4"/>
        <v>-79000</v>
      </c>
      <c r="V14" s="113">
        <f>U14/'Master P&amp;L'!$AD$7*10000</f>
        <v>-0.3296936123956779</v>
      </c>
      <c r="W14" s="113">
        <f>(Y14*H14*T14/S14)/'Master P&amp;L'!$AD$7*10000</f>
        <v>-0.3296936123956779</v>
      </c>
      <c r="X14" s="118">
        <f t="shared" si="5"/>
        <v>0</v>
      </c>
      <c r="Y14" s="272">
        <f t="shared" si="6"/>
        <v>3.95</v>
      </c>
      <c r="Z14" s="77">
        <f>_xll.BDP(D14&amp;" Equity","LAST_PRICE")</f>
        <v>82.93</v>
      </c>
      <c r="AA14" s="77" cm="1">
        <f t="array" ref="AA14">_xll.BDP(B14&amp;" Equity","OPT_STRIKE_PX")</f>
        <v>75</v>
      </c>
      <c r="AB14" s="76">
        <f t="shared" si="7"/>
        <v>-9.5622814421801539E-2</v>
      </c>
      <c r="AC14" s="323" cm="1">
        <f t="array" ref="AC14">_xll.BDP($D14&amp;" Equity","volatility_10d")</f>
        <v>34.296686632662073</v>
      </c>
      <c r="AD14" s="77" cm="1">
        <f t="array" ref="AD14">_xll.BDP(B14&amp;" Equity","ivol_mid")</f>
        <v>60.787799999999997</v>
      </c>
      <c r="AE14" s="77">
        <f t="shared" si="8"/>
        <v>1.7724102812342637</v>
      </c>
      <c r="AF14" s="78" cm="1">
        <f t="array" ref="AF14">_xll.BDP(B14&amp;" Equity","DELTA_MID_RT")</f>
        <v>-0.28609558939933777</v>
      </c>
      <c r="AG14" s="75">
        <f>AL14/'Master P&amp;L'!$AE$7</f>
        <v>1.9803240662421548E-4</v>
      </c>
      <c r="AH14" s="75">
        <f>AM14/'Master P&amp;L'!$AE$7</f>
        <v>6.9218965255629281E-4</v>
      </c>
      <c r="AI14" s="435">
        <f>AO14/'Master P&amp;L'!$AD$7*10000</f>
        <v>5.1867262148034719E-3</v>
      </c>
      <c r="AJ14" s="350">
        <f t="shared" si="9"/>
        <v>-5.0142337747903047E-2</v>
      </c>
      <c r="AK14" s="78">
        <f>AP14/'Master P&amp;L'!$AD$7*10000</f>
        <v>1.0433342164420187E-2</v>
      </c>
      <c r="AL14" s="42">
        <f t="shared" si="10"/>
        <v>474518.14457774174</v>
      </c>
      <c r="AM14" s="42">
        <f t="shared" si="11"/>
        <v>1658600</v>
      </c>
      <c r="AN14" s="78" cm="1">
        <f t="array" ref="AN14">_xll.BDP($B14&amp;" Equity","theta_mid_rt")</f>
        <v>-6.2141235917806625E-2</v>
      </c>
      <c r="AO14" s="42">
        <f t="shared" si="12"/>
        <v>1242.8247183561325</v>
      </c>
      <c r="AP14" s="42">
        <f t="shared" si="13"/>
        <v>2500</v>
      </c>
      <c r="AQ14" s="74" t="str" cm="1">
        <f t="array" ref="AQ14">_xll.BDP($D14&amp;" Equity","EXPECTED_REPORT_DT")</f>
        <v>05/03/2026</v>
      </c>
      <c r="AR14" s="235" cm="1">
        <f t="array" ref="AR14">_xll.BDP($B14&amp;" Equity","GAMMA_LAST")</f>
        <v>1.4589E-2</v>
      </c>
      <c r="AS14" s="73">
        <f t="shared" si="14"/>
        <v>-20066.83366122</v>
      </c>
      <c r="AT14" s="73">
        <f t="shared" si="15"/>
        <v>-100334.16830610001</v>
      </c>
      <c r="AU14" s="73" t="s">
        <v>151</v>
      </c>
      <c r="AV14" s="322" cm="1">
        <f t="array" ref="AV14">_xll.BDP($D14&amp;" Equity","EST_PE_NXT_YR")*(AA14/Z14)</f>
        <v>20.920030851105064</v>
      </c>
      <c r="AW14" s="73"/>
      <c r="AX14" s="42"/>
      <c r="AY14" s="42">
        <v>3.95</v>
      </c>
      <c r="AZ14" s="354"/>
      <c r="BA14" s="42">
        <f t="shared" si="16"/>
        <v>3.95</v>
      </c>
      <c r="BB14" s="346">
        <f t="shared" si="17"/>
        <v>4.0750000000000002</v>
      </c>
      <c r="BC14" s="346">
        <f t="shared" si="18"/>
        <v>-2500</v>
      </c>
      <c r="BD14" s="346">
        <f>BC14/'Master P&amp;L'!$AD$7*10000</f>
        <v>-1.0433342164420187E-2</v>
      </c>
    </row>
    <row r="15" spans="1:56" s="59" customFormat="1">
      <c r="A15" s="356"/>
      <c r="B15" t="s">
        <v>2058</v>
      </c>
      <c r="C15" t="str" cm="1">
        <f t="array" ref="C15">_xll.BDP($B15&amp;" Equity","opt_put_call")</f>
        <v>Put</v>
      </c>
      <c r="D15" t="str" cm="1">
        <f t="array" ref="D15">_xll.BDP(B15&amp;" Equity","OPT_UNDL_TICKER")</f>
        <v>MRVL US</v>
      </c>
      <c r="E15" t="str" cm="1">
        <f t="array" ref="E15">_xll.BDP($B15&amp;" Equity","mifid_Maturity_date")</f>
        <v>20/03/2026</v>
      </c>
      <c r="F15" cm="1">
        <f t="array" ref="F15">_xll.BDP($B15&amp;" Equity","opt_days_expire")</f>
        <v>52</v>
      </c>
      <c r="G15" t="str" cm="1">
        <f t="array" ref="G15">_xll.BDP(B15&amp;" Equity","QUOTED_CURRENCY_REALTIME")</f>
        <v>USD</v>
      </c>
      <c r="H15" s="15">
        <v>150</v>
      </c>
      <c r="I15" s="410">
        <v>6.13</v>
      </c>
      <c r="J15" s="14">
        <f>VLOOKUP(B15,Precificação!$B:$O,14,FALSE)</f>
        <v>6.2249999999999996</v>
      </c>
      <c r="K15" s="14">
        <f t="shared" si="19"/>
        <v>6.2249999999999996</v>
      </c>
      <c r="L15" s="74" cm="1">
        <f t="array" ref="L15">_xll.BDP($B15&amp;" Equity","mid")</f>
        <v>6</v>
      </c>
      <c r="M15" s="19">
        <f t="shared" si="1"/>
        <v>7.2350174846255874E-2</v>
      </c>
      <c r="N15" s="350"/>
      <c r="O15" s="19">
        <f t="shared" si="2"/>
        <v>-3.6144578313252906E-2</v>
      </c>
      <c r="P15" s="36" cm="1">
        <f t="array" ref="P15">_xll.BDP($B15&amp;" Equity","bid")</f>
        <v>5.9</v>
      </c>
      <c r="Q15" s="36" cm="1">
        <f t="array" ref="Q15">_xll.BDP($B15&amp;" Equity","ask")</f>
        <v>6.1</v>
      </c>
      <c r="R15" s="40">
        <f t="shared" si="3"/>
        <v>3.3898305084745672E-2</v>
      </c>
      <c r="S15" s="36" cm="1">
        <f t="array" ref="S15">_xll.BDP(G15&amp;" Curncy","PX_LAST")</f>
        <v>1</v>
      </c>
      <c r="T15" s="15" cm="1">
        <f t="array" ref="T15">_xll.BDP(B15&amp;" Equity","OPT_MULTIPLIER")</f>
        <v>100</v>
      </c>
      <c r="U15" s="15">
        <f t="shared" si="4"/>
        <v>90000</v>
      </c>
      <c r="V15" s="124">
        <f>U15/'Master P&amp;L'!$AD$7*10000</f>
        <v>0.37560031791912668</v>
      </c>
      <c r="W15" s="124">
        <f>(Y15*H15*T15/S15)/'Master P&amp;L'!$AD$7*10000</f>
        <v>0.37560031791912668</v>
      </c>
      <c r="X15" s="413">
        <f t="shared" si="5"/>
        <v>0</v>
      </c>
      <c r="Y15" s="273">
        <f t="shared" si="6"/>
        <v>6</v>
      </c>
      <c r="Z15" s="37">
        <f>_xll.BDP(D15&amp;" Equity","LAST_PRICE")</f>
        <v>82.93</v>
      </c>
      <c r="AA15" s="37" cm="1">
        <f t="array" ref="AA15">_xll.BDP(B15&amp;" Equity","OPT_STRIKE_PX")</f>
        <v>80</v>
      </c>
      <c r="AB15" s="40">
        <f t="shared" si="7"/>
        <v>-3.5331002049921678E-2</v>
      </c>
      <c r="AC15" s="324" cm="1">
        <f t="array" ref="AC15">_xll.BDP($D15&amp;" Equity","volatility_10d")</f>
        <v>34.296686632662073</v>
      </c>
      <c r="AD15" s="37" cm="1">
        <f t="array" ref="AD15">_xll.BDP(B15&amp;" Equity","ivol_mid")</f>
        <v>60.212600000000002</v>
      </c>
      <c r="AE15" s="37">
        <f t="shared" si="8"/>
        <v>1.7556389818326412</v>
      </c>
      <c r="AF15" s="38" cm="1">
        <f t="array" ref="AF15">_xll.BDP(B15&amp;" Equity","DELTA_MID_RT")</f>
        <v>-0.38652956485748291</v>
      </c>
      <c r="AG15" s="19">
        <f>AL15/'Master P&amp;L'!$AE$7</f>
        <v>-2.0066382390107712E-4</v>
      </c>
      <c r="AH15" s="19">
        <f>AM15/'Master P&amp;L'!$AE$7</f>
        <v>-5.1914223941721966E-4</v>
      </c>
      <c r="AI15" s="434">
        <f>AO15/'Master P&amp;L'!$AD$7*10000</f>
        <v>-4.3339358490731179E-3</v>
      </c>
      <c r="AJ15" s="350">
        <f t="shared" si="9"/>
        <v>4.1898042449538361E-2</v>
      </c>
      <c r="AK15" s="38">
        <f>AP15/'Master P&amp;L'!$AD$7*10000</f>
        <v>-1.4085011921967228E-2</v>
      </c>
      <c r="AL15" s="15">
        <f t="shared" si="10"/>
        <v>-480823.45220446587</v>
      </c>
      <c r="AM15" s="15">
        <f t="shared" si="11"/>
        <v>-1243950.0000000002</v>
      </c>
      <c r="AN15" s="38" cm="1">
        <f t="array" ref="AN15">_xll.BDP($B15&amp;" Equity","theta_mid_rt")</f>
        <v>-6.9232143461704254E-2</v>
      </c>
      <c r="AO15" s="15">
        <f t="shared" si="12"/>
        <v>-1038.4821519255638</v>
      </c>
      <c r="AP15" s="15">
        <f t="shared" si="13"/>
        <v>-3374.9999999999945</v>
      </c>
      <c r="AQ15" s="36" t="str" cm="1">
        <f t="array" ref="AQ15">_xll.BDP($D15&amp;" Equity","EXPECTED_REPORT_DT")</f>
        <v>05/03/2026</v>
      </c>
      <c r="AR15" s="66" cm="1">
        <f t="array" ref="AR15">_xll.BDP($B15&amp;" Equity","GAMMA_LAST")</f>
        <v>1.6691000000000001E-2</v>
      </c>
      <c r="AS15">
        <f t="shared" si="14"/>
        <v>17218.564704885004</v>
      </c>
      <c r="AT15">
        <f t="shared" si="15"/>
        <v>86092.82352442501</v>
      </c>
      <c r="AU15" t="s">
        <v>151</v>
      </c>
      <c r="AV15" s="277" cm="1">
        <f t="array" ref="AV15">_xll.BDP($D15&amp;" Equity","EST_PE_NXT_YR")*(AA15/Z15)</f>
        <v>22.314699574512066</v>
      </c>
      <c r="AW15"/>
      <c r="AX15" s="15"/>
      <c r="AY15" s="15">
        <v>6</v>
      </c>
      <c r="AZ15" s="355"/>
      <c r="BA15" s="15">
        <f t="shared" si="16"/>
        <v>6</v>
      </c>
      <c r="BB15" s="414">
        <f t="shared" si="17"/>
        <v>6.2249999999999996</v>
      </c>
      <c r="BC15" s="414">
        <f t="shared" si="18"/>
        <v>3374.9999999999945</v>
      </c>
      <c r="BD15" s="414">
        <f>BC15/'Master P&amp;L'!$AD$7*10000</f>
        <v>1.4085011921967228E-2</v>
      </c>
    </row>
    <row r="16" spans="1:56">
      <c r="A16" s="335"/>
      <c r="B16" s="73" t="s">
        <v>2287</v>
      </c>
      <c r="C16" s="73" t="str" cm="1">
        <f t="array" ref="C16">_xll.BDP($B16&amp;" Equity","opt_put_call")</f>
        <v>Put</v>
      </c>
      <c r="D16" s="73" t="str" cm="1">
        <f t="array" ref="D16">_xll.BDP(B16&amp;" Equity","OPT_UNDL_TICKER")</f>
        <v>MRVL US</v>
      </c>
      <c r="E16" s="73" t="str" cm="1">
        <f t="array" ref="E16">_xll.BDP($B16&amp;" Equity","mifid_Maturity_date")</f>
        <v>20/03/2026</v>
      </c>
      <c r="F16" s="73" cm="1">
        <f t="array" ref="F16">_xll.BDP($B16&amp;" Equity","opt_days_expire")</f>
        <v>52</v>
      </c>
      <c r="G16" s="73" t="str" cm="1">
        <f t="array" ref="G16">_xll.BDP(B16&amp;" Equity","QUOTED_CURRENCY_REALTIME")</f>
        <v>USD</v>
      </c>
      <c r="H16" s="42">
        <v>-150</v>
      </c>
      <c r="I16" s="409">
        <v>2.52</v>
      </c>
      <c r="J16" s="14">
        <f>VLOOKUP(B16,Precificação!$B:$O,14,FALSE)</f>
        <v>2.4950000000000001</v>
      </c>
      <c r="K16" s="14">
        <f t="shared" si="19"/>
        <v>2.4950000000000001</v>
      </c>
      <c r="L16" s="74" cm="1">
        <f t="array" ref="L16">_xll.BDP($B16&amp;" Equity","mid")</f>
        <v>2.44</v>
      </c>
      <c r="M16" s="75">
        <f t="shared" si="1"/>
        <v>2.9422404437477387E-2</v>
      </c>
      <c r="N16" s="352"/>
      <c r="O16" s="75">
        <f t="shared" si="2"/>
        <v>-2.2044088176352727E-2</v>
      </c>
      <c r="P16" s="74" cm="1">
        <f t="array" ref="P16">_xll.BDP($B16&amp;" Equity","bid")</f>
        <v>2.38</v>
      </c>
      <c r="Q16" s="74" cm="1">
        <f t="array" ref="Q16">_xll.BDP($B16&amp;" Equity","ask")</f>
        <v>2.5</v>
      </c>
      <c r="R16" s="76">
        <f t="shared" si="3"/>
        <v>5.0420168067226934E-2</v>
      </c>
      <c r="S16" s="36" cm="1">
        <f t="array" ref="S16">_xll.BDP(G16&amp;" Curncy","PX_LAST")</f>
        <v>1</v>
      </c>
      <c r="T16" s="42" cm="1">
        <f t="array" ref="T16">_xll.BDP(B16&amp;" Equity","OPT_MULTIPLIER")</f>
        <v>100</v>
      </c>
      <c r="U16" s="42">
        <f t="shared" si="4"/>
        <v>-36600</v>
      </c>
      <c r="V16" s="113">
        <f>U16/'Master P&amp;L'!$AD$7*10000</f>
        <v>-0.15274412928711151</v>
      </c>
      <c r="W16" s="113">
        <f>(Y16*H16*T16/S16)/'Master P&amp;L'!$AD$7*10000</f>
        <v>-0.15274412928711151</v>
      </c>
      <c r="X16" s="118">
        <f t="shared" si="5"/>
        <v>0</v>
      </c>
      <c r="Y16" s="272">
        <f t="shared" si="6"/>
        <v>2.44</v>
      </c>
      <c r="Z16" s="77">
        <f>_xll.BDP(D16&amp;" Equity","LAST_PRICE")</f>
        <v>82.93</v>
      </c>
      <c r="AA16" s="77" cm="1">
        <f t="array" ref="AA16">_xll.BDP(B16&amp;" Equity","OPT_STRIKE_PX")</f>
        <v>70</v>
      </c>
      <c r="AB16" s="76">
        <f t="shared" si="7"/>
        <v>-0.15591462679368151</v>
      </c>
      <c r="AC16" s="323" cm="1">
        <f t="array" ref="AC16">_xll.BDP($D16&amp;" Equity","volatility_10d")</f>
        <v>34.296686632662073</v>
      </c>
      <c r="AD16" s="77" cm="1">
        <f t="array" ref="AD16">_xll.BDP(B16&amp;" Equity","ivol_mid")</f>
        <v>61.783389999999997</v>
      </c>
      <c r="AE16" s="77">
        <f t="shared" si="8"/>
        <v>1.8014390329228265</v>
      </c>
      <c r="AF16" s="78" cm="1">
        <f t="array" ref="AF16">_xll.BDP(B16&amp;" Equity","DELTA_MID_RT")</f>
        <v>-0.19714395701885223</v>
      </c>
      <c r="AG16" s="75">
        <f>AL16/'Master P&amp;L'!$AE$7</f>
        <v>1.0234575533433904E-4</v>
      </c>
      <c r="AH16" s="75">
        <f>AM16/'Master P&amp;L'!$AE$7</f>
        <v>5.1914223941721966E-4</v>
      </c>
      <c r="AI16" s="435">
        <f>AO16/'Master P&amp;L'!$AD$7*10000</f>
        <v>3.1915595239381737E-3</v>
      </c>
      <c r="AJ16" s="350">
        <f t="shared" si="9"/>
        <v>-3.0854193756187743E-2</v>
      </c>
      <c r="AK16" s="78">
        <f>AP16/'Master P&amp;L'!$AD$7*10000</f>
        <v>3.4430029142586711E-3</v>
      </c>
      <c r="AL16" s="42">
        <f t="shared" si="10"/>
        <v>245237.22533360124</v>
      </c>
      <c r="AM16" s="42">
        <f t="shared" si="11"/>
        <v>1243950.0000000002</v>
      </c>
      <c r="AN16" s="78" cm="1">
        <f t="array" ref="AN16">_xll.BDP($B16&amp;" Equity","theta_mid_rt")</f>
        <v>-5.0983335822820663E-2</v>
      </c>
      <c r="AO16" s="42">
        <f t="shared" si="12"/>
        <v>764.75003734230995</v>
      </c>
      <c r="AP16" s="42">
        <f t="shared" si="13"/>
        <v>825.00000000000239</v>
      </c>
      <c r="AQ16" s="74" t="str" cm="1">
        <f t="array" ref="AQ16">_xll.BDP($D16&amp;" Equity","EXPECTED_REPORT_DT")</f>
        <v>05/03/2026</v>
      </c>
      <c r="AR16" s="235" cm="1">
        <f t="array" ref="AR16">_xll.BDP($B16&amp;" Equity","GAMMA_LAST")</f>
        <v>1.1658E-2</v>
      </c>
      <c r="AS16" s="73">
        <f t="shared" si="14"/>
        <v>-12026.48297463</v>
      </c>
      <c r="AT16" s="73">
        <f t="shared" si="15"/>
        <v>-60132.414873150017</v>
      </c>
      <c r="AU16" s="73" t="s">
        <v>151</v>
      </c>
      <c r="AV16" s="322" cm="1">
        <f t="array" ref="AV16">_xll.BDP($D16&amp;" Equity","EST_PE_NXT_YR")*(AA16/Z16)</f>
        <v>19.525362127698056</v>
      </c>
      <c r="AW16" s="73"/>
      <c r="AX16" s="42"/>
      <c r="AY16" s="42">
        <v>2.4500000000000002</v>
      </c>
      <c r="AZ16" s="354"/>
      <c r="BA16" s="42">
        <f t="shared" si="16"/>
        <v>2.4500000000000002</v>
      </c>
      <c r="BB16" s="346">
        <f t="shared" si="17"/>
        <v>2.4950000000000001</v>
      </c>
      <c r="BC16" s="346">
        <f t="shared" si="18"/>
        <v>-674.99999999999898</v>
      </c>
      <c r="BD16" s="346">
        <f>BC16/'Master P&amp;L'!$AD$7*10000</f>
        <v>-2.8170023843934462E-3</v>
      </c>
    </row>
    <row r="17" spans="1:56">
      <c r="A17" s="356"/>
      <c r="B17" t="s">
        <v>2354</v>
      </c>
      <c r="C17" t="str" cm="1">
        <f t="array" ref="C17">_xll.BDP($B17&amp;" Equity","opt_put_call")</f>
        <v>Call</v>
      </c>
      <c r="D17" t="str" cm="1">
        <f t="array" ref="D17">_xll.BDP(B17&amp;" Equity","OPT_UNDL_TICKER")</f>
        <v>MSFT US</v>
      </c>
      <c r="E17" t="str" cm="1">
        <f t="array" ref="E17">_xll.BDP($B17&amp;" Equity","mifid_Maturity_date")</f>
        <v>17/07/2026</v>
      </c>
      <c r="F17" cm="1">
        <f t="array" ref="F17">_xll.BDP($B17&amp;" Equity","opt_days_expire")</f>
        <v>171</v>
      </c>
      <c r="G17" t="str" cm="1">
        <f t="array" ref="G17">_xll.BDP(B17&amp;" Equity","QUOTED_CURRENCY_REALTIME")</f>
        <v>USD</v>
      </c>
      <c r="H17" s="15">
        <v>125</v>
      </c>
      <c r="I17" s="410">
        <v>31.86</v>
      </c>
      <c r="J17" s="36">
        <f>VLOOKUP(B17,Precificação!$B:$O,14,FALSE)</f>
        <v>37.049999999999997</v>
      </c>
      <c r="K17" s="36">
        <f t="shared" si="19"/>
        <v>37.049999999999997</v>
      </c>
      <c r="L17" s="36" cm="1">
        <f t="array" ref="L17">_xll.BDP($B17&amp;" Equity","mid")</f>
        <v>43.13</v>
      </c>
      <c r="M17" s="19">
        <f t="shared" ref="M17" si="36">L17/Z17</f>
        <v>8.9745723916933709E-2</v>
      </c>
      <c r="N17" s="350"/>
      <c r="O17" s="19">
        <f t="shared" ref="O17" si="37">L17/K17-1</f>
        <v>0.16410256410256419</v>
      </c>
      <c r="P17" s="36" cm="1">
        <f t="array" ref="P17">_xll.BDP($B17&amp;" Equity","bid")</f>
        <v>42.85</v>
      </c>
      <c r="Q17" s="36" cm="1">
        <f t="array" ref="Q17">_xll.BDP($B17&amp;" Equity","ask")</f>
        <v>43.4</v>
      </c>
      <c r="R17" s="40">
        <f t="shared" ref="R17" si="38">(Q17/P17-1)</f>
        <v>1.2835472578763163E-2</v>
      </c>
      <c r="S17" s="36" cm="1">
        <f t="array" ref="S17">_xll.BDP(G17&amp;" Curncy","PX_LAST")</f>
        <v>1</v>
      </c>
      <c r="T17" s="15" cm="1">
        <f t="array" ref="T17">_xll.BDP(B17&amp;" Equity","OPT_MULTIPLIER")</f>
        <v>100</v>
      </c>
      <c r="U17" s="15">
        <f t="shared" ref="U17" si="39">(L17/S17)*H17*T17</f>
        <v>539125</v>
      </c>
      <c r="V17" s="124">
        <f>U17/'Master P&amp;L'!$AD$7*10000</f>
        <v>2.2499502377572131</v>
      </c>
      <c r="W17" s="124">
        <f>(Y17*H17*T17/S17)/'Master P&amp;L'!$AD$7*10000</f>
        <v>1.9588599913698912</v>
      </c>
      <c r="X17" s="413">
        <f t="shared" ref="X17" si="40">IF(C17="Put",IF(Z17&lt;AA17,AA17-Z17,0),IF(Z17&gt;AA17,Z17-AA17,0))</f>
        <v>5.5799999999999841</v>
      </c>
      <c r="Y17" s="273">
        <f t="shared" ref="Y17" si="41">L17-X17</f>
        <v>37.550000000000018</v>
      </c>
      <c r="Z17" s="37">
        <f>_xll.BDP(D17&amp;" Equity","LAST_PRICE")</f>
        <v>480.58</v>
      </c>
      <c r="AA17" s="37" cm="1">
        <f t="array" ref="AA17">_xll.BDP(B17&amp;" Equity","OPT_STRIKE_PX")</f>
        <v>475</v>
      </c>
      <c r="AB17" s="40">
        <f t="shared" ref="AB17" si="42">AA17/Z17-1</f>
        <v>-1.1610970077822635E-2</v>
      </c>
      <c r="AC17" s="324" cm="1">
        <f t="array" ref="AC17">_xll.BDP($D17&amp;" Equity","volatility_10d")</f>
        <v>31.96297362899611</v>
      </c>
      <c r="AD17" s="37" cm="1">
        <f t="array" ref="AD17">_xll.BDP(B17&amp;" Equity","ivol_mid")</f>
        <v>28.305040000000002</v>
      </c>
      <c r="AE17" s="37">
        <f t="shared" ref="AE17" si="43">AD17/AC17</f>
        <v>0.88555715524297429</v>
      </c>
      <c r="AF17" s="38" cm="1">
        <f t="array" ref="AF17">_xll.BDP(B17&amp;" Equity","DELTA_MID_RT")</f>
        <v>0.59405422210693359</v>
      </c>
      <c r="AG17" s="19">
        <f>AL17/'Master P&amp;L'!$AE$7</f>
        <v>1.4893104428098285E-3</v>
      </c>
      <c r="AH17" s="19">
        <f>AM17/'Master P&amp;L'!$AE$7</f>
        <v>2.5070277886885266E-3</v>
      </c>
      <c r="AI17" s="434">
        <f>AO17/'Master P&amp;L'!$AD$7*10000</f>
        <v>-5.3371968803552711E-3</v>
      </c>
      <c r="AJ17" s="350">
        <f t="shared" ref="AJ17" si="44">(252*AI17)/$AI$1</f>
        <v>5.1597003103424612E-2</v>
      </c>
      <c r="AK17" s="38">
        <f>AP17/'Master P&amp;L'!$AD$7*10000</f>
        <v>0.31717360179837395</v>
      </c>
      <c r="AL17" s="15">
        <f t="shared" ref="AL17" si="45">Z17*AF17*H17*T17/S17</f>
        <v>3568632.2257518768</v>
      </c>
      <c r="AM17" s="15">
        <f t="shared" ref="AM17" si="46">IF(C17="Put",-Z17*H17*T17/S17,Z17*H17*T17/S17)</f>
        <v>6007250</v>
      </c>
      <c r="AN17" s="38" cm="1">
        <f t="array" ref="AN17">_xll.BDP($B17&amp;" Equity","theta_mid_rt")</f>
        <v>-0.10231039673089981</v>
      </c>
      <c r="AO17" s="15">
        <f t="shared" ref="AO17" si="47">AN17*H17*T17/S17</f>
        <v>-1278.8799591362476</v>
      </c>
      <c r="AP17" s="15">
        <f t="shared" ref="AP17" si="48">(L17-K17)*T17/S17*H17</f>
        <v>76000.000000000073</v>
      </c>
      <c r="AQ17" s="36" t="str" cm="1">
        <f t="array" ref="AQ17">_xll.BDP($D17&amp;" Equity","EXPECTED_REPORT_DT")</f>
        <v>28/01/2026</v>
      </c>
      <c r="AR17" s="66" cm="1">
        <f t="array" ref="AR17">_xll.BDP($B17&amp;" Equity","GAMMA_LAST")</f>
        <v>2.0205999999999998E-2</v>
      </c>
      <c r="AS17">
        <f t="shared" si="14"/>
        <v>583339.98726229998</v>
      </c>
      <c r="AT17">
        <f t="shared" si="15"/>
        <v>2916699.9363114997</v>
      </c>
      <c r="AU17" t="s">
        <v>151</v>
      </c>
      <c r="AV17" s="277" cm="1">
        <f t="array" ref="AV17">_xll.BDP($D17&amp;" Equity","EST_PE_NXT_YR")*(AA17/Z17)</f>
        <v>25.307473798518444</v>
      </c>
      <c r="AX17" s="15"/>
      <c r="AY17" s="15">
        <v>43.35</v>
      </c>
      <c r="AZ17" s="355"/>
      <c r="BA17" s="15">
        <f t="shared" ref="BA17" si="49">+AY17</f>
        <v>43.35</v>
      </c>
      <c r="BB17" s="414">
        <f t="shared" ref="BB17" si="50">+J17</f>
        <v>37.049999999999997</v>
      </c>
      <c r="BC17" s="414">
        <f t="shared" ref="BC17" si="51">(BB17-BA17)*H17*100</f>
        <v>-78750.000000000058</v>
      </c>
      <c r="BD17" s="414">
        <f>BC17/'Master P&amp;L'!$AD$7*10000</f>
        <v>-0.32865027817923609</v>
      </c>
    </row>
    <row r="18" spans="1:56" s="384" customFormat="1">
      <c r="A18" s="497" t="s">
        <v>1770</v>
      </c>
      <c r="B18" s="384" t="s">
        <v>2354</v>
      </c>
      <c r="C18" s="384" t="str" cm="1">
        <f t="array" ref="C18">_xll.BDP($B18&amp;" Equity","opt_put_call")</f>
        <v>Call</v>
      </c>
      <c r="D18" s="384" t="str" cm="1">
        <f t="array" ref="D18">_xll.BDP(B18&amp;" Equity","OPT_UNDL_TICKER")</f>
        <v>MSFT US</v>
      </c>
      <c r="E18" s="384" t="str" cm="1">
        <f t="array" ref="E18">_xll.BDP($B18&amp;" Equity","mifid_Maturity_date")</f>
        <v>17/07/2026</v>
      </c>
      <c r="F18" s="384" cm="1">
        <f t="array" ref="F18">_xll.BDP($B18&amp;" Equity","opt_days_expire")</f>
        <v>171</v>
      </c>
      <c r="G18" s="384" t="str" cm="1">
        <f t="array" ref="G18">_xll.BDP(B18&amp;" Equity","QUOTED_CURRENCY_REALTIME")</f>
        <v>USD</v>
      </c>
      <c r="H18" s="496">
        <v>-50</v>
      </c>
      <c r="I18" s="495">
        <v>40.92</v>
      </c>
      <c r="J18" s="495"/>
      <c r="K18" s="495">
        <v>40.92</v>
      </c>
      <c r="L18" s="123" cm="1">
        <f t="array" ref="L18">_xll.BDP($B18&amp;" Equity","mid")</f>
        <v>43.13</v>
      </c>
      <c r="M18" s="412">
        <f t="shared" ref="M18:M19" si="52">L18/Z18</f>
        <v>8.9745723916933709E-2</v>
      </c>
      <c r="N18" s="494"/>
      <c r="O18" s="412">
        <f t="shared" ref="O18:O19" si="53">L18/K18-1</f>
        <v>5.4007820136852347E-2</v>
      </c>
      <c r="P18" s="123" cm="1">
        <f t="array" ref="P18">_xll.BDP($B18&amp;" Equity","bid")</f>
        <v>42.85</v>
      </c>
      <c r="Q18" s="123" cm="1">
        <f t="array" ref="Q18">_xll.BDP($B18&amp;" Equity","ask")</f>
        <v>43.4</v>
      </c>
      <c r="R18" s="493">
        <f t="shared" ref="R18:R19" si="54">(Q18/P18-1)</f>
        <v>1.2835472578763163E-2</v>
      </c>
      <c r="S18" s="123" cm="1">
        <f t="array" ref="S18">_xll.BDP(G18&amp;" Curncy","PX_LAST")</f>
        <v>1</v>
      </c>
      <c r="T18" s="496" cm="1">
        <f t="array" ref="T18">_xll.BDP(B18&amp;" Equity","OPT_MULTIPLIER")</f>
        <v>100</v>
      </c>
      <c r="U18" s="496">
        <f t="shared" ref="U18:U19" si="55">(L18/S18)*H18*T18</f>
        <v>-215650</v>
      </c>
      <c r="V18" s="492">
        <f>U18/'Master P&amp;L'!$AD$7*10000</f>
        <v>-0.89998009510288524</v>
      </c>
      <c r="W18" s="492">
        <f>(Y18*H18*T18/S18)/'Master P&amp;L'!$AD$7*10000</f>
        <v>-0.78354399654795626</v>
      </c>
      <c r="X18" s="482">
        <f t="shared" ref="X18:X19" si="56">IF(C18="Put",IF(Z18&lt;AA18,AA18-Z18,0),IF(Z18&gt;AA18,Z18-AA18,0))</f>
        <v>5.5799999999999841</v>
      </c>
      <c r="Y18" s="491">
        <f t="shared" ref="Y18:Y19" si="57">L18-X18</f>
        <v>37.550000000000018</v>
      </c>
      <c r="Z18" s="490">
        <f>_xll.BDP(D18&amp;" Equity","LAST_PRICE")</f>
        <v>480.58</v>
      </c>
      <c r="AA18" s="490" cm="1">
        <f t="array" ref="AA18">_xll.BDP(B18&amp;" Equity","OPT_STRIKE_PX")</f>
        <v>475</v>
      </c>
      <c r="AB18" s="493">
        <f t="shared" ref="AB18:AB19" si="58">AA18/Z18-1</f>
        <v>-1.1610970077822635E-2</v>
      </c>
      <c r="AC18" s="489" cm="1">
        <f t="array" ref="AC18">_xll.BDP($D18&amp;" Equity","volatility_10d")</f>
        <v>31.96297362899611</v>
      </c>
      <c r="AD18" s="490" cm="1">
        <f t="array" ref="AD18">_xll.BDP(B18&amp;" Equity","ivol_mid")</f>
        <v>28.305040000000002</v>
      </c>
      <c r="AE18" s="490">
        <f t="shared" ref="AE18:AE19" si="59">AD18/AC18</f>
        <v>0.88555715524297429</v>
      </c>
      <c r="AF18" s="488" cm="1">
        <f t="array" ref="AF18">_xll.BDP(B18&amp;" Equity","DELTA_MID_RT")</f>
        <v>0.59405422210693359</v>
      </c>
      <c r="AG18" s="412">
        <f>AL18/'Master P&amp;L'!$AE$7</f>
        <v>-5.9572417712393136E-4</v>
      </c>
      <c r="AH18" s="412">
        <f>AM18/'Master P&amp;L'!$AE$7</f>
        <v>-1.0028111154754106E-3</v>
      </c>
      <c r="AI18" s="487">
        <f>AO18/'Master P&amp;L'!$AD$7*10000</f>
        <v>2.1348787521421084E-3</v>
      </c>
      <c r="AJ18" s="494">
        <f t="shared" ref="AJ18:AJ19" si="60">(252*AI18)/$AI$1</f>
        <v>-2.0638801241369843E-2</v>
      </c>
      <c r="AK18" s="488">
        <f>AP18/'Master P&amp;L'!$AD$7*10000</f>
        <v>-4.6115372366737239E-2</v>
      </c>
      <c r="AL18" s="496">
        <f t="shared" ref="AL18:AL19" si="61">Z18*AF18*H18*T18/S18</f>
        <v>-1427452.8903007507</v>
      </c>
      <c r="AM18" s="496">
        <f t="shared" ref="AM18:AM19" si="62">IF(C18="Put",-Z18*H18*T18/S18,Z18*H18*T18/S18)</f>
        <v>-2402900</v>
      </c>
      <c r="AN18" s="488" cm="1">
        <f t="array" ref="AN18">_xll.BDP($B18&amp;" Equity","theta_mid_rt")</f>
        <v>-0.10231039673089981</v>
      </c>
      <c r="AO18" s="496">
        <f t="shared" ref="AO18:AO19" si="63">AN18*H18*T18/S18</f>
        <v>511.55198365449905</v>
      </c>
      <c r="AP18" s="496">
        <f t="shared" ref="AP18:AP19" si="64">(L18-K18)*T18/S18*H18</f>
        <v>-11050.000000000004</v>
      </c>
      <c r="AQ18" s="123" t="str" cm="1">
        <f t="array" ref="AQ18">_xll.BDP($D18&amp;" Equity","EXPECTED_REPORT_DT")</f>
        <v>28/01/2026</v>
      </c>
      <c r="AR18" s="486" cm="1">
        <f t="array" ref="AR18">_xll.BDP($B18&amp;" Equity","GAMMA_LAST")</f>
        <v>2.0205999999999998E-2</v>
      </c>
      <c r="AS18" s="384">
        <f t="shared" si="14"/>
        <v>-233335.99490491996</v>
      </c>
      <c r="AT18" s="384">
        <f t="shared" si="15"/>
        <v>-1166679.9745246</v>
      </c>
      <c r="AU18" s="384" t="s">
        <v>151</v>
      </c>
      <c r="AV18" s="368" cm="1">
        <f t="array" ref="AV18">_xll.BDP($D18&amp;" Equity","EST_PE_NXT_YR")*(AA18/Z18)</f>
        <v>25.307473798518444</v>
      </c>
      <c r="AX18" s="496"/>
      <c r="AY18" s="496">
        <v>43.35</v>
      </c>
      <c r="AZ18" s="485"/>
      <c r="BA18" s="496">
        <f t="shared" ref="BA18:BA19" si="65">+AY18</f>
        <v>43.35</v>
      </c>
      <c r="BB18" s="484">
        <f t="shared" ref="BB18:BB19" si="66">+J18</f>
        <v>0</v>
      </c>
      <c r="BC18" s="484">
        <f t="shared" ref="BC18:BC19" si="67">(BB18-BA18)*H18*100</f>
        <v>216750</v>
      </c>
      <c r="BD18" s="484">
        <f>BC18/'Master P&amp;L'!$AD$7*10000</f>
        <v>0.90457076565523009</v>
      </c>
    </row>
    <row r="19" spans="1:56" s="384" customFormat="1">
      <c r="A19" s="497" t="s">
        <v>1770</v>
      </c>
      <c r="B19" s="384" t="s">
        <v>2386</v>
      </c>
      <c r="C19" s="384" t="str" cm="1">
        <f t="array" ref="C19">_xll.BDP($B19&amp;" Equity","opt_put_call")</f>
        <v>Call</v>
      </c>
      <c r="D19" s="384" t="str" cm="1">
        <f t="array" ref="D19">_xll.BDP(B19&amp;" Equity","OPT_UNDL_TICKER")</f>
        <v>MSFT US</v>
      </c>
      <c r="E19" s="384" t="str" cm="1">
        <f t="array" ref="E19">_xll.BDP($B19&amp;" Equity","mifid_Maturity_date")</f>
        <v>17/07/2026</v>
      </c>
      <c r="F19" s="384" cm="1">
        <f t="array" ref="F19">_xll.BDP($B19&amp;" Equity","opt_days_expire")</f>
        <v>171</v>
      </c>
      <c r="G19" s="384" t="str" cm="1">
        <f t="array" ref="G19">_xll.BDP(B19&amp;" Equity","QUOTED_CURRENCY_REALTIME")</f>
        <v>USD</v>
      </c>
      <c r="H19" s="496">
        <v>75</v>
      </c>
      <c r="I19" s="495">
        <v>29.16</v>
      </c>
      <c r="J19" s="495"/>
      <c r="K19" s="495">
        <v>29.16</v>
      </c>
      <c r="L19" s="123" cm="1">
        <f t="array" ref="L19">_xll.BDP($B19&amp;" Equity","mid")</f>
        <v>31</v>
      </c>
      <c r="M19" s="412">
        <f t="shared" si="52"/>
        <v>6.4505389321236839E-2</v>
      </c>
      <c r="N19" s="494"/>
      <c r="O19" s="412">
        <f t="shared" si="53"/>
        <v>6.3100137174211257E-2</v>
      </c>
      <c r="P19" s="123" cm="1">
        <f t="array" ref="P19">_xll.BDP($B19&amp;" Equity","bid")</f>
        <v>30.85</v>
      </c>
      <c r="Q19" s="123" cm="1">
        <f t="array" ref="Q19">_xll.BDP($B19&amp;" Equity","ask")</f>
        <v>31.15</v>
      </c>
      <c r="R19" s="493">
        <f t="shared" si="54"/>
        <v>9.7244732576984294E-3</v>
      </c>
      <c r="S19" s="123" cm="1">
        <f t="array" ref="S19">_xll.BDP(G19&amp;" Curncy","PX_LAST")</f>
        <v>1</v>
      </c>
      <c r="T19" s="496" cm="1">
        <f t="array" ref="T19">_xll.BDP(B19&amp;" Equity","OPT_MULTIPLIER")</f>
        <v>100</v>
      </c>
      <c r="U19" s="496">
        <f t="shared" si="55"/>
        <v>232500</v>
      </c>
      <c r="V19" s="492">
        <f>U19/'Master P&amp;L'!$AD$7*10000</f>
        <v>0.9703008212910772</v>
      </c>
      <c r="W19" s="492">
        <f>(Y19*H19*T19/S19)/'Master P&amp;L'!$AD$7*10000</f>
        <v>0.9703008212910772</v>
      </c>
      <c r="X19" s="482">
        <f t="shared" si="56"/>
        <v>0</v>
      </c>
      <c r="Y19" s="491">
        <f t="shared" si="57"/>
        <v>31</v>
      </c>
      <c r="Z19" s="490">
        <f>_xll.BDP(D19&amp;" Equity","LAST_PRICE")</f>
        <v>480.58</v>
      </c>
      <c r="AA19" s="490" cm="1">
        <f t="array" ref="AA19">_xll.BDP(B19&amp;" Equity","OPT_STRIKE_PX")</f>
        <v>500</v>
      </c>
      <c r="AB19" s="493">
        <f t="shared" si="58"/>
        <v>4.0409505181239425E-2</v>
      </c>
      <c r="AC19" s="489" cm="1">
        <f t="array" ref="AC19">_xll.BDP($D19&amp;" Equity","volatility_10d")</f>
        <v>31.96297362899611</v>
      </c>
      <c r="AD19" s="490" cm="1">
        <f t="array" ref="AD19">_xll.BDP(B19&amp;" Equity","ivol_mid")</f>
        <v>27.543340000000001</v>
      </c>
      <c r="AE19" s="490">
        <f t="shared" si="59"/>
        <v>0.86172645635865641</v>
      </c>
      <c r="AF19" s="488" cm="1">
        <f t="array" ref="AF19">_xll.BDP(B19&amp;" Equity","DELTA_MID_RT")</f>
        <v>0.48548048734664917</v>
      </c>
      <c r="AG19" s="412">
        <f>AL19/'Master P&amp;L'!$AE$7</f>
        <v>7.3026784358645887E-4</v>
      </c>
      <c r="AH19" s="412">
        <f>AM19/'Master P&amp;L'!$AE$7</f>
        <v>1.504216673213116E-3</v>
      </c>
      <c r="AI19" s="487">
        <f>AO19/'Master P&amp;L'!$AD$7*10000</f>
        <v>-3.2573172774181284E-3</v>
      </c>
      <c r="AJ19" s="494">
        <f t="shared" si="60"/>
        <v>3.1489902553603066E-2</v>
      </c>
      <c r="AK19" s="488">
        <f>AP19/'Master P&amp;L'!$AD$7*10000</f>
        <v>5.7592048747599434E-2</v>
      </c>
      <c r="AL19" s="496">
        <f t="shared" si="61"/>
        <v>1749841.5945678949</v>
      </c>
      <c r="AM19" s="496">
        <f t="shared" si="62"/>
        <v>3604350</v>
      </c>
      <c r="AN19" s="488" cm="1">
        <f t="array" ref="AN19">_xll.BDP($B19&amp;" Equity","theta_mid_rt")</f>
        <v>-0.10406755656003952</v>
      </c>
      <c r="AO19" s="496">
        <f t="shared" si="63"/>
        <v>-780.5066742002964</v>
      </c>
      <c r="AP19" s="496">
        <f t="shared" si="64"/>
        <v>13800</v>
      </c>
      <c r="AQ19" s="123" t="str" cm="1">
        <f t="array" ref="AQ19">_xll.BDP($D19&amp;" Equity","EXPECTED_REPORT_DT")</f>
        <v>28/01/2026</v>
      </c>
      <c r="AR19" s="486" cm="1">
        <f t="array" ref="AR19">_xll.BDP($B19&amp;" Equity","GAMMA_LAST")</f>
        <v>2.1080000000000002E-2</v>
      </c>
      <c r="AS19" s="384">
        <f t="shared" si="14"/>
        <v>365143.23264840001</v>
      </c>
      <c r="AT19" s="384">
        <f t="shared" si="15"/>
        <v>1825716.1632420002</v>
      </c>
      <c r="AU19" s="384" t="s">
        <v>151</v>
      </c>
      <c r="AV19" s="368" cm="1">
        <f t="array" ref="AV19">_xll.BDP($D19&amp;" Equity","EST_PE_NXT_YR")*(AA19/Z19)</f>
        <v>26.639446103703627</v>
      </c>
      <c r="AX19" s="496"/>
      <c r="AY19" s="496">
        <v>31.13</v>
      </c>
      <c r="AZ19" s="485"/>
      <c r="BA19" s="496">
        <f t="shared" si="65"/>
        <v>31.13</v>
      </c>
      <c r="BB19" s="484">
        <f t="shared" si="66"/>
        <v>0</v>
      </c>
      <c r="BC19" s="484">
        <f t="shared" si="67"/>
        <v>-233475</v>
      </c>
      <c r="BD19" s="484">
        <f>BC19/'Master P&amp;L'!$AD$7*10000</f>
        <v>-0.97436982473520117</v>
      </c>
    </row>
    <row r="20" spans="1:56" s="59" customFormat="1">
      <c r="A20" s="424"/>
      <c r="B20" s="59" t="s">
        <v>2049</v>
      </c>
      <c r="C20" s="59" t="str" cm="1">
        <f t="array" ref="C20">_xll.BDP($B20&amp;" Equity","opt_put_call")</f>
        <v>Put</v>
      </c>
      <c r="D20" s="59" t="str" cm="1">
        <f t="array" ref="D20">_xll.BDP(B20&amp;" Equity","OPT_UNDL_TICKER")</f>
        <v>MSFT US</v>
      </c>
      <c r="E20" s="59" t="str" cm="1">
        <f t="array" ref="E20">_xll.BDP($B20&amp;" Equity","mifid_Maturity_date")</f>
        <v>20/03/2026</v>
      </c>
      <c r="F20" s="59" cm="1">
        <f t="array" ref="F20">_xll.BDP($B20&amp;" Equity","opt_days_expire")</f>
        <v>52</v>
      </c>
      <c r="G20" s="59" t="str" cm="1">
        <f t="array" ref="G20">_xll.BDP(B20&amp;" Equity","QUOTED_CURRENCY_REALTIME")</f>
        <v>USD</v>
      </c>
      <c r="H20" s="404">
        <v>-50</v>
      </c>
      <c r="I20" s="411">
        <v>17.829999999999998</v>
      </c>
      <c r="J20" s="14">
        <f>VLOOKUP(B20,Precificação!$B:$O,14,FALSE)</f>
        <v>17.649999999999999</v>
      </c>
      <c r="K20" s="14">
        <f t="shared" si="19"/>
        <v>17.649999999999999</v>
      </c>
      <c r="L20" s="14">
        <v>14.75</v>
      </c>
      <c r="M20" s="128">
        <f t="shared" si="1"/>
        <v>3.0692080402846562E-2</v>
      </c>
      <c r="N20" s="425"/>
      <c r="O20" s="128">
        <f t="shared" si="2"/>
        <v>-0.16430594900849849</v>
      </c>
      <c r="P20" s="14" cm="1">
        <f t="array" ref="P20">_xll.BDP($B20&amp;" Equity","bid")</f>
        <v>13.75</v>
      </c>
      <c r="Q20" s="14" cm="1">
        <f t="array" ref="Q20">_xll.BDP($B20&amp;" Equity","ask")</f>
        <v>14</v>
      </c>
      <c r="R20" s="423">
        <f t="shared" si="3"/>
        <v>1.8181818181818077E-2</v>
      </c>
      <c r="S20" s="14" cm="1">
        <f t="array" ref="S20">_xll.BDP(G20&amp;" Curncy","PX_LAST")</f>
        <v>1</v>
      </c>
      <c r="T20" s="404" cm="1">
        <f t="array" ref="T20">_xll.BDP(B20&amp;" Equity","OPT_MULTIPLIER")</f>
        <v>100</v>
      </c>
      <c r="U20" s="404">
        <f t="shared" si="4"/>
        <v>-73750</v>
      </c>
      <c r="V20" s="426">
        <f>U20/'Master P&amp;L'!$AD$7*10000</f>
        <v>-0.30778359385039544</v>
      </c>
      <c r="W20" s="426">
        <f>(Y20*H20*T20/S20)/'Master P&amp;L'!$AD$7*10000</f>
        <v>-0.30778359385039544</v>
      </c>
      <c r="X20" s="427">
        <f t="shared" si="5"/>
        <v>0</v>
      </c>
      <c r="Y20" s="428">
        <f t="shared" si="6"/>
        <v>14.75</v>
      </c>
      <c r="Z20" s="429">
        <f>_xll.BDP(D20&amp;" Equity","LAST_PRICE")</f>
        <v>480.58</v>
      </c>
      <c r="AA20" s="429" cm="1">
        <f t="array" ref="AA20">_xll.BDP(B20&amp;" Equity","OPT_STRIKE_PX")</f>
        <v>465</v>
      </c>
      <c r="AB20" s="423">
        <f t="shared" si="7"/>
        <v>-3.2419160181447415E-2</v>
      </c>
      <c r="AC20" s="430" cm="1">
        <f t="array" ref="AC20">_xll.BDP($D20&amp;" Equity","volatility_10d")</f>
        <v>31.96297362899611</v>
      </c>
      <c r="AD20" s="429" cm="1">
        <f t="array" ref="AD20">_xll.BDP(B20&amp;" Equity","ivol_mid")</f>
        <v>29.695229999999999</v>
      </c>
      <c r="AE20" s="429">
        <f t="shared" si="8"/>
        <v>0.9290509182493939</v>
      </c>
      <c r="AF20" s="431"/>
      <c r="AG20" s="128"/>
      <c r="AH20" s="128"/>
      <c r="AI20" s="440"/>
      <c r="AJ20" s="425">
        <f t="shared" si="9"/>
        <v>0</v>
      </c>
      <c r="AK20" s="431">
        <f>AP20/'Master P&amp;L'!$AD$7*10000</f>
        <v>6.0513384553637049E-2</v>
      </c>
      <c r="AL20" s="404">
        <f t="shared" si="10"/>
        <v>0</v>
      </c>
      <c r="AM20" s="404">
        <f t="shared" si="11"/>
        <v>2402900</v>
      </c>
      <c r="AN20" s="431" cm="1">
        <f t="array" ref="AN20">_xll.BDP($B20&amp;" Equity","theta_mid_rt")</f>
        <v>-0.19198855757713318</v>
      </c>
      <c r="AO20" s="404">
        <f t="shared" si="12"/>
        <v>959.94278788566589</v>
      </c>
      <c r="AP20" s="404">
        <f t="shared" si="13"/>
        <v>14499.999999999995</v>
      </c>
      <c r="AQ20" s="14" t="str" cm="1">
        <f t="array" ref="AQ20">_xll.BDP($D20&amp;" Equity","EXPECTED_REPORT_DT")</f>
        <v>28/01/2026</v>
      </c>
      <c r="AR20" s="114" cm="1">
        <f t="array" ref="AR20">_xll.BDP($B20&amp;" Equity","GAMMA_LAST")</f>
        <v>3.3038999999999999E-2</v>
      </c>
      <c r="AS20" s="59">
        <f t="shared" si="14"/>
        <v>-381529.64147598</v>
      </c>
      <c r="AT20" s="59">
        <f t="shared" si="15"/>
        <v>-1907648.2073799002</v>
      </c>
      <c r="AU20" s="59" t="s">
        <v>151</v>
      </c>
      <c r="AV20" s="337" cm="1">
        <f t="array" ref="AV20">_xll.BDP($D20&amp;" Equity","EST_PE_NXT_YR")*(AA20/Z20)</f>
        <v>24.774684876444372</v>
      </c>
      <c r="AX20" s="404"/>
      <c r="AY20" s="404">
        <v>14.75</v>
      </c>
      <c r="AZ20" s="432"/>
      <c r="BA20" s="404">
        <f t="shared" si="16"/>
        <v>14.75</v>
      </c>
      <c r="BB20" s="433">
        <f t="shared" si="17"/>
        <v>17.649999999999999</v>
      </c>
      <c r="BC20" s="433">
        <f t="shared" si="18"/>
        <v>-14499.999999999995</v>
      </c>
      <c r="BD20" s="433">
        <f>BC20/'Master P&amp;L'!$AD$7*10000</f>
        <v>-6.0513384553637049E-2</v>
      </c>
    </row>
    <row r="21" spans="1:56" s="132" customFormat="1">
      <c r="A21" s="452"/>
      <c r="B21" s="132" t="s">
        <v>2353</v>
      </c>
      <c r="C21" s="132" t="str" cm="1">
        <f t="array" ref="C21">_xll.BDP($B21&amp;" Equity","opt_put_call")</f>
        <v>Call</v>
      </c>
      <c r="D21" s="132" t="str" cm="1">
        <f t="array" ref="D21">_xll.BDP(B21&amp;" Equity","OPT_UNDL_TICKER")</f>
        <v>INTC US</v>
      </c>
      <c r="E21" s="132" t="str" cm="1">
        <f t="array" ref="E21">_xll.BDP($B21&amp;" Equity","mifid_Maturity_date")</f>
        <v>17/07/2026</v>
      </c>
      <c r="F21" s="132" cm="1">
        <f t="array" ref="F21">_xll.BDP($B21&amp;" Equity","opt_days_expire")</f>
        <v>171</v>
      </c>
      <c r="G21" s="132" t="str" cm="1">
        <f t="array" ref="G21">_xll.BDP(B21&amp;" Equity","QUOTED_CURRENCY_REALTIME")</f>
        <v>USD</v>
      </c>
      <c r="H21" s="348">
        <v>-150</v>
      </c>
      <c r="I21" s="453">
        <v>3.7</v>
      </c>
      <c r="J21" s="14">
        <f>VLOOKUP(B21,Precificação!$B:$O,14,FALSE)</f>
        <v>2.35</v>
      </c>
      <c r="K21" s="14">
        <f t="shared" si="19"/>
        <v>2.35</v>
      </c>
      <c r="L21" s="197" cm="1">
        <f t="array" ref="L21">_xll.BDP($B21&amp;" Equity","mid")</f>
        <v>2.65</v>
      </c>
      <c r="M21" s="454">
        <f t="shared" ref="M21:M24" si="68">L21/Z21</f>
        <v>6.0323241520600958E-2</v>
      </c>
      <c r="N21" s="455"/>
      <c r="O21" s="454">
        <f t="shared" ref="O21:O24" si="69">L21/K21-1</f>
        <v>0.12765957446808507</v>
      </c>
      <c r="P21" s="197" cm="1">
        <f t="array" ref="P21">_xll.BDP($B21&amp;" Equity","bid")</f>
        <v>2.54</v>
      </c>
      <c r="Q21" s="197" cm="1">
        <f t="array" ref="Q21">_xll.BDP($B21&amp;" Equity","ask")</f>
        <v>2.75</v>
      </c>
      <c r="R21" s="456">
        <f t="shared" ref="R21:R24" si="70">(Q21/P21-1)</f>
        <v>8.2677165354330784E-2</v>
      </c>
      <c r="S21" s="197" cm="1">
        <f t="array" ref="S21">_xll.BDP(G21&amp;" Curncy","PX_LAST")</f>
        <v>1</v>
      </c>
      <c r="T21" s="348" cm="1">
        <f t="array" ref="T21">_xll.BDP(B21&amp;" Equity","OPT_MULTIPLIER")</f>
        <v>100</v>
      </c>
      <c r="U21" s="348">
        <f t="shared" ref="U21:U24" si="71">(L21/S21)*H21*T21</f>
        <v>-39750</v>
      </c>
      <c r="V21" s="457">
        <f>U21/'Master P&amp;L'!$AD$7*10000</f>
        <v>-0.16589014041428096</v>
      </c>
      <c r="W21" s="457">
        <f>(Y21*H21*T21/S21)/'Master P&amp;L'!$AD$7*10000</f>
        <v>-0.16589014041428096</v>
      </c>
      <c r="X21" s="458">
        <f t="shared" ref="X21:X24" si="72">IF(C21="Put",IF(Z21&lt;AA21,AA21-Z21,0),IF(Z21&gt;AA21,Z21-AA21,0))</f>
        <v>0</v>
      </c>
      <c r="Y21" s="459">
        <f t="shared" ref="Y21:Y24" si="73">L21-X21</f>
        <v>2.65</v>
      </c>
      <c r="Z21" s="460">
        <f>_xll.BDP(D21&amp;" Equity","LAST_PRICE")</f>
        <v>43.93</v>
      </c>
      <c r="AA21" s="460" cm="1">
        <f t="array" ref="AA21">_xll.BDP(B21&amp;" Equity","OPT_STRIKE_PX")</f>
        <v>60</v>
      </c>
      <c r="AB21" s="456">
        <f t="shared" ref="AB21:AB24" si="74">AA21/Z21-1</f>
        <v>0.36580924197587072</v>
      </c>
      <c r="AC21" s="461" cm="1">
        <f t="array" ref="AC21">_xll.BDP($D21&amp;" Equity","volatility_10d")</f>
        <v>132.23000994534166</v>
      </c>
      <c r="AD21" s="460" cm="1">
        <f t="array" ref="AD21">_xll.BDP(B21&amp;" Equity","ivol_mid")</f>
        <v>58.32734</v>
      </c>
      <c r="AE21" s="460">
        <f t="shared" ref="AE21:AE24" si="75">AD21/AC21</f>
        <v>0.44110516231610414</v>
      </c>
      <c r="AF21" s="462" cm="1">
        <f t="array" ref="AF21">_xll.BDP(B21&amp;" Equity","DELTA_MID_RT")</f>
        <v>0.29266536235809326</v>
      </c>
      <c r="AG21" s="454">
        <f>AL21/'Master P&amp;L'!$AE$7</f>
        <v>-8.0483569569782026E-5</v>
      </c>
      <c r="AH21" s="454">
        <f>AM21/'Master P&amp;L'!$AE$7</f>
        <v>-2.7500203276978726E-4</v>
      </c>
      <c r="AI21" s="463">
        <f>AO21/'Master P&amp;L'!$AD$7*10000</f>
        <v>1.0797447794325147E-3</v>
      </c>
      <c r="AJ21" s="455">
        <f t="shared" ref="AJ21:AJ24" si="76">(252*AI21)/$AI$1</f>
        <v>-1.043836230594093E-2</v>
      </c>
      <c r="AK21" s="462">
        <f>AP21/'Master P&amp;L'!$AD$7*10000</f>
        <v>-1.8780015895956324E-2</v>
      </c>
      <c r="AL21" s="348">
        <f t="shared" ref="AL21:AL24" si="77">Z21*AF21*H21*T21/S21</f>
        <v>-192851.84052586555</v>
      </c>
      <c r="AM21" s="348">
        <f t="shared" ref="AM21:AM24" si="78">IF(C21="Put",-Z21*H21*T21/S21,Z21*H21*T21/S21)</f>
        <v>-658950</v>
      </c>
      <c r="AN21" s="462" cm="1">
        <f t="array" ref="AN21">_xll.BDP($B21&amp;" Equity","theta_mid_rt")</f>
        <v>-1.7248304560780525E-2</v>
      </c>
      <c r="AO21" s="348">
        <f t="shared" ref="AO21:AO24" si="79">AN21*H21*T21/S21</f>
        <v>258.72456841170788</v>
      </c>
      <c r="AP21" s="348">
        <f t="shared" ref="AP21:AP24" si="80">(L21-K21)*T21/S21*H21</f>
        <v>-4499.9999999999973</v>
      </c>
      <c r="AQ21" s="197" t="str" cm="1">
        <f t="array" ref="AQ21">_xll.BDP($D21&amp;" Equity","EXPECTED_REPORT_DT")</f>
        <v>24/04/2026</v>
      </c>
      <c r="AR21" s="464" cm="1">
        <f t="array" ref="AR21">_xll.BDP($B21&amp;" Equity","GAMMA_LAST")</f>
        <v>8.6320000000000008E-3</v>
      </c>
      <c r="AS21" s="132">
        <f t="shared" si="14"/>
        <v>-2498.7631765199999</v>
      </c>
      <c r="AT21" s="132">
        <f t="shared" si="15"/>
        <v>-12493.815882600002</v>
      </c>
      <c r="AU21" s="132" t="s">
        <v>151</v>
      </c>
      <c r="AV21" s="465" cm="1">
        <f t="array" ref="AV21">_xll.BDP($D21&amp;" Equity","EST_PE_NXT_YR")*(AA21/Z21)</f>
        <v>60.478967591114639</v>
      </c>
      <c r="AX21" s="348"/>
      <c r="AY21" s="348">
        <v>2.65</v>
      </c>
      <c r="AZ21" s="466"/>
      <c r="BA21" s="348">
        <f t="shared" ref="BA21:BA24" si="81">+AY21</f>
        <v>2.65</v>
      </c>
      <c r="BB21" s="467">
        <f t="shared" ref="BB21:BB24" si="82">+J21</f>
        <v>2.35</v>
      </c>
      <c r="BC21" s="467">
        <f t="shared" ref="BC21:BC24" si="83">(BB21-BA21)*H21*100</f>
        <v>4499.9999999999973</v>
      </c>
      <c r="BD21" s="467">
        <f>BC21/'Master P&amp;L'!$AD$7*10000</f>
        <v>1.8780015895956324E-2</v>
      </c>
    </row>
    <row r="22" spans="1:56" s="132" customFormat="1">
      <c r="A22" s="452"/>
      <c r="B22" s="132" t="s">
        <v>2352</v>
      </c>
      <c r="C22" s="132" t="str" cm="1">
        <f t="array" ref="C22">_xll.BDP($B22&amp;" Equity","opt_put_call")</f>
        <v>Call</v>
      </c>
      <c r="D22" s="132" t="str" cm="1">
        <f t="array" ref="D22">_xll.BDP(B22&amp;" Equity","OPT_UNDL_TICKER")</f>
        <v>INTC US</v>
      </c>
      <c r="E22" s="132" t="str" cm="1">
        <f t="array" ref="E22">_xll.BDP($B22&amp;" Equity","mifid_Maturity_date")</f>
        <v>17/07/2026</v>
      </c>
      <c r="F22" s="132" cm="1">
        <f t="array" ref="F22">_xll.BDP($B22&amp;" Equity","opt_days_expire")</f>
        <v>171</v>
      </c>
      <c r="G22" s="132" t="str" cm="1">
        <f t="array" ref="G22">_xll.BDP(B22&amp;" Equity","QUOTED_CURRENCY_REALTIME")</f>
        <v>USD</v>
      </c>
      <c r="H22" s="348">
        <v>150</v>
      </c>
      <c r="I22" s="453">
        <v>6.4</v>
      </c>
      <c r="J22" s="14">
        <f>VLOOKUP(B22,Precificação!$B:$O,14,FALSE)</f>
        <v>4.1500000000000004</v>
      </c>
      <c r="K22" s="14">
        <f t="shared" si="19"/>
        <v>4.1500000000000004</v>
      </c>
      <c r="L22" s="197" cm="1">
        <f t="array" ref="L22">_xll.BDP($B22&amp;" Equity","mid")</f>
        <v>4.8</v>
      </c>
      <c r="M22" s="454">
        <f t="shared" si="68"/>
        <v>0.10926473935806966</v>
      </c>
      <c r="N22" s="455"/>
      <c r="O22" s="454">
        <f t="shared" si="69"/>
        <v>0.15662650602409633</v>
      </c>
      <c r="P22" s="197" cm="1">
        <f t="array" ref="P22">_xll.BDP($B22&amp;" Equity","bid")</f>
        <v>4.7</v>
      </c>
      <c r="Q22" s="197" cm="1">
        <f t="array" ref="Q22">_xll.BDP($B22&amp;" Equity","ask")</f>
        <v>4.9000000000000004</v>
      </c>
      <c r="R22" s="456">
        <f t="shared" si="70"/>
        <v>4.2553191489361764E-2</v>
      </c>
      <c r="S22" s="197" cm="1">
        <f t="array" ref="S22">_xll.BDP(G22&amp;" Curncy","PX_LAST")</f>
        <v>1</v>
      </c>
      <c r="T22" s="348" cm="1">
        <f t="array" ref="T22">_xll.BDP(B22&amp;" Equity","OPT_MULTIPLIER")</f>
        <v>100</v>
      </c>
      <c r="U22" s="348">
        <f t="shared" si="71"/>
        <v>72000</v>
      </c>
      <c r="V22" s="457">
        <f>U22/'Master P&amp;L'!$AD$7*10000</f>
        <v>0.30048025433530134</v>
      </c>
      <c r="W22" s="457">
        <f>(Y22*H22*T22/S22)/'Master P&amp;L'!$AD$7*10000</f>
        <v>0.30048025433530134</v>
      </c>
      <c r="X22" s="458">
        <f t="shared" si="72"/>
        <v>0</v>
      </c>
      <c r="Y22" s="459">
        <f t="shared" si="73"/>
        <v>4.8</v>
      </c>
      <c r="Z22" s="460">
        <f>_xll.BDP(D22&amp;" Equity","LAST_PRICE")</f>
        <v>43.93</v>
      </c>
      <c r="AA22" s="460" cm="1">
        <f t="array" ref="AA22">_xll.BDP(B22&amp;" Equity","OPT_STRIKE_PX")</f>
        <v>50</v>
      </c>
      <c r="AB22" s="456">
        <f t="shared" si="74"/>
        <v>0.13817436831322549</v>
      </c>
      <c r="AC22" s="461" cm="1">
        <f t="array" ref="AC22">_xll.BDP($D22&amp;" Equity","volatility_10d")</f>
        <v>132.23000994534166</v>
      </c>
      <c r="AD22" s="460" cm="1">
        <f t="array" ref="AD22">_xll.BDP(B22&amp;" Equity","ivol_mid")</f>
        <v>56.450049999999997</v>
      </c>
      <c r="AE22" s="460">
        <f t="shared" si="75"/>
        <v>0.4269080069141194</v>
      </c>
      <c r="AF22" s="462" cm="1">
        <f t="array" ref="AF22">_xll.BDP(B22&amp;" Equity","DELTA_MID_RT")</f>
        <v>0.46067351102828979</v>
      </c>
      <c r="AG22" s="454">
        <f>AL22/'Master P&amp;L'!$AE$7</f>
        <v>1.2668615197597471E-4</v>
      </c>
      <c r="AH22" s="454">
        <f>AM22/'Master P&amp;L'!$AE$7</f>
        <v>2.7500203276978726E-4</v>
      </c>
      <c r="AI22" s="463">
        <f>AO22/'Master P&amp;L'!$AD$7*10000</f>
        <v>-1.2022368317924704E-3</v>
      </c>
      <c r="AJ22" s="455">
        <f t="shared" si="76"/>
        <v>1.1622546241336766E-2</v>
      </c>
      <c r="AK22" s="462">
        <f>AP22/'Master P&amp;L'!$AD$7*10000</f>
        <v>4.0690034441238691E-2</v>
      </c>
      <c r="AL22" s="348">
        <f t="shared" si="77"/>
        <v>303560.81009209156</v>
      </c>
      <c r="AM22" s="348">
        <f t="shared" si="78"/>
        <v>658950</v>
      </c>
      <c r="AN22" s="462" cm="1">
        <f t="array" ref="AN22">_xll.BDP($B22&amp;" Equity","theta_mid_rt")</f>
        <v>-1.9205044955015182E-2</v>
      </c>
      <c r="AO22" s="348">
        <f t="shared" si="79"/>
        <v>-288.07567432522774</v>
      </c>
      <c r="AP22" s="348">
        <f t="shared" si="80"/>
        <v>9749.9999999999909</v>
      </c>
      <c r="AQ22" s="197" t="str" cm="1">
        <f t="array" ref="AQ22">_xll.BDP($D22&amp;" Equity","EXPECTED_REPORT_DT")</f>
        <v>24/04/2026</v>
      </c>
      <c r="AR22" s="464" cm="1">
        <f t="array" ref="AR22">_xll.BDP($B22&amp;" Equity","GAMMA_LAST")</f>
        <v>1.0354E-2</v>
      </c>
      <c r="AS22" s="132">
        <f t="shared" si="14"/>
        <v>2997.2421141899999</v>
      </c>
      <c r="AT22" s="132">
        <f t="shared" si="15"/>
        <v>14986.210570950001</v>
      </c>
      <c r="AU22" s="132" t="s">
        <v>151</v>
      </c>
      <c r="AV22" s="465" cm="1">
        <f t="array" ref="AV22">_xll.BDP($D22&amp;" Equity","EST_PE_NXT_YR")*(AA22/Z22)</f>
        <v>50.399139659262197</v>
      </c>
      <c r="AX22" s="348"/>
      <c r="AY22" s="348">
        <v>4.8</v>
      </c>
      <c r="AZ22" s="466"/>
      <c r="BA22" s="348">
        <f t="shared" si="81"/>
        <v>4.8</v>
      </c>
      <c r="BB22" s="467">
        <f t="shared" si="82"/>
        <v>4.1500000000000004</v>
      </c>
      <c r="BC22" s="467">
        <f t="shared" si="83"/>
        <v>-9749.9999999999909</v>
      </c>
      <c r="BD22" s="467">
        <f>BC22/'Master P&amp;L'!$AD$7*10000</f>
        <v>-4.0690034441238691E-2</v>
      </c>
    </row>
    <row r="23" spans="1:56" s="132" customFormat="1">
      <c r="A23" s="452"/>
      <c r="B23" s="132" t="s">
        <v>2351</v>
      </c>
      <c r="C23" s="132" t="str" cm="1">
        <f t="array" ref="C23">_xll.BDP($B23&amp;" Equity","opt_put_call")</f>
        <v>Put</v>
      </c>
      <c r="D23" s="132" t="str" cm="1">
        <f t="array" ref="D23">_xll.BDP(B23&amp;" Equity","OPT_UNDL_TICKER")</f>
        <v>INTC US</v>
      </c>
      <c r="E23" s="132" t="str" cm="1">
        <f t="array" ref="E23">_xll.BDP($B23&amp;" Equity","mifid_Maturity_date")</f>
        <v>17/07/2026</v>
      </c>
      <c r="F23" s="132" cm="1">
        <f t="array" ref="F23">_xll.BDP($B23&amp;" Equity","opt_days_expire")</f>
        <v>171</v>
      </c>
      <c r="G23" s="132" t="str" cm="1">
        <f t="array" ref="G23">_xll.BDP(B23&amp;" Equity","QUOTED_CURRENCY_REALTIME")</f>
        <v>USD</v>
      </c>
      <c r="H23" s="348">
        <v>-150</v>
      </c>
      <c r="I23" s="453">
        <v>3.8</v>
      </c>
      <c r="J23" s="14">
        <f>VLOOKUP(B23,Precificação!$B:$O,14,FALSE)</f>
        <v>4.5749999999999993</v>
      </c>
      <c r="K23" s="14">
        <f t="shared" si="19"/>
        <v>4.5749999999999993</v>
      </c>
      <c r="L23" s="197" cm="1">
        <f t="array" ref="L23">_xll.BDP($B23&amp;" Equity","mid")</f>
        <v>4.0999999999999996</v>
      </c>
      <c r="M23" s="454">
        <f t="shared" si="68"/>
        <v>9.3330298201684495E-2</v>
      </c>
      <c r="N23" s="455"/>
      <c r="O23" s="454">
        <f t="shared" si="69"/>
        <v>-0.10382513661202175</v>
      </c>
      <c r="P23" s="197" cm="1">
        <f t="array" ref="P23">_xll.BDP($B23&amp;" Equity","bid")</f>
        <v>4</v>
      </c>
      <c r="Q23" s="197" cm="1">
        <f t="array" ref="Q23">_xll.BDP($B23&amp;" Equity","ask")</f>
        <v>4.2</v>
      </c>
      <c r="R23" s="456">
        <f t="shared" si="70"/>
        <v>5.0000000000000044E-2</v>
      </c>
      <c r="S23" s="197" cm="1">
        <f t="array" ref="S23">_xll.BDP(G23&amp;" Curncy","PX_LAST")</f>
        <v>1</v>
      </c>
      <c r="T23" s="348" cm="1">
        <f t="array" ref="T23">_xll.BDP(B23&amp;" Equity","OPT_MULTIPLIER")</f>
        <v>100</v>
      </c>
      <c r="U23" s="348">
        <f t="shared" si="71"/>
        <v>-61500</v>
      </c>
      <c r="V23" s="457">
        <f>U23/'Master P&amp;L'!$AD$7*10000</f>
        <v>-0.25666021724473659</v>
      </c>
      <c r="W23" s="457">
        <f>(Y23*H23*T23/S23)/'Master P&amp;L'!$AD$7*10000</f>
        <v>-0.25666021724473659</v>
      </c>
      <c r="X23" s="458">
        <f t="shared" si="72"/>
        <v>0</v>
      </c>
      <c r="Y23" s="459">
        <f t="shared" si="73"/>
        <v>4.0999999999999996</v>
      </c>
      <c r="Z23" s="460">
        <f>_xll.BDP(D23&amp;" Equity","LAST_PRICE")</f>
        <v>43.93</v>
      </c>
      <c r="AA23" s="460" cm="1">
        <f t="array" ref="AA23">_xll.BDP(B23&amp;" Equity","OPT_STRIKE_PX")</f>
        <v>40</v>
      </c>
      <c r="AB23" s="456">
        <f t="shared" si="74"/>
        <v>-8.9460505349419517E-2</v>
      </c>
      <c r="AC23" s="461" cm="1">
        <f t="array" ref="AC23">_xll.BDP($D23&amp;" Equity","volatility_10d")</f>
        <v>132.23000994534166</v>
      </c>
      <c r="AD23" s="460" cm="1">
        <f t="array" ref="AD23">_xll.BDP(B23&amp;" Equity","ivol_mid")</f>
        <v>53.677140000000001</v>
      </c>
      <c r="AE23" s="460">
        <f t="shared" si="75"/>
        <v>0.40593765380633245</v>
      </c>
      <c r="AF23" s="462" cm="1">
        <f t="array" ref="AF23">_xll.BDP(B23&amp;" Equity","DELTA_MID_RT")</f>
        <v>-0.31786641478538513</v>
      </c>
      <c r="AG23" s="454">
        <f>AL23/'Master P&amp;L'!$AE$7</f>
        <v>8.7413910215225279E-5</v>
      </c>
      <c r="AH23" s="454">
        <f>AM23/'Master P&amp;L'!$AE$7</f>
        <v>2.7500203276978726E-4</v>
      </c>
      <c r="AI23" s="463">
        <f>AO23/'Master P&amp;L'!$AD$7*10000</f>
        <v>1.0512550233206979E-3</v>
      </c>
      <c r="AJ23" s="455">
        <f t="shared" si="76"/>
        <v>-1.0162939444939151E-2</v>
      </c>
      <c r="AK23" s="462">
        <f>AP23/'Master P&amp;L'!$AD$7*10000</f>
        <v>2.9735025168597506E-2</v>
      </c>
      <c r="AL23" s="348">
        <f t="shared" si="77"/>
        <v>209458.07402282953</v>
      </c>
      <c r="AM23" s="348">
        <f t="shared" si="78"/>
        <v>658950</v>
      </c>
      <c r="AN23" s="462" cm="1">
        <f t="array" ref="AN23">_xll.BDP($B23&amp;" Equity","theta_mid_rt")</f>
        <v>-1.6793197020888329E-2</v>
      </c>
      <c r="AO23" s="348">
        <f t="shared" si="79"/>
        <v>251.89795531332493</v>
      </c>
      <c r="AP23" s="348">
        <f t="shared" si="80"/>
        <v>7124.9999999999945</v>
      </c>
      <c r="AQ23" s="197" t="str" cm="1">
        <f t="array" ref="AQ23">_xll.BDP($D23&amp;" Equity","EXPECTED_REPORT_DT")</f>
        <v>24/04/2026</v>
      </c>
      <c r="AR23" s="464" cm="1">
        <f t="array" ref="AR23">_xll.BDP($B23&amp;" Equity","GAMMA_LAST")</f>
        <v>9.8230000000000001E-3</v>
      </c>
      <c r="AS23" s="132">
        <f t="shared" si="14"/>
        <v>-2843.5299679049999</v>
      </c>
      <c r="AT23" s="132">
        <f t="shared" si="15"/>
        <v>-14217.649839525</v>
      </c>
      <c r="AU23" s="132" t="s">
        <v>151</v>
      </c>
      <c r="AV23" s="465" cm="1">
        <f t="array" ref="AV23">_xll.BDP($D23&amp;" Equity","EST_PE_NXT_YR")*(AA23/Z23)</f>
        <v>40.319311727409762</v>
      </c>
      <c r="AX23" s="348"/>
      <c r="AY23" s="348">
        <v>4.0999999999999996</v>
      </c>
      <c r="AZ23" s="466"/>
      <c r="BA23" s="348">
        <f t="shared" si="81"/>
        <v>4.0999999999999996</v>
      </c>
      <c r="BB23" s="467">
        <f t="shared" si="82"/>
        <v>4.5749999999999993</v>
      </c>
      <c r="BC23" s="467">
        <f t="shared" si="83"/>
        <v>-7124.9999999999945</v>
      </c>
      <c r="BD23" s="467">
        <f>BC23/'Master P&amp;L'!$AD$7*10000</f>
        <v>-2.9735025168597506E-2</v>
      </c>
    </row>
    <row r="24" spans="1:56" s="59" customFormat="1">
      <c r="A24" s="424"/>
      <c r="B24" s="59" t="s">
        <v>2391</v>
      </c>
      <c r="C24" s="59" t="str" cm="1">
        <f t="array" ref="C24">_xll.BDP($B24&amp;" Equity","opt_put_call")</f>
        <v>Put</v>
      </c>
      <c r="D24" s="59" t="str" cm="1">
        <f t="array" ref="D24">_xll.BDP(B24&amp;" Equity","OPT_UNDL_TICKER")</f>
        <v>QQQ US</v>
      </c>
      <c r="E24" s="59" t="str" cm="1">
        <f t="array" ref="E24">_xll.BDP($B24&amp;" Equity","mifid_Maturity_date")</f>
        <v>29/01/2026</v>
      </c>
      <c r="F24" s="59" cm="1">
        <f t="array" ref="F24">_xll.BDP($B24&amp;" Equity","opt_days_expire")</f>
        <v>2</v>
      </c>
      <c r="G24" s="59" t="str" cm="1">
        <f t="array" ref="G24">_xll.BDP(B24&amp;" Equity","QUOTED_CURRENCY_REALTIME")</f>
        <v>USD</v>
      </c>
      <c r="H24" s="404">
        <v>150</v>
      </c>
      <c r="I24" s="411">
        <v>2.94</v>
      </c>
      <c r="J24" s="14"/>
      <c r="K24" s="14">
        <v>2.94</v>
      </c>
      <c r="L24" s="74" cm="1">
        <f t="array" ref="L24">_xll.BDP($B24&amp;" Equity","mid")</f>
        <v>2.94</v>
      </c>
      <c r="M24" s="128">
        <f t="shared" si="68"/>
        <v>4.6583112829369543E-3</v>
      </c>
      <c r="N24" s="425"/>
      <c r="O24" s="128">
        <f t="shared" si="69"/>
        <v>0</v>
      </c>
      <c r="P24" s="14" cm="1">
        <f t="array" ref="P24">_xll.BDP($B24&amp;" Equity","bid")</f>
        <v>2.92</v>
      </c>
      <c r="Q24" s="14" cm="1">
        <f t="array" ref="Q24">_xll.BDP($B24&amp;" Equity","ask")</f>
        <v>2.95</v>
      </c>
      <c r="R24" s="423">
        <f t="shared" si="70"/>
        <v>1.0273972602739878E-2</v>
      </c>
      <c r="S24" s="14" cm="1">
        <f t="array" ref="S24">_xll.BDP(G24&amp;" Curncy","PX_LAST")</f>
        <v>1</v>
      </c>
      <c r="T24" s="404" cm="1">
        <f t="array" ref="T24">_xll.BDP(B24&amp;" Equity","OPT_MULTIPLIER")</f>
        <v>100</v>
      </c>
      <c r="U24" s="404">
        <f t="shared" si="71"/>
        <v>44100</v>
      </c>
      <c r="V24" s="426">
        <f>U24/'Master P&amp;L'!$AD$7*10000</f>
        <v>0.18404415578037209</v>
      </c>
      <c r="W24" s="426">
        <f>(Y24*H24*T24/S24)/'Master P&amp;L'!$AD$7*10000</f>
        <v>0.18404415578037209</v>
      </c>
      <c r="X24" s="427">
        <f t="shared" si="72"/>
        <v>0</v>
      </c>
      <c r="Y24" s="428">
        <f t="shared" si="73"/>
        <v>2.94</v>
      </c>
      <c r="Z24" s="429">
        <f>_xll.BDP(D24&amp;" Equity","LAST_PRICE")</f>
        <v>631.13</v>
      </c>
      <c r="AA24" s="429" cm="1">
        <f t="array" ref="AA24">_xll.BDP(B24&amp;" Equity","OPT_STRIKE_PX")</f>
        <v>628</v>
      </c>
      <c r="AB24" s="423">
        <f t="shared" si="74"/>
        <v>-4.9593586107458121E-3</v>
      </c>
      <c r="AC24" s="430" cm="1">
        <f t="array" ref="AC24">_xll.BDP($D24&amp;" Equity","volatility_10d")</f>
        <v>17.338544062671879</v>
      </c>
      <c r="AD24" s="429" cm="1">
        <f t="array" ref="AD24">_xll.BDP(B24&amp;" Equity","ivol_mid")</f>
        <v>19.53462</v>
      </c>
      <c r="AE24" s="429">
        <f t="shared" si="75"/>
        <v>1.1266586127064757</v>
      </c>
      <c r="AF24" s="38" cm="1">
        <f t="array" ref="AF24">_xll.BDP(B24&amp;" Equity","DELTA_MID_RT")</f>
        <v>-0.37978723645210266</v>
      </c>
      <c r="AG24" s="19">
        <f>AL24/'Master P&amp;L'!$AE$7</f>
        <v>-1.5004927121340633E-3</v>
      </c>
      <c r="AH24" s="19">
        <f>AM24/'Master P&amp;L'!$AE$7</f>
        <v>-3.9508771441383074E-3</v>
      </c>
      <c r="AI24" s="434">
        <f>AO24/'Master P&amp;L'!$AD$7*10000</f>
        <v>-4.9458830401383977E-2</v>
      </c>
      <c r="AJ24" s="425">
        <f t="shared" si="76"/>
        <v>0.47814002048620158</v>
      </c>
      <c r="AK24" s="431">
        <f>AP24/'Master P&amp;L'!$AD$7*10000</f>
        <v>0</v>
      </c>
      <c r="AL24" s="404">
        <f t="shared" si="77"/>
        <v>-3595426.7781302333</v>
      </c>
      <c r="AM24" s="404">
        <f t="shared" si="78"/>
        <v>-9466950</v>
      </c>
      <c r="AN24" s="431" cm="1">
        <f t="array" ref="AN24">_xll.BDP($B24&amp;" Equity","theta_mid_rt")</f>
        <v>-0.79007649421691895</v>
      </c>
      <c r="AO24" s="404">
        <f t="shared" si="79"/>
        <v>-11851.147413253784</v>
      </c>
      <c r="AP24" s="404">
        <f t="shared" si="80"/>
        <v>0</v>
      </c>
      <c r="AQ24" s="14" t="str" cm="1">
        <f t="array" ref="AQ24">_xll.BDP($D24&amp;" Equity","EXPECTED_REPORT_DT")</f>
        <v>#N/A N/A</v>
      </c>
      <c r="AR24" s="114" cm="1">
        <f t="array" ref="AR24">_xll.BDP($B24&amp;" Equity","GAMMA_LAST")</f>
        <v>0.21970600000000001</v>
      </c>
      <c r="AS24" s="59">
        <f t="shared" si="14"/>
        <v>13127161.401808711</v>
      </c>
      <c r="AT24" s="59">
        <f t="shared" si="15"/>
        <v>65635807.009043545</v>
      </c>
      <c r="AU24" s="59" t="s">
        <v>151</v>
      </c>
      <c r="AV24" s="337" t="e" cm="1">
        <f t="array" ref="AV24">_xll.BDP($D24&amp;" Equity","EST_PE_NXT_YR")*(AA24/Z24)</f>
        <v>#VALUE!</v>
      </c>
      <c r="AX24" s="404"/>
      <c r="AY24" s="404">
        <v>14.75</v>
      </c>
      <c r="AZ24" s="432"/>
      <c r="BA24" s="404">
        <f t="shared" si="81"/>
        <v>14.75</v>
      </c>
      <c r="BB24" s="433">
        <f t="shared" si="82"/>
        <v>0</v>
      </c>
      <c r="BC24" s="433">
        <f t="shared" si="83"/>
        <v>-221250</v>
      </c>
      <c r="BD24" s="433">
        <f>BC24/'Master P&amp;L'!$AD$7*10000</f>
        <v>-0.92335078155118655</v>
      </c>
    </row>
    <row r="25" spans="1:56" s="59" customFormat="1">
      <c r="A25" s="356"/>
      <c r="B25" t="s">
        <v>2228</v>
      </c>
      <c r="C25" t="str" cm="1">
        <f t="array" ref="C25">_xll.BDP($B25&amp;" Equity","opt_put_call")</f>
        <v>Call</v>
      </c>
      <c r="D25" t="str" cm="1">
        <f t="array" ref="D25">_xll.BDP(B25&amp;" Equity","OPT_UNDL_TICKER")</f>
        <v>TSM US</v>
      </c>
      <c r="E25" t="str" cm="1">
        <f t="array" ref="E25">_xll.BDP($B25&amp;" Equity","mifid_Maturity_date")</f>
        <v>18/06/2026</v>
      </c>
      <c r="F25" cm="1">
        <f t="array" ref="F25">_xll.BDP($B25&amp;" Equity","opt_days_expire")</f>
        <v>142</v>
      </c>
      <c r="G25" t="str" cm="1">
        <f t="array" ref="G25">_xll.BDP(B25&amp;" Equity","QUOTED_CURRENCY_REALTIME")</f>
        <v>USD</v>
      </c>
      <c r="H25" s="15">
        <v>1550</v>
      </c>
      <c r="I25" s="410">
        <v>34.200000000000003</v>
      </c>
      <c r="J25" s="14">
        <f>VLOOKUP(B25,Precificação!$B:$O,14,FALSE)</f>
        <v>29.774999999999999</v>
      </c>
      <c r="K25" s="14">
        <f t="shared" si="19"/>
        <v>29.774999999999999</v>
      </c>
      <c r="L25" s="74" cm="1">
        <f t="array" ref="L25">_xll.BDP($B25&amp;" Equity","mid")</f>
        <v>33.729999999999997</v>
      </c>
      <c r="M25" s="19">
        <f t="shared" si="1"/>
        <v>9.9692616894248381E-2</v>
      </c>
      <c r="N25" s="350"/>
      <c r="O25" s="19">
        <f t="shared" si="2"/>
        <v>0.13282955499580185</v>
      </c>
      <c r="P25" s="36" cm="1">
        <f t="array" ref="P25">_xll.BDP($B25&amp;" Equity","bid")</f>
        <v>33.1</v>
      </c>
      <c r="Q25" s="36" cm="1">
        <f t="array" ref="Q25">_xll.BDP($B25&amp;" Equity","ask")</f>
        <v>34.35</v>
      </c>
      <c r="R25" s="40">
        <f t="shared" si="3"/>
        <v>3.7764350453172169E-2</v>
      </c>
      <c r="S25" s="36" cm="1">
        <f t="array" ref="S25">_xll.BDP(G25&amp;" Curncy","PX_LAST")</f>
        <v>1</v>
      </c>
      <c r="T25" s="15" cm="1">
        <f t="array" ref="T25">_xll.BDP(B25&amp;" Equity","OPT_MULTIPLIER")</f>
        <v>100</v>
      </c>
      <c r="U25" s="15">
        <f t="shared" si="4"/>
        <v>5228149.9999999991</v>
      </c>
      <c r="V25" s="124">
        <f>U25/'Master P&amp;L'!$AD$7*10000</f>
        <v>21.818831134765354</v>
      </c>
      <c r="W25" s="124">
        <f>(Y25*H25*T25/S25)/'Master P&amp;L'!$AD$7*10000</f>
        <v>21.818831134765354</v>
      </c>
      <c r="X25" s="413">
        <f t="shared" si="5"/>
        <v>0</v>
      </c>
      <c r="Y25" s="273">
        <f t="shared" si="6"/>
        <v>33.729999999999997</v>
      </c>
      <c r="Z25" s="37">
        <f>_xll.BDP(D25&amp;" Equity","LAST_PRICE")</f>
        <v>338.34</v>
      </c>
      <c r="AA25" s="37" cm="1">
        <f t="array" ref="AA25">_xll.BDP(B25&amp;" Equity","OPT_STRIKE_PX")</f>
        <v>340</v>
      </c>
      <c r="AB25" s="40">
        <f t="shared" si="7"/>
        <v>4.9063072648816153E-3</v>
      </c>
      <c r="AC25" s="324" cm="1">
        <f t="array" ref="AC25">_xll.BDP($D25&amp;" Equity","volatility_10d")</f>
        <v>40.149752355718419</v>
      </c>
      <c r="AD25" s="37" cm="1">
        <f t="array" ref="AD25">_xll.BDP(B25&amp;" Equity","ivol_mid")</f>
        <v>38.105150000000002</v>
      </c>
      <c r="AE25" s="37">
        <f t="shared" si="8"/>
        <v>0.94907559235724126</v>
      </c>
      <c r="AF25" s="38" cm="1">
        <f t="array" ref="AF25">_xll.BDP(B25&amp;" Equity","DELTA_MID_RT")</f>
        <v>0.56177294254302979</v>
      </c>
      <c r="AG25" s="19">
        <f>AL25/'Master P&amp;L'!$AE$7</f>
        <v>1.229502178925526E-2</v>
      </c>
      <c r="AH25" s="19">
        <f>AM25/'Master P&amp;L'!$AE$7</f>
        <v>2.1886105325041538E-2</v>
      </c>
      <c r="AI25" s="434">
        <f>AO25/'Master P&amp;L'!$AD$7*10000</f>
        <v>-7.0588422923702585E-2</v>
      </c>
      <c r="AJ25" s="350">
        <f t="shared" si="9"/>
        <v>0.68240897952741275</v>
      </c>
      <c r="AK25" s="38">
        <f>AP25/'Master P&amp;L'!$AD$7*10000</f>
        <v>2.558359832137473</v>
      </c>
      <c r="AL25" s="15">
        <f t="shared" si="10"/>
        <v>29460889.893901348</v>
      </c>
      <c r="AM25" s="15">
        <f t="shared" si="11"/>
        <v>52442700</v>
      </c>
      <c r="AN25" s="38" cm="1">
        <f t="array" ref="AN25">_xll.BDP($B25&amp;" Equity","theta_mid_rt")</f>
        <v>-0.10912351310253143</v>
      </c>
      <c r="AO25" s="15">
        <f t="shared" si="12"/>
        <v>-16914.144530892372</v>
      </c>
      <c r="AP25" s="15">
        <f t="shared" si="13"/>
        <v>613024.99999999977</v>
      </c>
      <c r="AQ25" s="36" t="str" cm="1">
        <f t="array" ref="AQ25">_xll.BDP($D25&amp;" Equity","EXPECTED_REPORT_DT")</f>
        <v>17/04/2026</v>
      </c>
      <c r="AR25" s="66" cm="1">
        <f t="array" ref="AR25">_xll.BDP($B25&amp;" Equity","GAMMA_LAST")</f>
        <v>1.6288E-2</v>
      </c>
      <c r="AS25">
        <f t="shared" si="14"/>
        <v>2890055.2726598396</v>
      </c>
      <c r="AT25">
        <f t="shared" si="15"/>
        <v>14450276.363299198</v>
      </c>
      <c r="AU25" t="s">
        <v>151</v>
      </c>
      <c r="AV25" s="277" cm="1">
        <f t="array" ref="AV25">_xll.BDP($D25&amp;" Equity","EST_PE_NXT_YR")*(AA25/Z25)</f>
        <v>19.749718710589651</v>
      </c>
      <c r="AW25"/>
      <c r="AX25" s="15"/>
      <c r="AY25" s="15">
        <v>33.75</v>
      </c>
      <c r="AZ25" s="355"/>
      <c r="BA25" s="15">
        <f t="shared" si="16"/>
        <v>33.75</v>
      </c>
      <c r="BB25" s="414">
        <f t="shared" si="17"/>
        <v>29.774999999999999</v>
      </c>
      <c r="BC25" s="414">
        <f t="shared" si="18"/>
        <v>-616125.00000000023</v>
      </c>
      <c r="BD25" s="414">
        <f>BC25/'Master P&amp;L'!$AD$7*10000</f>
        <v>-2.5712971764213557</v>
      </c>
    </row>
    <row r="26" spans="1:56">
      <c r="A26" s="335"/>
      <c r="B26" s="73" t="s">
        <v>2229</v>
      </c>
      <c r="C26" s="73" t="str" cm="1">
        <f t="array" ref="C26">_xll.BDP($B26&amp;" Equity","opt_put_call")</f>
        <v>Call</v>
      </c>
      <c r="D26" s="73" t="str" cm="1">
        <f t="array" ref="D26">_xll.BDP(B26&amp;" Equity","OPT_UNDL_TICKER")</f>
        <v>TSM US</v>
      </c>
      <c r="E26" s="73" t="str" cm="1">
        <f t="array" ref="E26">_xll.BDP($B26&amp;" Equity","mifid_Maturity_date")</f>
        <v>18/06/2026</v>
      </c>
      <c r="F26" s="73" cm="1">
        <f t="array" ref="F26">_xll.BDP($B26&amp;" Equity","opt_days_expire")</f>
        <v>142</v>
      </c>
      <c r="G26" s="73" t="str" cm="1">
        <f t="array" ref="G26">_xll.BDP(B26&amp;" Equity","QUOTED_CURRENCY_REALTIME")</f>
        <v>USD</v>
      </c>
      <c r="H26" s="42">
        <v>-1400</v>
      </c>
      <c r="I26" s="409">
        <v>19.54</v>
      </c>
      <c r="J26" s="14">
        <f>VLOOKUP(B26,Precificação!$B:$O,14,FALSE)</f>
        <v>16.55</v>
      </c>
      <c r="K26" s="14">
        <f t="shared" si="19"/>
        <v>16.55</v>
      </c>
      <c r="L26" s="74" cm="1">
        <f t="array" ref="L26">_xll.BDP($B26&amp;" Equity","mid")</f>
        <v>18.88</v>
      </c>
      <c r="M26" s="75">
        <f t="shared" si="1"/>
        <v>5.5801856121061658E-2</v>
      </c>
      <c r="N26" s="352"/>
      <c r="O26" s="75">
        <f t="shared" si="2"/>
        <v>0.1407854984894259</v>
      </c>
      <c r="P26" s="74" cm="1">
        <f t="array" ref="P26">_xll.BDP($B26&amp;" Equity","bid")</f>
        <v>18.399999999999999</v>
      </c>
      <c r="Q26" s="74" cm="1">
        <f t="array" ref="Q26">_xll.BDP($B26&amp;" Equity","ask")</f>
        <v>19.350000000000001</v>
      </c>
      <c r="R26" s="76">
        <f t="shared" si="3"/>
        <v>5.1630434782608869E-2</v>
      </c>
      <c r="S26" s="36" cm="1">
        <f t="array" ref="S26">_xll.BDP(G26&amp;" Curncy","PX_LAST")</f>
        <v>1</v>
      </c>
      <c r="T26" s="42" cm="1">
        <f t="array" ref="T26">_xll.BDP(B26&amp;" Equity","OPT_MULTIPLIER")</f>
        <v>100</v>
      </c>
      <c r="U26" s="42">
        <f t="shared" si="4"/>
        <v>-2643200</v>
      </c>
      <c r="V26" s="113">
        <f>U26/'Master P&amp;L'!$AD$7*10000</f>
        <v>-11.030964003598173</v>
      </c>
      <c r="W26" s="113">
        <f>(Y26*H26*T26/S26)/'Master P&amp;L'!$AD$7*10000</f>
        <v>-11.030964003598173</v>
      </c>
      <c r="X26" s="118">
        <f t="shared" si="5"/>
        <v>0</v>
      </c>
      <c r="Y26" s="272">
        <f t="shared" si="6"/>
        <v>18.88</v>
      </c>
      <c r="Z26" s="77">
        <f>_xll.BDP(D26&amp;" Equity","LAST_PRICE")</f>
        <v>338.34</v>
      </c>
      <c r="AA26" s="77" cm="1">
        <f t="array" ref="AA26">_xll.BDP(B26&amp;" Equity","OPT_STRIKE_PX")</f>
        <v>380</v>
      </c>
      <c r="AB26" s="76">
        <f t="shared" si="7"/>
        <v>0.12313057870780875</v>
      </c>
      <c r="AC26" s="323" cm="1">
        <f t="array" ref="AC26">_xll.BDP($D26&amp;" Equity","volatility_10d")</f>
        <v>40.149752355718419</v>
      </c>
      <c r="AD26" s="77" cm="1">
        <f t="array" ref="AD26">_xll.BDP(B26&amp;" Equity","ivol_mid")</f>
        <v>38.436669999999999</v>
      </c>
      <c r="AE26" s="77">
        <f t="shared" si="8"/>
        <v>0.9573326794013356</v>
      </c>
      <c r="AF26" s="78" cm="1">
        <f t="array" ref="AF26">_xll.BDP(B26&amp;" Equity","DELTA_MID_RT")</f>
        <v>0.37937188148498535</v>
      </c>
      <c r="AG26" s="75">
        <f>AL26/'Master P&amp;L'!$AE$7</f>
        <v>-7.4994594437131547E-3</v>
      </c>
      <c r="AH26" s="75">
        <f>AM26/'Master P&amp;L'!$AE$7</f>
        <v>-1.976809513229558E-2</v>
      </c>
      <c r="AI26" s="435">
        <f>AO26/'Master P&amp;L'!$AD$7*10000</f>
        <v>6.2231952971559076E-2</v>
      </c>
      <c r="AJ26" s="350">
        <f t="shared" si="9"/>
        <v>-0.60162335071888307</v>
      </c>
      <c r="AK26" s="78">
        <f>AP26/'Master P&amp;L'!$AD$7*10000</f>
        <v>-1.361342485613545</v>
      </c>
      <c r="AL26" s="42">
        <f t="shared" si="10"/>
        <v>-17969935.533428188</v>
      </c>
      <c r="AM26" s="42">
        <f t="shared" si="11"/>
        <v>-47367599.999999993</v>
      </c>
      <c r="AN26" s="78" cm="1">
        <f t="array" ref="AN26">_xll.BDP($B26&amp;" Equity","theta_mid_rt")</f>
        <v>-0.10651283711194992</v>
      </c>
      <c r="AO26" s="42">
        <f t="shared" si="12"/>
        <v>14911.797195672989</v>
      </c>
      <c r="AP26" s="42">
        <f t="shared" si="13"/>
        <v>-326199.99999999977</v>
      </c>
      <c r="AQ26" s="74" t="str" cm="1">
        <f t="array" ref="AQ26">_xll.BDP($D26&amp;" Equity","EXPECTED_REPORT_DT")</f>
        <v>17/04/2026</v>
      </c>
      <c r="AR26" s="235" cm="1">
        <f t="array" ref="AR26">_xll.BDP($B26&amp;" Equity","GAMMA_LAST")</f>
        <v>1.5973999999999999E-2</v>
      </c>
      <c r="AS26" s="73">
        <f t="shared" si="14"/>
        <v>-2560049.7534561595</v>
      </c>
      <c r="AT26" s="73">
        <f t="shared" si="15"/>
        <v>-12800248.767280797</v>
      </c>
      <c r="AU26" s="73" t="s">
        <v>151</v>
      </c>
      <c r="AV26" s="322" cm="1">
        <f t="array" ref="AV26">_xll.BDP($D26&amp;" Equity","EST_PE_NXT_YR")*(AA26/Z26)</f>
        <v>22.073215029482551</v>
      </c>
      <c r="AW26" s="73"/>
      <c r="AX26" s="42"/>
      <c r="AY26" s="42">
        <v>18.88</v>
      </c>
      <c r="AZ26" s="354"/>
      <c r="BA26" s="42">
        <f t="shared" si="16"/>
        <v>18.88</v>
      </c>
      <c r="BB26" s="346">
        <f t="shared" si="17"/>
        <v>16.55</v>
      </c>
      <c r="BC26" s="346">
        <f t="shared" si="18"/>
        <v>326199.99999999977</v>
      </c>
      <c r="BD26" s="346">
        <f>BC26/'Master P&amp;L'!$AD$7*10000</f>
        <v>1.361342485613545</v>
      </c>
    </row>
    <row r="27" spans="1:56">
      <c r="H27" s="336"/>
      <c r="I27" s="218"/>
      <c r="J27" s="218"/>
      <c r="K27" s="218"/>
      <c r="L27" s="218"/>
      <c r="AZ27">
        <v>-59.569999999999993</v>
      </c>
    </row>
    <row r="28" spans="1:56">
      <c r="I28" s="64">
        <f>I25-I26</f>
        <v>14.660000000000004</v>
      </c>
      <c r="J28" s="64"/>
      <c r="K28" s="64"/>
      <c r="L28" s="64">
        <f>L25-L26</f>
        <v>14.849999999999998</v>
      </c>
      <c r="AY28">
        <v>14.870000000000001</v>
      </c>
      <c r="AZ28">
        <v>18.100000000000001</v>
      </c>
    </row>
    <row r="29" spans="1:56">
      <c r="I29" s="64"/>
      <c r="J29" s="64"/>
      <c r="K29" s="64"/>
      <c r="L29" s="64">
        <f>(AA26-AA25)</f>
        <v>40</v>
      </c>
      <c r="AY29">
        <v>40</v>
      </c>
      <c r="AZ29">
        <v>-62.749999999999993</v>
      </c>
    </row>
    <row r="30" spans="1:56">
      <c r="I30" s="64">
        <f>(L29-I28)/I28</f>
        <v>1.7285129604365614</v>
      </c>
      <c r="J30" s="218"/>
      <c r="K30" s="218"/>
      <c r="L30" s="64">
        <f>(L29-L28)/L28</f>
        <v>1.693602693602694</v>
      </c>
      <c r="AY30">
        <v>1.6899798251513112</v>
      </c>
      <c r="AZ30">
        <v>-0.52999999999999936</v>
      </c>
    </row>
    <row r="31" spans="1:56">
      <c r="I31" s="218">
        <f>I8-I9</f>
        <v>3.5999999999999996</v>
      </c>
      <c r="J31" s="218"/>
      <c r="K31" s="218"/>
      <c r="L31" s="218">
        <f>L8-L9</f>
        <v>3.9999999999999982</v>
      </c>
      <c r="AY31">
        <v>3.92</v>
      </c>
      <c r="AZ31" t="e">
        <v>#REF!</v>
      </c>
    </row>
    <row r="32" spans="1:56">
      <c r="I32" s="64">
        <f>I22-I21</f>
        <v>2.7</v>
      </c>
      <c r="K32" s="64">
        <f>K22-K21</f>
        <v>1.8000000000000003</v>
      </c>
      <c r="L32" s="64">
        <f>L22-L21</f>
        <v>2.15</v>
      </c>
      <c r="AY32">
        <v>2.15</v>
      </c>
    </row>
    <row r="33" spans="8:12">
      <c r="I33" s="64"/>
      <c r="K33" s="64"/>
      <c r="L33" s="64"/>
    </row>
    <row r="34" spans="8:12">
      <c r="H34" s="404">
        <v>100</v>
      </c>
      <c r="I34" s="411">
        <v>30.89</v>
      </c>
      <c r="J34" s="407">
        <f>H34*I34</f>
        <v>3089</v>
      </c>
    </row>
    <row r="35" spans="8:12">
      <c r="H35" s="404"/>
      <c r="I35" s="411"/>
      <c r="J35" s="407">
        <f t="shared" ref="J35:J41" si="84">H35*I35</f>
        <v>0</v>
      </c>
    </row>
    <row r="36" spans="8:12">
      <c r="H36" s="42"/>
      <c r="I36" s="409"/>
      <c r="J36" s="407">
        <f t="shared" si="84"/>
        <v>0</v>
      </c>
    </row>
    <row r="37" spans="8:12">
      <c r="H37" s="404"/>
      <c r="I37" s="405"/>
      <c r="J37" s="407">
        <f t="shared" si="84"/>
        <v>0</v>
      </c>
    </row>
    <row r="38" spans="8:12">
      <c r="H38" s="404">
        <v>25</v>
      </c>
      <c r="I38" s="411">
        <v>35.75</v>
      </c>
      <c r="J38" s="407">
        <f t="shared" si="84"/>
        <v>893.75</v>
      </c>
    </row>
    <row r="39" spans="8:12">
      <c r="H39" s="15"/>
      <c r="I39" s="410"/>
      <c r="J39" s="407">
        <f t="shared" si="84"/>
        <v>0</v>
      </c>
    </row>
    <row r="40" spans="8:12">
      <c r="H40" s="404"/>
      <c r="I40" s="411"/>
      <c r="J40" s="407">
        <f t="shared" si="84"/>
        <v>0</v>
      </c>
    </row>
    <row r="41" spans="8:12">
      <c r="H41" s="348"/>
      <c r="I41" s="406"/>
      <c r="J41" s="407">
        <f t="shared" si="84"/>
        <v>0</v>
      </c>
    </row>
    <row r="43" spans="8:12">
      <c r="H43" s="348">
        <f>H34+H38</f>
        <v>125</v>
      </c>
      <c r="I43" s="406">
        <f>J43/H43</f>
        <v>31.861999999999998</v>
      </c>
      <c r="J43" s="408">
        <f>J34+J38</f>
        <v>3982.75</v>
      </c>
    </row>
    <row r="44" spans="8:12">
      <c r="H44" s="348">
        <f>H35+H39</f>
        <v>0</v>
      </c>
      <c r="I44" s="406" t="e">
        <f>J44/H44</f>
        <v>#DIV/0!</v>
      </c>
      <c r="J44" s="408">
        <f>J35+J39</f>
        <v>0</v>
      </c>
    </row>
    <row r="45" spans="8:12">
      <c r="H45" s="348">
        <f>H36+H40</f>
        <v>0</v>
      </c>
      <c r="I45" s="406" t="e">
        <f>J45/H45</f>
        <v>#DIV/0!</v>
      </c>
      <c r="J45" s="408">
        <f>J36+J40</f>
        <v>0</v>
      </c>
    </row>
    <row r="46" spans="8:12">
      <c r="H46" s="348">
        <f>H37+H41</f>
        <v>0</v>
      </c>
      <c r="I46" s="406" t="e">
        <f>J46/H46</f>
        <v>#DIV/0!</v>
      </c>
      <c r="J46" s="408">
        <f>J37+J41</f>
        <v>0</v>
      </c>
    </row>
  </sheetData>
  <autoFilter ref="A3:BD29" xr:uid="{0428720F-9028-4D6D-9843-ED7DFFC9E1CA}">
    <sortState xmlns:xlrd2="http://schemas.microsoft.com/office/spreadsheetml/2017/richdata2" ref="A4:BD29">
      <sortCondition ref="D3:D29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48"/>
  <sheetViews>
    <sheetView zoomScale="90" zoomScaleNormal="90" workbookViewId="0">
      <pane xSplit="2" ySplit="3" topLeftCell="C49" activePane="bottomRight" state="frozen"/>
      <selection pane="topRight" activeCell="C1" sqref="C1"/>
      <selection pane="bottomLeft" activeCell="A4" sqref="A4"/>
      <selection pane="bottomRight" activeCell="B81" sqref="B81"/>
    </sheetView>
  </sheetViews>
  <sheetFormatPr defaultRowHeight="15" outlineLevelCol="1"/>
  <cols>
    <col min="1" max="1" width="9.85546875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2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1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6"/>
      <c r="I2" s="64"/>
      <c r="P2" s="13"/>
      <c r="Q2" s="64"/>
      <c r="S2" s="66"/>
      <c r="T2" s="64"/>
      <c r="X2" s="32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7" t="s">
        <v>178</v>
      </c>
      <c r="J3" s="67" t="s">
        <v>208</v>
      </c>
      <c r="K3" s="67" t="s">
        <v>209</v>
      </c>
      <c r="L3" s="67" t="s">
        <v>210</v>
      </c>
      <c r="M3" s="67" t="s">
        <v>211</v>
      </c>
      <c r="N3" s="60" t="s">
        <v>180</v>
      </c>
      <c r="O3" s="10" t="s">
        <v>181</v>
      </c>
      <c r="P3" s="106" t="s">
        <v>212</v>
      </c>
      <c r="Q3" s="107" t="s">
        <v>243</v>
      </c>
      <c r="R3" s="10" t="s">
        <v>125</v>
      </c>
      <c r="S3" s="10" t="s">
        <v>244</v>
      </c>
      <c r="T3" s="10" t="s">
        <v>218</v>
      </c>
      <c r="U3" s="69" t="s">
        <v>219</v>
      </c>
      <c r="V3" s="10" t="s">
        <v>1</v>
      </c>
      <c r="W3" s="10" t="s">
        <v>220</v>
      </c>
      <c r="X3" s="94" t="s">
        <v>221</v>
      </c>
      <c r="Y3" s="60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60"/>
    </row>
    <row r="4" spans="1:41">
      <c r="H4" s="108"/>
      <c r="I4" s="102"/>
      <c r="J4" s="100"/>
      <c r="K4" s="167"/>
      <c r="L4" s="167"/>
      <c r="P4" s="130"/>
      <c r="Q4" s="108"/>
      <c r="S4" s="100"/>
      <c r="T4" s="102"/>
      <c r="W4" s="100"/>
      <c r="X4" s="122"/>
      <c r="AC4" s="100"/>
      <c r="AD4" s="122"/>
    </row>
    <row r="5" spans="1:41">
      <c r="A5" s="99"/>
      <c r="B5" s="99"/>
      <c r="I5" s="64"/>
      <c r="K5" s="64">
        <f>K10-K16</f>
        <v>-24</v>
      </c>
      <c r="P5" s="267"/>
      <c r="Q5">
        <f>Q9/Q15-1</f>
        <v>-0.85454545454545439</v>
      </c>
      <c r="T5" s="64"/>
      <c r="X5" s="122"/>
      <c r="Y5" s="13"/>
      <c r="Z5" s="3"/>
    </row>
    <row r="6" spans="1:41">
      <c r="H6">
        <v>1</v>
      </c>
      <c r="K6" s="64"/>
      <c r="P6" s="22"/>
    </row>
    <row r="7" spans="1:41">
      <c r="A7" s="98" t="s">
        <v>246</v>
      </c>
      <c r="B7" t="s">
        <v>2074</v>
      </c>
      <c r="C7" s="59" t="str" cm="1">
        <f t="array" ref="C7">_xll.BDP(B7&amp;" Equity","OPT_UNDL_TICKER")</f>
        <v>LITE US</v>
      </c>
      <c r="D7" s="59" t="str">
        <f>_xll.BDP($B7&amp;" Index","mifid_Maturity_date")</f>
        <v>20/02/2026</v>
      </c>
      <c r="E7" s="59">
        <f>_xll.BDP($B7&amp;" Index","opt_days_expire")</f>
        <v>24</v>
      </c>
      <c r="F7" s="59" t="str" cm="1">
        <f t="array" ref="F7">_xll.BDP(B7&amp;" Equity","QUOTED_CURRENCY_REALTIME")</f>
        <v>USD</v>
      </c>
      <c r="G7" s="105" t="s">
        <v>248</v>
      </c>
      <c r="H7" s="96">
        <v>60</v>
      </c>
      <c r="I7" s="97">
        <f>IF(G7="Buy",L7,K7)</f>
        <v>31.8</v>
      </c>
      <c r="J7" s="19">
        <f>I7/S7</f>
        <v>8.5792909944423457E-2</v>
      </c>
      <c r="K7" s="36" cm="1">
        <f t="array" ref="K7">_xll.BDP($B7&amp;" Equity","bid")</f>
        <v>31.8</v>
      </c>
      <c r="L7" s="36" cm="1">
        <f t="array" ref="L7">_xll.BDP($B7&amp;" Equity","ask")</f>
        <v>33.700000000000003</v>
      </c>
      <c r="M7" s="40">
        <f>(L7/K7-1)</f>
        <v>5.9748427672956073E-2</v>
      </c>
      <c r="N7" s="36" cm="1">
        <f t="array" ref="N7">_xll.BDP(F7&amp;" Curncy","PX_LAST")</f>
        <v>1</v>
      </c>
      <c r="O7" s="162" cm="1">
        <f t="array" ref="O7">_xll.BDP(B7&amp;" Equity","OPT_MULTIPLIER")</f>
        <v>100</v>
      </c>
      <c r="P7" s="15">
        <f>IF(G7="Buy",((I7/N7)*H7*O7),((I7/N7)*-H7*O7))</f>
        <v>-190800</v>
      </c>
      <c r="Q7" s="58">
        <f>P7/'Master P&amp;L'!$AD$5*10000</f>
        <v>-0.84949697677649971</v>
      </c>
      <c r="R7" s="37" cm="1">
        <f t="array" ref="R7">_xll.BDP($C7&amp;" Equity","EST_PE_NXT_YR")*(T7/S7)</f>
        <v>43.195581646713812</v>
      </c>
      <c r="S7" s="36" cm="1">
        <f t="array" ref="S7">_xll.BDP(C7&amp;" Equity","LAST_PRICE")</f>
        <v>370.66</v>
      </c>
      <c r="T7" s="53" cm="1">
        <f t="array" ref="T7">_xll.BDP(B7&amp;" Equity","OPT_STRIKE_PX")</f>
        <v>400</v>
      </c>
      <c r="U7" s="40">
        <f>T7/S7-1</f>
        <v>7.915609992985484E-2</v>
      </c>
      <c r="V7" s="37" cm="1">
        <f t="array" ref="V7">_xll.BDP($B7&amp;" Equity","ivol_mid")</f>
        <v>115.8614</v>
      </c>
      <c r="W7" s="38" cm="1">
        <f t="array" ref="W7">_xll.BDP(B7&amp;" Equity","DELTA_MID_RT")</f>
        <v>0.45906588435173035</v>
      </c>
      <c r="X7" s="48">
        <f>Y7/'Master P&amp;L'!$AE$5</f>
        <v>-4.5455397322535237E-4</v>
      </c>
      <c r="Y7" s="15">
        <f>IF(G7="Sell", S7*W7*-H7*O7/N7, S7*W7*H7*O7/N7)</f>
        <v>-1020944.1641628745</v>
      </c>
      <c r="Z7" s="15">
        <f>_xll.BDP($B7&amp;" Equity","opt_theta")*H7*O7/N7</f>
        <v>-5306.8980000000001</v>
      </c>
      <c r="AA7" s="19">
        <f>_xll.BDP($B7&amp;" Equity","opt_theta")/I7</f>
        <v>-2.7813930817610064E-2</v>
      </c>
      <c r="AB7" s="36" t="str" cm="1">
        <f t="array" ref="AB7">_xll.BDP($C7&amp;" Equity","EXPECTED_REPORT_DT")</f>
        <v>03/02/2026</v>
      </c>
      <c r="AC7" s="15">
        <f>S7*H7*O7/N7</f>
        <v>2223960</v>
      </c>
      <c r="AD7" s="19">
        <f>AC7/'Master P&amp;L'!$AE$5</f>
        <v>9.901715390313755E-4</v>
      </c>
      <c r="AE7" t="str">
        <f>B7  &amp; " - Buy to open " &amp;  "-" &amp; H7 &amp;"x"</f>
        <v>LITE US 02/20/26 C400 - Buy to open -60x</v>
      </c>
      <c r="AF7">
        <f>H7*$AF$3</f>
        <v>15</v>
      </c>
      <c r="AK7" t="s">
        <v>1839</v>
      </c>
      <c r="AO7" t="s">
        <v>151</v>
      </c>
    </row>
    <row r="8" spans="1:41">
      <c r="A8" s="98" t="s">
        <v>246</v>
      </c>
      <c r="B8" t="s">
        <v>2304</v>
      </c>
      <c r="C8" s="59" t="str" cm="1">
        <f t="array" ref="C8">_xll.BDP(B8&amp;" Equity","OPT_UNDL_TICKER")</f>
        <v>LITE US</v>
      </c>
      <c r="D8" s="59" t="str" cm="1">
        <f t="array" ref="D8">_xll.BDP($B8&amp;" Index","mifid_Maturity_date")</f>
        <v>20/03/2026</v>
      </c>
      <c r="E8" s="59" cm="1">
        <f t="array" ref="E8">_xll.BDP($B8&amp;" Index","opt_days_expire")</f>
        <v>52</v>
      </c>
      <c r="F8" s="59" t="str" cm="1">
        <f t="array" ref="F8">_xll.BDP(B8&amp;" Equity","QUOTED_CURRENCY_REALTIME")</f>
        <v>USD</v>
      </c>
      <c r="G8" s="105" t="s">
        <v>247</v>
      </c>
      <c r="H8" s="96">
        <f>H7</f>
        <v>60</v>
      </c>
      <c r="I8" s="97">
        <f>IF(G8="Buy",L8,K8)</f>
        <v>43.4</v>
      </c>
      <c r="J8" s="19">
        <f>I8/S8</f>
        <v>0.11708843684238925</v>
      </c>
      <c r="K8" s="36" cm="1">
        <f t="array" ref="K8">_xll.BDP($B8&amp;" Equity","bid")</f>
        <v>40.4</v>
      </c>
      <c r="L8" s="36" cm="1">
        <f t="array" ref="L8">_xll.BDP($B8&amp;" Equity","ask")</f>
        <v>43.4</v>
      </c>
      <c r="M8" s="40">
        <f>(L8/K8-1)</f>
        <v>7.4257425742574323E-2</v>
      </c>
      <c r="N8" s="36" cm="1">
        <f t="array" ref="N8">_xll.BDP(F8&amp;" Curncy","PX_LAST")</f>
        <v>1</v>
      </c>
      <c r="O8" s="162" cm="1">
        <f t="array" ref="O8">_xll.BDP(B8&amp;" Equity","OPT_MULTIPLIER")</f>
        <v>100</v>
      </c>
      <c r="P8" s="15">
        <f>IF(G8="Buy",((I8/N8)*H8*O8),((I8/N8)*-H8*O8))</f>
        <v>260400</v>
      </c>
      <c r="Q8" s="58">
        <f>P8/'Master P&amp;L'!$AD$5*10000</f>
        <v>1.1593763771100658</v>
      </c>
      <c r="R8" s="37" cm="1">
        <f t="array" ref="R8">_xll.BDP($C8&amp;" Equity","EST_PE_NXT_YR")*(T8/S8)</f>
        <v>45.355360729049501</v>
      </c>
      <c r="S8" s="36" cm="1">
        <f t="array" ref="S8">_xll.BDP(C8&amp;" Equity","LAST_PRICE")</f>
        <v>370.66</v>
      </c>
      <c r="T8" s="53" cm="1">
        <f t="array" ref="T8">_xll.BDP(B8&amp;" Equity","OPT_STRIKE_PX")</f>
        <v>420</v>
      </c>
      <c r="U8" s="40">
        <f>T8/S8-1</f>
        <v>0.13311390492634745</v>
      </c>
      <c r="V8" s="37" cm="1">
        <f t="array" ref="V8">_xll.BDP($B8&amp;" Equity","ivol_mid")</f>
        <v>105.24379999999999</v>
      </c>
      <c r="W8" s="38" cm="1">
        <f t="array" ref="W8">_xll.BDP(B8&amp;" Equity","DELTA_MID_RT")</f>
        <v>0.4608648419380188</v>
      </c>
      <c r="X8" s="48">
        <f>Y8/'Master P&amp;L'!$AE$5</f>
        <v>4.5633524982721972E-4</v>
      </c>
      <c r="Y8" s="15">
        <f>IF(G8="Sell", S8*W8*-H8*O8/N8, S8*W8*H8*O8/N8)</f>
        <v>1024944.9738764764</v>
      </c>
      <c r="Z8" s="15" cm="1">
        <f t="array" ref="Z8">_xll.BDP($B8&amp;" Equity","opt_theta")*H8*O8/N8</f>
        <v>-3269.3879999999999</v>
      </c>
      <c r="AA8" s="19" cm="1">
        <f t="array" ref="AA8">_xll.BDP($B8&amp;" Equity","opt_theta")/I8</f>
        <v>-1.2555253456221199E-2</v>
      </c>
      <c r="AB8" s="36" t="str" cm="1">
        <f t="array" ref="AB8">_xll.BDP($C8&amp;" Equity","EXPECTED_REPORT_DT")</f>
        <v>03/02/2026</v>
      </c>
      <c r="AC8" s="15">
        <f>S8*H8*O8/N8</f>
        <v>2223960</v>
      </c>
      <c r="AD8" s="19">
        <f>AC8/'Master P&amp;L'!$AE$5</f>
        <v>9.901715390313755E-4</v>
      </c>
      <c r="AE8" t="str">
        <f>B8  &amp; " - Buy to open " &amp;  "-" &amp; H8 &amp;"x"</f>
        <v>LITE US 03/20/26 C420 - Buy to open -60x</v>
      </c>
      <c r="AF8">
        <f>H8*$AF$3</f>
        <v>15</v>
      </c>
      <c r="AK8" t="s">
        <v>1842</v>
      </c>
      <c r="AO8" t="s">
        <v>151</v>
      </c>
    </row>
    <row r="9" spans="1:41">
      <c r="H9" s="100" t="s">
        <v>116</v>
      </c>
      <c r="I9" s="102">
        <f>I7-I8</f>
        <v>-11.599999999999998</v>
      </c>
      <c r="J9" s="100" t="s">
        <v>249</v>
      </c>
      <c r="K9" s="101">
        <f>K8/L7</f>
        <v>1.1988130563798218</v>
      </c>
      <c r="P9" s="100" t="s">
        <v>250</v>
      </c>
      <c r="Q9" s="108">
        <f>Q7+Q8</f>
        <v>0.30987940033356609</v>
      </c>
      <c r="S9" s="100" t="s">
        <v>251</v>
      </c>
      <c r="T9" s="102">
        <f>T8-T7</f>
        <v>20</v>
      </c>
      <c r="W9" s="100" t="s">
        <v>252</v>
      </c>
      <c r="X9" s="122">
        <f>X7+X8</f>
        <v>1.7812766018673485E-6</v>
      </c>
      <c r="Y9" s="13">
        <f>Y7+Y8</f>
        <v>4000.8097136019496</v>
      </c>
      <c r="AC9" s="100" t="s">
        <v>229</v>
      </c>
      <c r="AD9" s="122">
        <f>AD7</f>
        <v>9.901715390313755E-4</v>
      </c>
      <c r="AO9" t="s">
        <v>151</v>
      </c>
    </row>
    <row r="10" spans="1:41">
      <c r="H10" s="100" t="s">
        <v>253</v>
      </c>
      <c r="I10" s="102">
        <f>(T9-I9)/I9</f>
        <v>-2.7241379310344831</v>
      </c>
      <c r="J10" s="100" t="s">
        <v>145</v>
      </c>
      <c r="K10" s="223">
        <f>AVERAGE(K7:L7)-AVERAGE(K8:L8)</f>
        <v>-9.1499999999999986</v>
      </c>
      <c r="L10" s="18"/>
      <c r="P10" s="130">
        <f>P7+P8</f>
        <v>69600</v>
      </c>
      <c r="Q10" s="108"/>
      <c r="S10" s="100"/>
      <c r="T10" s="102"/>
      <c r="W10" s="100"/>
      <c r="X10" s="122"/>
      <c r="Y10" s="13">
        <f>Y9/S7</f>
        <v>10.793745517730398</v>
      </c>
      <c r="AC10" s="100"/>
      <c r="AD10" s="104"/>
      <c r="AH10">
        <v>4</v>
      </c>
      <c r="AI10">
        <v>4</v>
      </c>
    </row>
    <row r="11" spans="1:41">
      <c r="H11" s="13"/>
      <c r="I11" s="21"/>
      <c r="J11" s="43">
        <f>J7-J8</f>
        <v>-3.1295526897965789E-2</v>
      </c>
      <c r="K11" s="167">
        <f>K7-K8</f>
        <v>-8.5999999999999979</v>
      </c>
      <c r="L11" s="167">
        <f>L7-L8</f>
        <v>-9.6999999999999957</v>
      </c>
      <c r="P11" s="40">
        <f>P10/Y9</f>
        <v>17.396478458691494</v>
      </c>
      <c r="Q11" s="64">
        <f>Q9*I10</f>
        <v>-0.84415422849488708</v>
      </c>
      <c r="W11" s="50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3"/>
      <c r="L12" s="64"/>
      <c r="X12" s="128">
        <f>X172</f>
        <v>4.522996540543785E-4</v>
      </c>
      <c r="AH12">
        <f>AH13-AH14</f>
        <v>7.6999999999999993</v>
      </c>
      <c r="AI12">
        <f>AI13-AI14</f>
        <v>7.34</v>
      </c>
    </row>
    <row r="13" spans="1:41">
      <c r="A13" s="98" t="s">
        <v>246</v>
      </c>
      <c r="B13" s="73" t="s">
        <v>2228</v>
      </c>
      <c r="C13" s="59" t="str" cm="1">
        <f t="array" ref="C13">_xll.BDP(B13&amp;" Equity","OPT_UNDL_TICKER")</f>
        <v>TSM US</v>
      </c>
      <c r="D13" s="59" t="str" cm="1">
        <f t="array" ref="D13">_xll.BDP($B13&amp;" Index","mifid_Maturity_date")</f>
        <v>18/06/2026</v>
      </c>
      <c r="E13" s="59" cm="1">
        <f t="array" ref="E13">_xll.BDP($B13&amp;" Index","opt_days_expire")</f>
        <v>142</v>
      </c>
      <c r="F13" s="59" t="str" cm="1">
        <f t="array" ref="F13">_xll.BDP(B13&amp;" Equity","QUOTED_CURRENCY_REALTIME")</f>
        <v>USD</v>
      </c>
      <c r="G13" s="105" t="s">
        <v>247</v>
      </c>
      <c r="H13" s="96">
        <v>300</v>
      </c>
      <c r="I13" s="97">
        <f>IF(G13="Buy",L13,K13)</f>
        <v>34.35</v>
      </c>
      <c r="J13" s="19">
        <f>I13/S13</f>
        <v>0.10152509310161377</v>
      </c>
      <c r="K13" s="36" cm="1">
        <f t="array" ref="K13">_xll.BDP($B13&amp;" Equity","bid")</f>
        <v>33.1</v>
      </c>
      <c r="L13" s="36" cm="1">
        <f t="array" ref="L13">_xll.BDP($B13&amp;" Equity","ask")</f>
        <v>34.35</v>
      </c>
      <c r="M13" s="40">
        <f>(L13/K13-1)</f>
        <v>3.7764350453172169E-2</v>
      </c>
      <c r="N13" s="36" cm="1">
        <f t="array" ref="N13">_xll.BDP(F13&amp;" Curncy","PX_LAST")</f>
        <v>1</v>
      </c>
      <c r="O13" s="162" cm="1">
        <f t="array" ref="O13">_xll.BDP(B13&amp;" Equity","OPT_MULTIPLIER")</f>
        <v>100</v>
      </c>
      <c r="P13" s="15">
        <f>IF(G13="Buy",((I13/N13)*H13*O13),((I13/N13)*-H13*O13))</f>
        <v>1030500</v>
      </c>
      <c r="Q13" s="58">
        <f>P13/'Master P&amp;L'!$AD$5*10000</f>
        <v>4.5880850868353402</v>
      </c>
      <c r="R13" s="37" cm="1">
        <f t="array" ref="R13">_xll.BDP($C13&amp;" Equity","EST_PE_NXT_YR")*(T13/S13)</f>
        <v>19.749718710589651</v>
      </c>
      <c r="S13" s="36" cm="1">
        <f t="array" ref="S13">_xll.BDP(C13&amp;" Equity","LAST_PRICE")</f>
        <v>338.34</v>
      </c>
      <c r="T13" s="53" cm="1">
        <f t="array" ref="T13">_xll.BDP(B13&amp;" Equity","OPT_STRIKE_PX")</f>
        <v>340</v>
      </c>
      <c r="U13" s="40">
        <f>T13/S13-1</f>
        <v>4.9063072648816153E-3</v>
      </c>
      <c r="V13" s="37" cm="1">
        <f t="array" ref="V13">_xll.BDP($B13&amp;" Equity","ivol_mid")</f>
        <v>38.105150000000002</v>
      </c>
      <c r="W13" s="38" cm="1">
        <f t="array" ref="W13">_xll.BDP(B13&amp;" Equity","DELTA_MID_RT")</f>
        <v>0.56177294254302979</v>
      </c>
      <c r="X13" s="48">
        <f>Y13/'Master P&amp;L'!$AE$5</f>
        <v>2.5387438525070528E-3</v>
      </c>
      <c r="Y13" s="15">
        <f>IF(G13="Sell", S13*W13*-H13*O13/N13, S13*W13*H13*O13/N13)</f>
        <v>5702107.72140026</v>
      </c>
      <c r="Z13" s="15" cm="1">
        <f t="array" ref="Z13">_xll.BDP($B13&amp;" Equity","opt_theta")*H13*O13/N13</f>
        <v>-3331.53</v>
      </c>
      <c r="AA13" s="19" cm="1">
        <f t="array" ref="AA13">_xll.BDP($B13&amp;" Equity","opt_theta")/I13</f>
        <v>-3.2329257641921395E-3</v>
      </c>
      <c r="AB13" s="36" t="str" cm="1">
        <f t="array" ref="AB13">_xll.BDP($C13&amp;" Equity","EXPECTED_REPORT_DT")</f>
        <v>17/04/2026</v>
      </c>
      <c r="AC13" s="15">
        <f>S13*H13*O13/N13</f>
        <v>10150199.999999998</v>
      </c>
      <c r="AD13" s="19">
        <f>AC13/'Master P&amp;L'!$AE$5</f>
        <v>4.5191636340025289E-3</v>
      </c>
      <c r="AE13" t="str">
        <f>B13  &amp; " - Buy to open " &amp;  "-" &amp; H13 &amp;"x"</f>
        <v>TSM US 06/18/26 C340 - Buy to open -300x</v>
      </c>
      <c r="AF13">
        <f>H13*$AF$3</f>
        <v>75</v>
      </c>
      <c r="AH13">
        <v>20.9</v>
      </c>
      <c r="AI13">
        <v>20.2</v>
      </c>
      <c r="AJ13" s="64"/>
      <c r="AK13" t="s">
        <v>1840</v>
      </c>
    </row>
    <row r="14" spans="1:41">
      <c r="A14" s="98" t="s">
        <v>246</v>
      </c>
      <c r="B14" s="73" t="s">
        <v>2229</v>
      </c>
      <c r="C14" s="59" t="str" cm="1">
        <f t="array" ref="C14">_xll.BDP(B14&amp;" Equity","OPT_UNDL_TICKER")</f>
        <v>TSM US</v>
      </c>
      <c r="D14" s="59" t="str" cm="1">
        <f t="array" ref="D14">_xll.BDP($B14&amp;" Index","mifid_Maturity_date")</f>
        <v>18/06/2026</v>
      </c>
      <c r="E14" s="59" cm="1">
        <f t="array" ref="E14">_xll.BDP($B14&amp;" Index","opt_days_expire")</f>
        <v>142</v>
      </c>
      <c r="F14" s="59" t="str" cm="1">
        <f t="array" ref="F14">_xll.BDP(B14&amp;" Equity","QUOTED_CURRENCY_REALTIME")</f>
        <v>USD</v>
      </c>
      <c r="G14" s="105" t="s">
        <v>248</v>
      </c>
      <c r="H14" s="96">
        <f>H13</f>
        <v>300</v>
      </c>
      <c r="I14" s="97">
        <f>IF(G14="Buy",L14,K14)</f>
        <v>18.399999999999999</v>
      </c>
      <c r="J14" s="19">
        <f>I14/S14</f>
        <v>5.438316486374653E-2</v>
      </c>
      <c r="K14" s="36" cm="1">
        <f t="array" ref="K14">_xll.BDP($B14&amp;" Equity","bid")</f>
        <v>18.399999999999999</v>
      </c>
      <c r="L14" s="36" cm="1">
        <f t="array" ref="L14">_xll.BDP($B14&amp;" Equity","ask")</f>
        <v>19.350000000000001</v>
      </c>
      <c r="M14" s="40">
        <f>(L14/K14-1)</f>
        <v>5.1630434782608869E-2</v>
      </c>
      <c r="N14" s="36" cm="1">
        <f t="array" ref="N14">_xll.BDP(F14&amp;" Curncy","PX_LAST")</f>
        <v>1</v>
      </c>
      <c r="O14" s="162" cm="1">
        <f t="array" ref="O14">_xll.BDP(B14&amp;" Equity","OPT_MULTIPLIER")</f>
        <v>100</v>
      </c>
      <c r="P14" s="15">
        <f>IF(G14="Buy",((I14/N14)*H14*O14),((I14/N14)*-H14*O14))</f>
        <v>-552000</v>
      </c>
      <c r="Q14" s="58">
        <f>P14/'Master P&amp;L'!$AD$5*10000</f>
        <v>-2.4576642095420751</v>
      </c>
      <c r="R14" s="37" cm="1">
        <f t="array" ref="R14">_xll.BDP($C14&amp;" Equity","EST_PE_NXT_YR")*(T14/S14)</f>
        <v>22.073215029482551</v>
      </c>
      <c r="S14" s="36" cm="1">
        <f t="array" ref="S14">_xll.BDP(C14&amp;" Equity","LAST_PRICE")</f>
        <v>338.34</v>
      </c>
      <c r="T14" s="53" cm="1">
        <f t="array" ref="T14">_xll.BDP(B14&amp;" Equity","OPT_STRIKE_PX")</f>
        <v>380</v>
      </c>
      <c r="U14" s="40">
        <f>T14/S14-1</f>
        <v>0.12313057870780875</v>
      </c>
      <c r="V14" s="37" cm="1">
        <f t="array" ref="V14">_xll.BDP($B14&amp;" Equity","ivol_mid")</f>
        <v>38.436669999999999</v>
      </c>
      <c r="W14" s="38" cm="1">
        <f t="array" ref="W14">_xll.BDP(B14&amp;" Equity","DELTA_MID_RT")</f>
        <v>0.37937188148498535</v>
      </c>
      <c r="X14" s="48">
        <f>Y14/'Master P&amp;L'!$AE$5</f>
        <v>-1.7144436105700632E-3</v>
      </c>
      <c r="Y14" s="15">
        <f>IF(G14="Sell", S14*W14*-H14*O14/N14, S14*W14*H14*O14/N14)</f>
        <v>-3850700.4714488974</v>
      </c>
      <c r="Z14" s="15" cm="1">
        <f t="array" ref="Z14">_xll.BDP($B14&amp;" Equity","opt_theta")*H14*O14/N14</f>
        <v>-3224.6099999999997</v>
      </c>
      <c r="AA14" s="19" cm="1">
        <f t="array" ref="AA14">_xll.BDP($B14&amp;" Equity","opt_theta")/I14</f>
        <v>-5.8416847826086964E-3</v>
      </c>
      <c r="AB14" s="36" t="str" cm="1">
        <f t="array" ref="AB14">_xll.BDP($C14&amp;" Equity","EXPECTED_REPORT_DT")</f>
        <v>17/04/2026</v>
      </c>
      <c r="AC14" s="15">
        <f>S14*H14*O14/N14</f>
        <v>10150199.999999998</v>
      </c>
      <c r="AD14" s="19">
        <f>AC14/'Master P&amp;L'!$AE$5</f>
        <v>4.5191636340025289E-3</v>
      </c>
      <c r="AE14" t="str">
        <f>B14  &amp; " - Buy to open " &amp;  "-" &amp; H14 &amp;"x"</f>
        <v>TSM US 06/18/26 C380 - Buy to open -300x</v>
      </c>
      <c r="AF14">
        <f>H14*$AF$3</f>
        <v>75</v>
      </c>
      <c r="AH14">
        <v>13.2</v>
      </c>
      <c r="AI14">
        <v>12.86</v>
      </c>
      <c r="AJ14" s="64"/>
      <c r="AK14" t="s">
        <v>1841</v>
      </c>
    </row>
    <row r="15" spans="1:41">
      <c r="H15" s="100" t="s">
        <v>116</v>
      </c>
      <c r="I15" s="102">
        <f>I13-I14</f>
        <v>15.950000000000003</v>
      </c>
      <c r="J15" s="100" t="s">
        <v>249</v>
      </c>
      <c r="K15" s="101">
        <f>K14/L13</f>
        <v>0.53566229985443958</v>
      </c>
      <c r="P15" s="100" t="s">
        <v>250</v>
      </c>
      <c r="Q15" s="108">
        <f>Q13+Q14</f>
        <v>2.1304208772932651</v>
      </c>
      <c r="S15" s="100" t="s">
        <v>251</v>
      </c>
      <c r="T15" s="102">
        <f>T14-T13</f>
        <v>40</v>
      </c>
      <c r="W15" s="100" t="s">
        <v>252</v>
      </c>
      <c r="X15" s="122">
        <f>X13+X14</f>
        <v>8.2430024193698957E-4</v>
      </c>
      <c r="Y15" s="13">
        <f>Y13+Y14</f>
        <v>1851407.2499513626</v>
      </c>
      <c r="AC15" s="100" t="s">
        <v>229</v>
      </c>
      <c r="AD15" s="104">
        <f>AD13</f>
        <v>4.5191636340025289E-3</v>
      </c>
    </row>
    <row r="16" spans="1:41">
      <c r="H16" s="100" t="s">
        <v>253</v>
      </c>
      <c r="I16" s="102">
        <f>(T15-I15)/I15</f>
        <v>1.5078369905956108</v>
      </c>
      <c r="J16" s="100" t="s">
        <v>145</v>
      </c>
      <c r="K16" s="223">
        <f>AVERAGE(K13:L13)-AVERAGE(K14:L14)</f>
        <v>14.850000000000001</v>
      </c>
      <c r="P16" s="130">
        <f>P13+P14</f>
        <v>478500</v>
      </c>
      <c r="Q16" s="108"/>
      <c r="S16" s="100"/>
      <c r="T16" s="102"/>
      <c r="W16" s="108">
        <f>1/(W13-W14)</f>
        <v>5.4824242479695648</v>
      </c>
      <c r="X16" s="122"/>
      <c r="Y16" s="13">
        <f>Y15/S13</f>
        <v>5472.031831741333</v>
      </c>
      <c r="AC16" s="100"/>
      <c r="AD16" s="104"/>
    </row>
    <row r="17" spans="1:38">
      <c r="I17" s="21"/>
      <c r="J17" s="43">
        <f>J13-J14</f>
        <v>4.7141928237867239E-2</v>
      </c>
      <c r="K17" s="167">
        <f>K13-K14</f>
        <v>14.700000000000003</v>
      </c>
      <c r="L17" s="167">
        <f>L13-L14</f>
        <v>15</v>
      </c>
      <c r="P17" s="40">
        <f>P16/Y15</f>
        <v>0.2584520504673245</v>
      </c>
      <c r="Q17" s="64">
        <f>Q15*I16</f>
        <v>3.2123274043199381</v>
      </c>
      <c r="W17" s="50"/>
      <c r="X17" s="48"/>
      <c r="Y17" s="3"/>
      <c r="Z17" s="18"/>
    </row>
    <row r="18" spans="1:38">
      <c r="G18">
        <f>H19/25</f>
        <v>20</v>
      </c>
      <c r="H18" s="13">
        <v>1.5</v>
      </c>
      <c r="K18" s="349">
        <f>K10-K16</f>
        <v>-24</v>
      </c>
      <c r="AK18">
        <v>13</v>
      </c>
      <c r="AL18" s="1">
        <v>16</v>
      </c>
    </row>
    <row r="19" spans="1:38">
      <c r="A19" s="98" t="s">
        <v>246</v>
      </c>
      <c r="B19" s="73" t="s">
        <v>2230</v>
      </c>
      <c r="C19" s="59" t="str">
        <f>_xll.BDP(B19&amp;" Equity","OPT_UNDL_TICKER")</f>
        <v>TSM US</v>
      </c>
      <c r="D19" s="59" t="str">
        <f>_xll.BDP($B19&amp;" Index","mifid_Maturity_date")</f>
        <v>17/07/2026</v>
      </c>
      <c r="E19" s="59">
        <f>_xll.BDP($B19&amp;" Index","opt_days_expire")</f>
        <v>171</v>
      </c>
      <c r="F19" s="59" t="str">
        <f>_xll.BDP(B19&amp;" Equity","QUOTED_CURRENCY_REALTIME")</f>
        <v>USD</v>
      </c>
      <c r="G19" s="105" t="s">
        <v>247</v>
      </c>
      <c r="H19" s="96">
        <v>500</v>
      </c>
      <c r="I19" s="97">
        <f>IF(G19="Buy",L19,K19)</f>
        <v>37.700000000000003</v>
      </c>
      <c r="J19" s="19">
        <f>I19/S19</f>
        <v>0.11142637583495893</v>
      </c>
      <c r="K19" s="36">
        <f>_xll.BDP($B19&amp;" Equity","bid")</f>
        <v>37.15</v>
      </c>
      <c r="L19" s="36">
        <f>_xll.BDP($B19&amp;" Equity","ask")</f>
        <v>37.700000000000003</v>
      </c>
      <c r="M19" s="40">
        <f>(L19/K19-1)</f>
        <v>1.4804845222072816E-2</v>
      </c>
      <c r="N19" s="36" cm="1">
        <f t="array" ref="N19">_xll.BDP(F19&amp;" Curncy","PX_LAST")</f>
        <v>1</v>
      </c>
      <c r="O19" s="162">
        <f>_xll.BDP(B19&amp;" Equity","OPT_MULTIPLIER")</f>
        <v>100</v>
      </c>
      <c r="P19" s="15">
        <f>IF(G19="Buy",((I19/N19)*H19*O19),((I19/N19)*-H19*O19))</f>
        <v>1885000</v>
      </c>
      <c r="Q19" s="58">
        <f>P19/'Master P&amp;L'!$AD$5*10000</f>
        <v>8.3925670923674112</v>
      </c>
      <c r="R19" s="37" cm="1">
        <f t="array" ref="R19">_xll.BDP($C19&amp;" Equity","EST_PE_NXT_YR")*(T19/S19)</f>
        <v>19.749718710589651</v>
      </c>
      <c r="S19" s="36" cm="1">
        <f t="array" ref="S19">_xll.BDP(C19&amp;" Equity","LAST_PRICE")</f>
        <v>338.34</v>
      </c>
      <c r="T19" s="53">
        <f>_xll.BDP(B19&amp;" Equity","OPT_STRIKE_PX")</f>
        <v>340</v>
      </c>
      <c r="U19" s="40">
        <f>T19/S19-1</f>
        <v>4.9063072648816153E-3</v>
      </c>
      <c r="V19" s="37">
        <f>_xll.BDP($B19&amp;" Equity","ivol_mid")</f>
        <v>38.710619999999999</v>
      </c>
      <c r="W19" s="38">
        <f>_xll.BDP(B19&amp;" Equity","DELTA_MID_RT")</f>
        <v>0.56915706396102905</v>
      </c>
      <c r="X19" s="48">
        <f>Y19/'Master P&amp;L'!$AE$5</f>
        <v>4.2868565091472239E-3</v>
      </c>
      <c r="Y19" s="15">
        <f>IF(G19="Sell", S19*W19*-H19*O19/N19, S19*W19*H19*O19/N19)</f>
        <v>9628430.0510287285</v>
      </c>
      <c r="Z19" s="15" cm="1">
        <f t="array" ref="Z19">_xll.BDP($B19&amp;" Equity","opt_theta")*H19*O19/N19</f>
        <v>-5010.6499999999996</v>
      </c>
      <c r="AA19" s="19" cm="1">
        <f t="array" ref="AA19">_xll.BDP($B19&amp;" Equity","opt_theta")/I19</f>
        <v>-2.6581697612732091E-3</v>
      </c>
      <c r="AB19" s="36" t="str" cm="1">
        <f t="array" ref="AB19">_xll.BDP($C19&amp;" Equity","EXPECTED_REPORT_DT")</f>
        <v>17/04/2026</v>
      </c>
      <c r="AC19" s="15">
        <f>S19*H19*O19/N19</f>
        <v>16917000</v>
      </c>
      <c r="AD19" s="19">
        <f>AC19/'Master P&amp;L'!$AE$5</f>
        <v>7.5319393900042169E-3</v>
      </c>
      <c r="AE19" t="str">
        <f>B19  &amp; " - Buy to open " &amp;  "-" &amp; H19 &amp;"x"</f>
        <v>TSM US 07/17/26 C340 -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8" t="s">
        <v>246</v>
      </c>
      <c r="B20" s="73" t="s">
        <v>2231</v>
      </c>
      <c r="C20" s="59" t="str" cm="1">
        <f t="array" ref="C20">_xll.BDP(B20&amp;" Equity","OPT_UNDL_TICKER")</f>
        <v>TSM US</v>
      </c>
      <c r="D20" s="59" t="str" cm="1">
        <f t="array" ref="D20">_xll.BDP($B20&amp;" Index","mifid_Maturity_date")</f>
        <v>17/07/2026</v>
      </c>
      <c r="E20" s="59" cm="1">
        <f t="array" ref="E20">_xll.BDP($B20&amp;" Index","opt_days_expire")</f>
        <v>171</v>
      </c>
      <c r="F20" s="59" t="str" cm="1">
        <f t="array" ref="F20">_xll.BDP(B20&amp;" Equity","QUOTED_CURRENCY_REALTIME")</f>
        <v>USD</v>
      </c>
      <c r="G20" s="105" t="s">
        <v>248</v>
      </c>
      <c r="H20" s="96">
        <f>H19</f>
        <v>500</v>
      </c>
      <c r="I20" s="97">
        <f>IF(G20="Buy",L20,K20)</f>
        <v>21.85</v>
      </c>
      <c r="J20" s="19">
        <f>I20/S20</f>
        <v>6.4580008275699013E-2</v>
      </c>
      <c r="K20" s="36" cm="1">
        <f t="array" ref="K20">_xll.BDP($B20&amp;" Equity","bid")</f>
        <v>21.85</v>
      </c>
      <c r="L20" s="36" cm="1">
        <f t="array" ref="L20">_xll.BDP($B20&amp;" Equity","ask")</f>
        <v>23.2</v>
      </c>
      <c r="M20" s="40">
        <f>(L20/K20-1)</f>
        <v>6.1784897025171537E-2</v>
      </c>
      <c r="N20" s="36" cm="1">
        <f t="array" ref="N20">_xll.BDP(F20&amp;" Curncy","PX_LAST")</f>
        <v>1</v>
      </c>
      <c r="O20" s="162" cm="1">
        <f t="array" ref="O20">_xll.BDP(B20&amp;" Equity","OPT_MULTIPLIER")</f>
        <v>100</v>
      </c>
      <c r="P20" s="15">
        <f>IF(G20="Buy",((I20/N20)*H20*O20),((I20/N20)*-H20*O20))</f>
        <v>-1092500</v>
      </c>
      <c r="Q20" s="58">
        <f>P20/'Master P&amp;L'!$AD$5*10000</f>
        <v>-4.8641270813853561</v>
      </c>
      <c r="R20" s="37" cm="1">
        <f t="array" ref="R20">_xll.BDP($C20&amp;" Equity","EST_PE_NXT_YR")*(T20/S20)</f>
        <v>22.073215029482551</v>
      </c>
      <c r="S20" s="36" cm="1">
        <f t="array" ref="S20">_xll.BDP(C20&amp;" Equity","LAST_PRICE")</f>
        <v>338.34</v>
      </c>
      <c r="T20" s="53" cm="1">
        <f t="array" ref="T20">_xll.BDP(B20&amp;" Equity","OPT_STRIKE_PX")</f>
        <v>380</v>
      </c>
      <c r="U20" s="40">
        <f>T20/S20-1</f>
        <v>0.12313057870780875</v>
      </c>
      <c r="V20" s="37" cm="1">
        <f t="array" ref="V20">_xll.BDP($B20&amp;" Equity","ivol_mid")</f>
        <v>38.780230000000003</v>
      </c>
      <c r="W20" s="38" cm="1">
        <f t="array" ref="W20">_xll.BDP(B20&amp;" Equity","DELTA_MID_RT")</f>
        <v>0.4045461118221283</v>
      </c>
      <c r="X20" s="48">
        <f>Y20/'Master P&amp;L'!$AE$5</f>
        <v>-3.0470167947061377E-3</v>
      </c>
      <c r="Y20" s="15">
        <f>IF(G20="Sell", S20*W20*-H20*O20/N20, S20*W20*H20*O20/N20)</f>
        <v>-6843706.5736949425</v>
      </c>
      <c r="Z20" s="15" cm="1">
        <f t="array" ref="Z20">_xll.BDP($B20&amp;" Equity","opt_theta")*H20*O20/N20</f>
        <v>-5012.05</v>
      </c>
      <c r="AA20" s="19" cm="1">
        <f t="array" ref="AA20">_xll.BDP($B20&amp;" Equity","opt_theta")/I20</f>
        <v>-4.5876887871853546E-3</v>
      </c>
      <c r="AB20" s="36" t="str" cm="1">
        <f t="array" ref="AB20">_xll.BDP($C20&amp;" Equity","EXPECTED_REPORT_DT")</f>
        <v>17/04/2026</v>
      </c>
      <c r="AC20" s="15">
        <f>S20*H20*O20/N20</f>
        <v>16917000</v>
      </c>
      <c r="AD20" s="19">
        <f>AC20/'Master P&amp;L'!$AE$5</f>
        <v>7.5319393900042169E-3</v>
      </c>
      <c r="AE20" t="str">
        <f>B20  &amp; " - Buy to open " &amp;  "-" &amp; H20 &amp;"x"</f>
        <v>TSM US 07/17/26 C380 - Buy to open -500x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>
      <c r="H21" s="100" t="s">
        <v>116</v>
      </c>
      <c r="I21" s="102">
        <f>I19-I20</f>
        <v>15.850000000000001</v>
      </c>
      <c r="J21" s="100" t="s">
        <v>249</v>
      </c>
      <c r="K21" s="101">
        <f>K20/L19</f>
        <v>0.57957559681697612</v>
      </c>
      <c r="P21" s="100" t="s">
        <v>250</v>
      </c>
      <c r="Q21" s="108">
        <f>Q19+Q20</f>
        <v>3.5284400109820551</v>
      </c>
      <c r="S21" s="100" t="s">
        <v>251</v>
      </c>
      <c r="T21" s="102">
        <f>T20-T19</f>
        <v>40</v>
      </c>
      <c r="W21" s="100" t="s">
        <v>252</v>
      </c>
      <c r="X21" s="122">
        <f>X19+X20</f>
        <v>1.2398397144410861E-3</v>
      </c>
      <c r="Y21" s="13">
        <f>Y19+Y20</f>
        <v>2784723.477333786</v>
      </c>
      <c r="AC21" s="100" t="s">
        <v>229</v>
      </c>
      <c r="AD21" s="104">
        <f>AD19</f>
        <v>7.5319393900042169E-3</v>
      </c>
      <c r="AK21">
        <f>$AJ$20/AK19</f>
        <v>3.6666666666666951E-2</v>
      </c>
      <c r="AL21">
        <f>$AJ$20/AL19</f>
        <v>2.7500000000000212E-2</v>
      </c>
    </row>
    <row r="22" spans="1:38">
      <c r="H22" s="100" t="s">
        <v>253</v>
      </c>
      <c r="I22" s="102">
        <f>(T21-I21)/I21</f>
        <v>1.5236593059936907</v>
      </c>
      <c r="J22" s="100" t="s">
        <v>145</v>
      </c>
      <c r="K22" s="223">
        <f>AVERAGE(K19:L19)-AVERAGE(K20:L20)</f>
        <v>14.899999999999999</v>
      </c>
      <c r="P22" s="130">
        <f>P19+P20</f>
        <v>792500</v>
      </c>
      <c r="Q22" s="108"/>
      <c r="S22" s="100"/>
      <c r="T22" s="102"/>
      <c r="W22" s="100"/>
      <c r="X22" s="122"/>
      <c r="Y22" s="3">
        <f>Y21/S19</f>
        <v>8230.5476069450433</v>
      </c>
      <c r="AC22" s="100"/>
      <c r="AD22" s="104"/>
    </row>
    <row r="23" spans="1:38">
      <c r="I23" s="64">
        <f>I20*2</f>
        <v>43.7</v>
      </c>
      <c r="K23" s="167">
        <f>K19-K20</f>
        <v>15.299999999999997</v>
      </c>
      <c r="L23" s="167">
        <f>L19-L20</f>
        <v>14.500000000000004</v>
      </c>
      <c r="P23" s="40">
        <f>P22/Y21</f>
        <v>0.28458840041050454</v>
      </c>
      <c r="AG23" s="167"/>
      <c r="AH23" s="167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8">
        <v>8.4</v>
      </c>
      <c r="L24" s="238"/>
      <c r="S24">
        <v>181</v>
      </c>
      <c r="W24" s="50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>
        <f>I26/I27</f>
        <v>2.2916666666666665</v>
      </c>
      <c r="K25" s="238"/>
      <c r="L25" s="238"/>
      <c r="W25" s="50"/>
    </row>
    <row r="26" spans="1:38">
      <c r="A26" s="436">
        <f>A24-H26</f>
        <v>210</v>
      </c>
      <c r="B26" t="s">
        <v>2388</v>
      </c>
      <c r="C26" t="str" cm="1">
        <f t="array" ref="C26">_xll.BDP(B26&amp;" Equity","OPT_UNDL_TICKER")</f>
        <v>MSFT US</v>
      </c>
      <c r="D26" t="str" cm="1">
        <f t="array" ref="D26">_xll.BDP($B26&amp;" Index","mifid_Maturity_date")</f>
        <v>30/01/2026</v>
      </c>
      <c r="E26" cm="1">
        <f t="array" ref="E26">_xll.BDP($B26&amp;" Index","opt_days_expire")</f>
        <v>3</v>
      </c>
      <c r="F26" t="str" cm="1">
        <f t="array" ref="F26">_xll.BDP(B26&amp;" Equity","QUOTED_CURRENCY_REALTIME")</f>
        <v>USD</v>
      </c>
      <c r="G26" s="105" t="s">
        <v>247</v>
      </c>
      <c r="H26" s="96">
        <v>75</v>
      </c>
      <c r="I26" s="97">
        <f>IF(G26="Buy",L26,K26)</f>
        <v>8.25</v>
      </c>
      <c r="J26" s="19">
        <f>I26/S26</f>
        <v>1.7166756835490449E-2</v>
      </c>
      <c r="K26" s="36" cm="1">
        <f t="array" ref="K26">_xll.BDP($B26&amp;" Equity","bid")</f>
        <v>8.1</v>
      </c>
      <c r="L26" s="36" cm="1">
        <f t="array" ref="L26">_xll.BDP($B26&amp;" Equity","ask")</f>
        <v>8.25</v>
      </c>
      <c r="M26" s="40">
        <f>(L26/K26-1)</f>
        <v>1.8518518518518601E-2</v>
      </c>
      <c r="N26" s="36" cm="1">
        <f t="array" ref="N26">_xll.BDP(F26&amp;" Curncy","PX_LAST")</f>
        <v>1</v>
      </c>
      <c r="O26" s="162" cm="1">
        <f t="array" ref="O26">_xll.BDP(B26&amp;" Equity","OPT_MULTIPLIER")</f>
        <v>100</v>
      </c>
      <c r="P26" s="15">
        <f>IF(G26="Buy",((I26/N26)*H26*O26),((I26/N26)*-H26*O26))</f>
        <v>61875</v>
      </c>
      <c r="Q26" s="58">
        <f>P26/'Master P&amp;L'!$AD$5*10000</f>
        <v>0.27548545827068094</v>
      </c>
      <c r="R26" s="37" cm="1">
        <f t="array" ref="R26">_xll.BDP($C26&amp;" Equity","EST_PE_NXT_YR")*(T26/S26)</f>
        <v>26.106657181629554</v>
      </c>
      <c r="S26" s="36" cm="1">
        <f t="array" ref="S26">_xll.BDP(C26&amp;" Equity","LAST_PRICE")</f>
        <v>480.58</v>
      </c>
      <c r="T26" s="53" cm="1">
        <f t="array" ref="T26">_xll.BDP(B26&amp;" Equity","OPT_STRIKE_PX")</f>
        <v>490</v>
      </c>
      <c r="U26" s="40">
        <f>T26/S26-1</f>
        <v>1.9601315077614645E-2</v>
      </c>
      <c r="V26" s="37" cm="1">
        <f t="array" ref="V26">_xll.BDP($B26&amp;" Equity","ivol_mid")</f>
        <v>58.055100000000003</v>
      </c>
      <c r="W26" s="38" cm="1">
        <f t="array" ref="W26">_xll.BDP(B26&amp;" Equity","DELTA_MID_RT")</f>
        <v>0.39357781410217285</v>
      </c>
      <c r="X26" s="48">
        <f>Y26/'Master P&amp;L'!$AE$5</f>
        <v>6.3159841734900587E-4</v>
      </c>
      <c r="Y26" s="15">
        <f>IF(G26="Sell", S26*W26*-H26*O26/N26, S26*W26*H26*O26/N26)</f>
        <v>1418592.1942591667</v>
      </c>
      <c r="Z26" s="15" cm="1">
        <f t="array" ref="Z26">_xll.BDP($B26&amp;" Equity","opt_theta")*H26*O26/N26</f>
        <v>-10749.78</v>
      </c>
      <c r="AA26" s="19" cm="1">
        <f t="array" ref="AA26">_xll.BDP($B26&amp;" Equity","opt_theta")/I26</f>
        <v>-0.17373381818181818</v>
      </c>
      <c r="AB26" s="36" t="str" cm="1">
        <f t="array" ref="AB26">_xll.BDP($C26&amp;" Equity","EXPECTED_REPORT_DT")</f>
        <v>28/01/2026</v>
      </c>
      <c r="AC26" s="15">
        <f>S26*H26*O26/N26</f>
        <v>3604350</v>
      </c>
      <c r="AD26" s="19">
        <f>AC26/'Master P&amp;L'!$AE$5</f>
        <v>1.6047612307360465E-3</v>
      </c>
      <c r="AE26" t="str">
        <f>B26  &amp; " - Buy to open " &amp;  "-" &amp; H26 &amp;"x"</f>
        <v>MSFT US 01/30/26 C490 - Buy to open -75x</v>
      </c>
    </row>
    <row r="27" spans="1:38">
      <c r="A27" s="436">
        <f>A25-H27</f>
        <v>235</v>
      </c>
      <c r="B27" t="s">
        <v>2389</v>
      </c>
      <c r="C27" t="str" cm="1">
        <f t="array" ref="C27">_xll.BDP(B27&amp;" Equity","OPT_UNDL_TICKER")</f>
        <v>MSFT US</v>
      </c>
      <c r="D27" t="str" cm="1">
        <f t="array" ref="D27">_xll.BDP($B27&amp;" Index","mifid_Maturity_date")</f>
        <v>30/01/2026</v>
      </c>
      <c r="E27" cm="1">
        <f t="array" ref="E27">_xll.BDP($B27&amp;" Index","opt_days_expire")</f>
        <v>3</v>
      </c>
      <c r="F27" t="str" cm="1">
        <f t="array" ref="F27">_xll.BDP(B27&amp;" Equity","QUOTED_CURRENCY_REALTIME")</f>
        <v>USD</v>
      </c>
      <c r="G27" s="105" t="s">
        <v>248</v>
      </c>
      <c r="H27" s="96">
        <v>50</v>
      </c>
      <c r="I27" s="97">
        <f>IF(G27="Buy",L27,K27)</f>
        <v>3.6</v>
      </c>
      <c r="J27" s="19">
        <f>I27/S27</f>
        <v>7.4909484373049239E-3</v>
      </c>
      <c r="K27" s="36" cm="1">
        <f t="array" ref="K27">_xll.BDP($B27&amp;" Equity","bid")</f>
        <v>3.6</v>
      </c>
      <c r="L27" s="36" cm="1">
        <f t="array" ref="L27">_xll.BDP($B27&amp;" Equity","ask")</f>
        <v>3.7</v>
      </c>
      <c r="M27" s="40">
        <f>(L27/K27-1)</f>
        <v>2.7777777777777901E-2</v>
      </c>
      <c r="N27" s="36" cm="1">
        <f t="array" ref="N27">_xll.BDP(F27&amp;" Curncy","PX_LAST")</f>
        <v>1</v>
      </c>
      <c r="O27" s="162" cm="1">
        <f t="array" ref="O27">_xll.BDP(B27&amp;" Equity","OPT_MULTIPLIER")</f>
        <v>100</v>
      </c>
      <c r="P27" s="15">
        <f>IF(G27="Buy",((I27/N27)*H27*O27),((I27/N27)*-H27*O27))</f>
        <v>-18000</v>
      </c>
      <c r="Q27" s="58">
        <f>P27/'Master P&amp;L'!$AD$5*10000</f>
        <v>-8.0141224224198088E-2</v>
      </c>
      <c r="R27" s="37" cm="1">
        <f t="array" ref="R27">_xll.BDP($C27&amp;" Equity","EST_PE_NXT_YR")*(T27/S27)</f>
        <v>26.905840564740661</v>
      </c>
      <c r="S27" s="36" cm="1">
        <f t="array" ref="S27">_xll.BDP(C27&amp;" Equity","LAST_PRICE")</f>
        <v>480.58</v>
      </c>
      <c r="T27" s="53" cm="1">
        <f t="array" ref="T27">_xll.BDP(B27&amp;" Equity","OPT_STRIKE_PX")</f>
        <v>505</v>
      </c>
      <c r="U27" s="40">
        <f>T27/S27-1</f>
        <v>5.0813600233051703E-2</v>
      </c>
      <c r="V27" s="37" cm="1">
        <f t="array" ref="V27">_xll.BDP($B27&amp;" Equity","ivol_mid")</f>
        <v>56.696939999999998</v>
      </c>
      <c r="W27" s="38" cm="1">
        <f t="array" ref="W27">_xll.BDP(B27&amp;" Equity","DELTA_MID_RT")</f>
        <v>0.2210351973772049</v>
      </c>
      <c r="X27" s="48">
        <f>Y27/'Master P&amp;L'!$AE$5</f>
        <v>-2.3647247691935215E-4</v>
      </c>
      <c r="Y27" s="15">
        <f>IF(G27="Sell", S27*W27*-H27*O27/N27, S27*W27*H27*O27/N27)</f>
        <v>-531125.47577768553</v>
      </c>
      <c r="Z27" s="15" cm="1">
        <f t="array" ref="Z27">_xll.BDP($B27&amp;" Equity","opt_theta")*H27*O27/N27</f>
        <v>-5186.9849999999997</v>
      </c>
      <c r="AA27" s="19" cm="1">
        <f t="array" ref="AA27">_xll.BDP($B27&amp;" Equity","opt_theta")/I27</f>
        <v>-0.28816583333333329</v>
      </c>
      <c r="AB27" s="36" t="str" cm="1">
        <f t="array" ref="AB27">_xll.BDP($C27&amp;" Equity","EXPECTED_REPORT_DT")</f>
        <v>28/01/2026</v>
      </c>
      <c r="AC27" s="15">
        <f>S27*H27*O27/N27</f>
        <v>2402900</v>
      </c>
      <c r="AD27" s="19">
        <f>AC27/'Master P&amp;L'!$AE$5</f>
        <v>1.0698408204906978E-3</v>
      </c>
      <c r="AE27" t="str">
        <f>B27  &amp; " - Buy to open " &amp;  "-" &amp; H27 &amp;"x"</f>
        <v>MSFT US 01/30/26 C505 - Buy to open -50x</v>
      </c>
    </row>
    <row r="28" spans="1:38">
      <c r="H28" s="100" t="s">
        <v>116</v>
      </c>
      <c r="I28" s="102">
        <f>I26-I27</f>
        <v>4.6500000000000004</v>
      </c>
      <c r="J28" s="100" t="s">
        <v>249</v>
      </c>
      <c r="K28" s="101">
        <f>K27/L26</f>
        <v>0.4363636363636364</v>
      </c>
      <c r="P28" s="100" t="s">
        <v>250</v>
      </c>
      <c r="Q28" s="103">
        <f>Q26+Q27</f>
        <v>0.19534423404648285</v>
      </c>
      <c r="S28" s="100" t="s">
        <v>251</v>
      </c>
      <c r="T28" s="102">
        <f>T27-T26</f>
        <v>15</v>
      </c>
      <c r="W28" s="100" t="s">
        <v>252</v>
      </c>
      <c r="X28" s="122">
        <f>X26+X27</f>
        <v>3.9512594042965372E-4</v>
      </c>
      <c r="Y28" s="13">
        <f>Y26+Y27</f>
        <v>887466.71848148119</v>
      </c>
      <c r="AC28" s="100" t="s">
        <v>229</v>
      </c>
      <c r="AD28" s="104">
        <f>AD26</f>
        <v>1.6047612307360465E-3</v>
      </c>
    </row>
    <row r="29" spans="1:38">
      <c r="A29" s="13">
        <f>A27-A26</f>
        <v>25</v>
      </c>
      <c r="H29" s="100" t="s">
        <v>253</v>
      </c>
      <c r="I29" s="102">
        <f>(T28-I28)/I28</f>
        <v>2.225806451612903</v>
      </c>
      <c r="J29" s="100" t="s">
        <v>145</v>
      </c>
      <c r="K29" s="109">
        <f>AVERAGE(K26:L26)-AVERAGE(K27:L27)</f>
        <v>4.5250000000000004</v>
      </c>
      <c r="P29" s="130">
        <f>P26+P27</f>
        <v>43875</v>
      </c>
      <c r="Q29" s="108"/>
      <c r="S29" s="100"/>
      <c r="T29" s="102"/>
      <c r="W29" s="100"/>
      <c r="X29" s="122"/>
      <c r="Y29" s="13"/>
      <c r="AC29" s="100"/>
      <c r="AD29" s="104"/>
    </row>
    <row r="30" spans="1:38">
      <c r="I30" s="21">
        <f>I28/S26</f>
        <v>9.6758083981855272E-3</v>
      </c>
      <c r="K30" s="167">
        <f>K26-K27</f>
        <v>4.5</v>
      </c>
      <c r="L30" s="167">
        <f>L26-L27</f>
        <v>4.55</v>
      </c>
      <c r="P30" s="40">
        <f>P29/Y28</f>
        <v>4.9438473676030638E-2</v>
      </c>
      <c r="X30" s="3">
        <f>Y30/I28</f>
        <v>397.1306707269402</v>
      </c>
      <c r="Y30" s="8">
        <f>Y28/S26</f>
        <v>1846.6576188802721</v>
      </c>
      <c r="AG30" s="167"/>
      <c r="AH30" s="167"/>
    </row>
    <row r="31" spans="1:38">
      <c r="K31" s="64">
        <f>I27*2-I26</f>
        <v>-1.0499999999999998</v>
      </c>
      <c r="L31" s="64"/>
      <c r="P31" s="21"/>
      <c r="AG31" s="64"/>
      <c r="AH31" s="64"/>
    </row>
    <row r="32" spans="1:38">
      <c r="H32" s="276"/>
      <c r="J32" s="43"/>
      <c r="P32" s="21"/>
    </row>
    <row r="33" spans="1:38">
      <c r="A33" s="98" t="s">
        <v>246</v>
      </c>
      <c r="B33" s="73" t="s">
        <v>2384</v>
      </c>
      <c r="C33" t="str" cm="1">
        <f t="array" ref="C33">_xll.BDP(B33&amp;" Equity","OPT_UNDL_TICKER")</f>
        <v>AKAM US</v>
      </c>
      <c r="D33" t="str" cm="1">
        <f t="array" ref="D33">_xll.BDP($B33&amp;" Index","mifid_Maturity_date")</f>
        <v>21/08/2026</v>
      </c>
      <c r="E33" cm="1">
        <f t="array" ref="E33">_xll.BDP($B33&amp;" Index","opt_days_expire")</f>
        <v>206</v>
      </c>
      <c r="F33" t="str" cm="1">
        <f t="array" ref="F33">_xll.BDP(B33&amp;" Equity","QUOTED_CURRENCY_REALTIME")</f>
        <v>USD</v>
      </c>
      <c r="G33" s="105" t="s">
        <v>247</v>
      </c>
      <c r="H33" s="96">
        <v>250</v>
      </c>
      <c r="I33" s="97">
        <f>IF(G33="Buy",L33,K33)</f>
        <v>10.9</v>
      </c>
      <c r="J33" s="19">
        <f>I33/S33</f>
        <v>0.10555878365291498</v>
      </c>
      <c r="K33" s="36" cm="1">
        <f t="array" ref="K33">_xll.BDP($B33&amp;" Equity","bid")</f>
        <v>8.4</v>
      </c>
      <c r="L33" s="36" cm="1">
        <f t="array" ref="L33">_xll.BDP($B33&amp;" Equity","ask")</f>
        <v>10.9</v>
      </c>
      <c r="M33" s="40">
        <f>(L33/K33-1)</f>
        <v>0.29761904761904767</v>
      </c>
      <c r="N33" s="36" cm="1">
        <f t="array" ref="N33">_xll.BDP(F33&amp;" Curncy","PX_LAST")</f>
        <v>1</v>
      </c>
      <c r="O33" s="162" cm="1">
        <f t="array" ref="O33">_xll.BDP(B33&amp;" Equity","OPT_MULTIPLIER")</f>
        <v>100</v>
      </c>
      <c r="P33" s="15">
        <f>IF(G33="Buy",((I33/N33)*H33*O33),((I33/N33)*-H33*O33))</f>
        <v>272500</v>
      </c>
      <c r="Q33" s="58">
        <f>P33/'Master P&amp;L'!$AD$5*10000</f>
        <v>1.2132490889496654</v>
      </c>
      <c r="R33" s="37" cm="1">
        <f t="array" ref="R33">_xll.BDP($C33&amp;" Equity","EST_PE_NXT_YR")*(T33/S33)</f>
        <v>15.682128632991397</v>
      </c>
      <c r="S33" s="36">
        <f>_xll.BDP(C33&amp;" Equity","LAST_PRICE")</f>
        <v>103.26</v>
      </c>
      <c r="T33" s="53" cm="1">
        <f t="array" ref="T33">_xll.BDP(B33&amp;" Equity","OPT_STRIKE_PX")</f>
        <v>115</v>
      </c>
      <c r="U33" s="40">
        <f>T33/S33-1</f>
        <v>0.11369358899864412</v>
      </c>
      <c r="V33" s="37" cm="1">
        <f t="array" ref="V33">_xll.BDP($B33&amp;" Equity","ivol_mid")</f>
        <v>42.59928</v>
      </c>
      <c r="W33" s="38" cm="1">
        <f t="array" ref="W33">_xll.BDP(B33&amp;" Equity","DELTA_MID_RT")</f>
        <v>0.46409577131271362</v>
      </c>
      <c r="X33" s="48">
        <f>Y33/'Master P&amp;L'!$AE$5</f>
        <v>5.3341252356785122E-4</v>
      </c>
      <c r="Y33" s="15">
        <f>IF(G33="Sell", S33*W33*-H33*O33/N33, S33*W33*H33*O33/N33)</f>
        <v>1198063.2336437702</v>
      </c>
      <c r="Z33" s="15" cm="1">
        <f t="array" ref="Z33">_xll.BDP($B33&amp;" Equity","opt_theta")*H33*O33/N33</f>
        <v>-726.8</v>
      </c>
      <c r="AA33" s="19" cm="1">
        <f t="array" ref="AA33">_xll.BDP($B33&amp;" Equity","opt_theta")/I33</f>
        <v>-2.6671559633027523E-3</v>
      </c>
      <c r="AB33" s="36" t="str" cm="1">
        <f t="array" ref="AB33">_xll.BDP($C33&amp;" Equity","EXPECTED_REPORT_DT")</f>
        <v>19/02/2026</v>
      </c>
      <c r="AC33" s="15">
        <f>S33*H33*O33/N33</f>
        <v>2581500</v>
      </c>
      <c r="AD33" s="19">
        <f>AC33/'Master P&amp;L'!$AE$5</f>
        <v>1.1493587240820409E-3</v>
      </c>
      <c r="AE33" t="str">
        <f>B33  &amp; " - Buy to open " &amp;  "-" &amp; H33 &amp;"x"</f>
        <v>AKAM US 08/21/26 C115 - Buy to open -250x</v>
      </c>
    </row>
    <row r="34" spans="1:38">
      <c r="A34" s="98" t="s">
        <v>246</v>
      </c>
      <c r="B34" s="73" t="s">
        <v>2385</v>
      </c>
      <c r="C34" t="str" cm="1">
        <f t="array" ref="C34">_xll.BDP(B34&amp;" Equity","OPT_UNDL_TICKER")</f>
        <v>AKAM US</v>
      </c>
      <c r="D34" t="str" cm="1">
        <f t="array" ref="D34">_xll.BDP($B34&amp;" Index","mifid_Maturity_date")</f>
        <v>21/08/2026</v>
      </c>
      <c r="E34" cm="1">
        <f t="array" ref="E34">_xll.BDP($B34&amp;" Index","opt_days_expire")</f>
        <v>206</v>
      </c>
      <c r="F34" t="str" cm="1">
        <f t="array" ref="F34">_xll.BDP(B34&amp;" Equity","QUOTED_CURRENCY_REALTIME")</f>
        <v>USD</v>
      </c>
      <c r="G34" s="105" t="s">
        <v>248</v>
      </c>
      <c r="H34" s="96">
        <f>H33</f>
        <v>250</v>
      </c>
      <c r="I34" s="97">
        <f>IF(G34="Buy",L34,K34)</f>
        <v>4.7</v>
      </c>
      <c r="J34" s="19">
        <f>I34/S34</f>
        <v>4.5516172767770674E-2</v>
      </c>
      <c r="K34" s="36" cm="1">
        <f t="array" ref="K34">_xll.BDP($B34&amp;" Equity","bid")</f>
        <v>4.7</v>
      </c>
      <c r="L34" s="36" cm="1">
        <f t="array" ref="L34">_xll.BDP($B34&amp;" Equity","ask")</f>
        <v>6.5</v>
      </c>
      <c r="M34" s="40">
        <f>(L34/K34-1)</f>
        <v>0.38297872340425521</v>
      </c>
      <c r="N34" s="36" cm="1">
        <f t="array" ref="N34">_xll.BDP(F34&amp;" Curncy","PX_LAST")</f>
        <v>1</v>
      </c>
      <c r="O34" s="162" cm="1">
        <f t="array" ref="O34">_xll.BDP(B34&amp;" Equity","OPT_MULTIPLIER")</f>
        <v>100</v>
      </c>
      <c r="P34" s="15">
        <f>IF(G34="Buy",((I34/N34)*H34*O34),((I34/N34)*-H34*O34))</f>
        <v>-117500</v>
      </c>
      <c r="Q34" s="58">
        <f>P34/'Master P&amp;L'!$AD$5*10000</f>
        <v>-0.5231441025746264</v>
      </c>
      <c r="R34" s="37" cm="1">
        <f t="array" ref="R34">_xll.BDP($C34&amp;" Equity","EST_PE_NXT_YR")*(T34/S34)</f>
        <v>17.727623672077229</v>
      </c>
      <c r="S34" s="36">
        <f>_xll.BDP(C34&amp;" Equity","LAST_PRICE")</f>
        <v>103.26</v>
      </c>
      <c r="T34" s="53" cm="1">
        <f t="array" ref="T34">_xll.BDP(B34&amp;" Equity","OPT_STRIKE_PX")</f>
        <v>130</v>
      </c>
      <c r="U34" s="40">
        <f>T34/S34-1</f>
        <v>0.25895797017238031</v>
      </c>
      <c r="V34" s="37" cm="1">
        <f t="array" ref="V34">_xll.BDP($B34&amp;" Equity","ivol_mid")</f>
        <v>41.118000000000002</v>
      </c>
      <c r="W34" s="38" cm="1">
        <f t="array" ref="W34">_xll.BDP(B34&amp;" Equity","DELTA_MID_RT")</f>
        <v>0.31399387121200562</v>
      </c>
      <c r="X34" s="48">
        <f>Y34/'Master P&amp;L'!$AE$5</f>
        <v>-3.6089159518581151E-4</v>
      </c>
      <c r="Y34" s="15">
        <f>IF(G34="Sell", S34*W34*-H34*O34/N34, S34*W34*H34*O34/N34)</f>
        <v>-810575.17853379261</v>
      </c>
      <c r="Z34" s="15" cm="1">
        <f t="array" ref="Z34">_xll.BDP($B34&amp;" Equity","opt_theta")*H34*O34/N34</f>
        <v>-589.62499999999989</v>
      </c>
      <c r="AA34" s="19" cm="1">
        <f t="array" ref="AA34">_xll.BDP($B34&amp;" Equity","opt_theta")/I34</f>
        <v>-5.0180851063829782E-3</v>
      </c>
      <c r="AB34" s="36" t="str" cm="1">
        <f t="array" ref="AB34">_xll.BDP($C34&amp;" Equity","EXPECTED_REPORT_DT")</f>
        <v>19/02/2026</v>
      </c>
      <c r="AC34" s="15">
        <f>S34*H34*O34/N34</f>
        <v>2581500</v>
      </c>
      <c r="AD34" s="19">
        <f>AC34/'Master P&amp;L'!$AE$5</f>
        <v>1.1493587240820409E-3</v>
      </c>
      <c r="AE34" t="str">
        <f>B34  &amp; " - Buy to open " &amp;  "-" &amp; H34 &amp;"x"</f>
        <v>AKAM US 08/21/26 C130 - Buy to open -250x</v>
      </c>
    </row>
    <row r="35" spans="1:38">
      <c r="H35" s="100" t="s">
        <v>116</v>
      </c>
      <c r="I35" s="222">
        <f>I33-I34</f>
        <v>6.2</v>
      </c>
      <c r="J35" s="100" t="s">
        <v>249</v>
      </c>
      <c r="K35" s="101">
        <f>K34/L33</f>
        <v>0.43119266055045874</v>
      </c>
      <c r="P35" s="100" t="s">
        <v>250</v>
      </c>
      <c r="Q35" s="103">
        <f>Q33+Q34</f>
        <v>0.69010498637503903</v>
      </c>
      <c r="S35" s="100" t="s">
        <v>251</v>
      </c>
      <c r="T35" s="102">
        <f>T34-T33</f>
        <v>15</v>
      </c>
      <c r="W35" s="100" t="s">
        <v>252</v>
      </c>
      <c r="X35" s="122">
        <f>X33+X34</f>
        <v>1.7252092838203971E-4</v>
      </c>
      <c r="Y35" s="13">
        <f>Y33+Y34</f>
        <v>387488.05510997761</v>
      </c>
      <c r="AC35" s="100" t="s">
        <v>229</v>
      </c>
      <c r="AD35" s="104">
        <f>AD33</f>
        <v>1.1493587240820409E-3</v>
      </c>
    </row>
    <row r="36" spans="1:38">
      <c r="H36" s="100" t="s">
        <v>253</v>
      </c>
      <c r="I36" s="102">
        <f>(T35-I35)/I35</f>
        <v>1.4193548387096775</v>
      </c>
      <c r="J36" s="100" t="s">
        <v>145</v>
      </c>
      <c r="K36" s="109">
        <f>AVERAGE(K33:L33)-AVERAGE(K34:L34)</f>
        <v>4.0500000000000007</v>
      </c>
      <c r="P36" s="130">
        <f>P33+P34</f>
        <v>155000</v>
      </c>
      <c r="Q36" s="108"/>
      <c r="S36" s="100"/>
      <c r="T36" s="102"/>
      <c r="W36" s="100"/>
      <c r="X36" s="122"/>
      <c r="Y36" s="13">
        <f>Y35/S33</f>
        <v>3752.5475025176988</v>
      </c>
      <c r="AC36" s="100"/>
      <c r="AD36" s="104"/>
    </row>
    <row r="37" spans="1:38">
      <c r="I37" s="21">
        <f>I35/S33</f>
        <v>6.0042610885144294E-2</v>
      </c>
      <c r="K37" s="64">
        <f>(2*I33)-(I34*3)</f>
        <v>7.6999999999999993</v>
      </c>
      <c r="P37" s="267">
        <f>P36/I35/100</f>
        <v>250</v>
      </c>
      <c r="W37" s="50">
        <f>W33-W34</f>
        <v>0.15010190010070801</v>
      </c>
    </row>
    <row r="38" spans="1:38">
      <c r="H38">
        <v>1</v>
      </c>
      <c r="J38" s="43">
        <f>J39-J40</f>
        <v>-0.11493205923339989</v>
      </c>
      <c r="P38" s="13"/>
    </row>
    <row r="39" spans="1:38">
      <c r="A39" s="281">
        <f>S39-T39</f>
        <v>-16.07</v>
      </c>
      <c r="B39" s="73" t="s">
        <v>2317</v>
      </c>
      <c r="C39" t="str" cm="1">
        <f t="array" ref="C39">_xll.BDP(B39&amp;" Equity","OPT_UNDL_TICKER")</f>
        <v>INTC US</v>
      </c>
      <c r="D39" t="str" cm="1">
        <f t="array" ref="D39">_xll.BDP($B39&amp;" Index","mifid_Maturity_date")</f>
        <v>#N/A Invalid Security</v>
      </c>
      <c r="E39" t="str" cm="1">
        <f t="array" ref="E39">_xll.BDP($B39&amp;" Index","opt_days_expire")</f>
        <v>#N/A Invalid Security</v>
      </c>
      <c r="F39" t="str" cm="1">
        <f t="array" ref="F39">_xll.BDP(B39&amp;" Equity","QUOTED_CURRENCY_REALTIME")</f>
        <v>USD</v>
      </c>
      <c r="G39" s="105" t="s">
        <v>247</v>
      </c>
      <c r="H39" s="96">
        <v>150</v>
      </c>
      <c r="I39" s="224">
        <f>IF(G39="Buy",L39,K39)</f>
        <v>0.01</v>
      </c>
      <c r="J39" s="19">
        <f>I39/S39</f>
        <v>2.2763487366264513E-4</v>
      </c>
      <c r="K39" s="36" t="str" cm="1">
        <f t="array" ref="K39">_xll.BDP($B39&amp;" Equity","bid")</f>
        <v>#N/A N/A</v>
      </c>
      <c r="L39" s="36" cm="1">
        <f t="array" ref="L39">_xll.BDP($B39&amp;" Equity","ask")</f>
        <v>0.01</v>
      </c>
      <c r="M39" s="40" t="e">
        <f>(L39/K39-1)</f>
        <v>#VALUE!</v>
      </c>
      <c r="N39" s="36" cm="1">
        <f t="array" ref="N39">_xll.BDP(F39&amp;" Curncy","PX_LAST")</f>
        <v>1</v>
      </c>
      <c r="O39" s="162" cm="1">
        <f t="array" ref="O39">_xll.BDP(B39&amp;" Equity","OPT_MULTIPLIER")</f>
        <v>100</v>
      </c>
      <c r="P39" s="15">
        <f>IF(G39="Buy",((I39/N39)*H39*O39),((I39/N39)*-H39*O39))</f>
        <v>150</v>
      </c>
      <c r="Q39" s="58">
        <f>P39/'Master P&amp;L'!$AD$5*10000</f>
        <v>6.6784353520165068E-4</v>
      </c>
      <c r="R39" s="37" cm="1">
        <f t="array" ref="R39">_xll.BDP($C39&amp;" Equity","EST_PE_NXT_YR")*(T39/S39)</f>
        <v>60.478967591114639</v>
      </c>
      <c r="S39" s="36" cm="1">
        <f t="array" ref="S39">_xll.BDP(C39&amp;" Equity","LAST_PRICE")</f>
        <v>43.93</v>
      </c>
      <c r="T39" s="53" cm="1">
        <f t="array" ref="T39">_xll.BDP(B39&amp;" Equity","OPT_STRIKE_PX")</f>
        <v>60</v>
      </c>
      <c r="U39" s="40">
        <f>T39/S39-1</f>
        <v>0.36580924197587072</v>
      </c>
      <c r="V39" s="37" cm="1">
        <f t="array" ref="V39">_xll.BDP($B39&amp;" Equity","ivol_mid")</f>
        <v>4872.4080000000004</v>
      </c>
      <c r="W39" s="38" cm="1">
        <f t="array" ref="W39">_xll.BDP(B39&amp;" Equity","DELTA_MID_RT")</f>
        <v>3.9809998124837875E-3</v>
      </c>
      <c r="X39" s="48">
        <f>Y39/'Master P&amp;L'!$AE$5</f>
        <v>1.1679603154068795E-6</v>
      </c>
      <c r="Y39" s="15">
        <f>IF(G39="Sell", S39*W39*-H39*O39/N39, S39*W39*H39*O39/N39)</f>
        <v>2623.2798264361918</v>
      </c>
      <c r="Z39" s="15" cm="1">
        <f t="array" ref="Z39">_xll.BDP($B39&amp;" Equity","opt_theta")*H39*O39/N39</f>
        <v>-9866.4600000000009</v>
      </c>
      <c r="AA39" s="19" cm="1">
        <f t="array" ref="AA39">_xll.BDP($B39&amp;" Equity","opt_theta")/I39</f>
        <v>-65.776399999999995</v>
      </c>
      <c r="AB39" s="36" t="str" cm="1">
        <f t="array" ref="AB39">_xll.BDP($C39&amp;" Equity","EXPECTED_REPORT_DT")</f>
        <v>24/04/2026</v>
      </c>
      <c r="AC39" s="15">
        <f>S39*H39*O39/N39</f>
        <v>658950</v>
      </c>
      <c r="AD39" s="19">
        <f>AC39/'Master P&amp;L'!$AE$5</f>
        <v>2.9338366501408517E-4</v>
      </c>
      <c r="AE39" t="str">
        <f>B39  &amp; " - Buy to open " &amp;  "-" &amp; H39 &amp;"x"</f>
        <v>INTC US 01/23/26 C60 - Buy to open -150x</v>
      </c>
    </row>
    <row r="40" spans="1:38">
      <c r="A40" s="281">
        <f>S40-T40</f>
        <v>-13.849999999999994</v>
      </c>
      <c r="B40" s="73" t="s">
        <v>2232</v>
      </c>
      <c r="C40" t="str" cm="1">
        <f t="array" ref="C40">_xll.BDP(B40&amp;" Equity","OPT_UNDL_TICKER")</f>
        <v>W US</v>
      </c>
      <c r="D40" t="str" cm="1">
        <f t="array" ref="D40">_xll.BDP($B40&amp;" Index","mifid_Maturity_date")</f>
        <v>15/05/2026</v>
      </c>
      <c r="E40" cm="1">
        <f t="array" ref="E40">_xll.BDP($B40&amp;" Index","opt_days_expire")</f>
        <v>108</v>
      </c>
      <c r="F40" t="str" cm="1">
        <f t="array" ref="F40">_xll.BDP(B40&amp;" Equity","QUOTED_CURRENCY_REALTIME")</f>
        <v>USD</v>
      </c>
      <c r="G40" s="105" t="s">
        <v>247</v>
      </c>
      <c r="H40" s="96">
        <v>100</v>
      </c>
      <c r="I40" s="224">
        <f>IF(G40="Buy",L40,K40)</f>
        <v>12.8</v>
      </c>
      <c r="J40" s="19">
        <f>I40/S40</f>
        <v>0.11515969410706253</v>
      </c>
      <c r="K40" s="36" cm="1">
        <f t="array" ref="K40">_xll.BDP($B40&amp;" Equity","bid")</f>
        <v>11.2</v>
      </c>
      <c r="L40" s="36" cm="1">
        <f t="array" ref="L40">_xll.BDP($B40&amp;" Equity","ask")</f>
        <v>12.8</v>
      </c>
      <c r="M40" s="40">
        <f>(L40/K40-1)</f>
        <v>0.14285714285714302</v>
      </c>
      <c r="N40" s="36" cm="1">
        <f t="array" ref="N40">_xll.BDP(F40&amp;" Curncy","PX_LAST")</f>
        <v>1</v>
      </c>
      <c r="O40" s="162" cm="1">
        <f t="array" ref="O40">_xll.BDP(B40&amp;" Equity","OPT_MULTIPLIER")</f>
        <v>100</v>
      </c>
      <c r="P40" s="15">
        <f>IF(G40="Buy",((I40/N40)*H40*O40),((I40/N40)*-H40*O40))</f>
        <v>128000</v>
      </c>
      <c r="Q40" s="58">
        <f>P40/'Master P&amp;L'!$AD$5*10000</f>
        <v>0.56989315003874197</v>
      </c>
      <c r="R40" s="37" cm="1">
        <f t="array" ref="R40">_xll.BDP($C40&amp;" Equity","EST_PE_NXT_YR")*(T40/S40)</f>
        <v>43.371797222888361</v>
      </c>
      <c r="S40" s="36" cm="1">
        <f t="array" ref="S40">_xll.BDP(C40&amp;" Equity","LAST_PRICE")</f>
        <v>111.15</v>
      </c>
      <c r="T40" s="53" cm="1">
        <f t="array" ref="T40">_xll.BDP(B40&amp;" Equity","OPT_STRIKE_PX")</f>
        <v>125</v>
      </c>
      <c r="U40" s="40">
        <f>T40/S40-1</f>
        <v>0.12460638776428246</v>
      </c>
      <c r="V40" s="37" cm="1">
        <f t="array" ref="V40">_xll.BDP($B40&amp;" Equity","ivol_mid")</f>
        <v>69.368440000000007</v>
      </c>
      <c r="W40" s="38" cm="1">
        <f t="array" ref="W40">_xll.BDP(B40&amp;" Equity","DELTA_MID_RT")</f>
        <v>0.45765203237533569</v>
      </c>
      <c r="X40" s="48">
        <f>Y40/'Master P&amp;L'!$AE$5</f>
        <v>2.264792038345795E-4</v>
      </c>
      <c r="Y40" s="15">
        <f>IF(G40="Sell", S40*W40*-H40*O40/N40, S40*W40*H40*O40/N40)</f>
        <v>508680.23398518562</v>
      </c>
      <c r="Z40" s="15" cm="1">
        <f t="array" ref="Z40">_xll.BDP($B40&amp;" Equity","opt_theta")*H40*O40/N40</f>
        <v>-714.15000000000009</v>
      </c>
      <c r="AA40" s="19" cm="1">
        <f t="array" ref="AA40">_xll.BDP($B40&amp;" Equity","opt_theta")/I40</f>
        <v>-5.5792968750000005E-3</v>
      </c>
      <c r="AB40" s="36" t="str" cm="1">
        <f t="array" ref="AB40">_xll.BDP($C40&amp;" Equity","EXPECTED_REPORT_DT")</f>
        <v>19/02/2026</v>
      </c>
      <c r="AC40" s="15">
        <f>S40*H40*O40/N40</f>
        <v>1111500</v>
      </c>
      <c r="AD40" s="19">
        <f>AC40/'Master P&amp;L'!$AE$5</f>
        <v>4.9487205958442316E-4</v>
      </c>
      <c r="AE40" t="str">
        <f>B40  &amp; " - Buy to open " &amp;  "-" &amp; H40 &amp;"x"</f>
        <v>W US 05/15/26 C125 - Buy to open -100x</v>
      </c>
    </row>
    <row r="41" spans="1:38">
      <c r="H41" s="100" t="s">
        <v>116</v>
      </c>
      <c r="I41" s="222">
        <f>I39-I40</f>
        <v>-12.790000000000001</v>
      </c>
      <c r="J41" s="100" t="s">
        <v>249</v>
      </c>
      <c r="K41" s="101">
        <f>K40/L39</f>
        <v>1120</v>
      </c>
      <c r="P41" s="100" t="s">
        <v>250</v>
      </c>
      <c r="Q41" s="108">
        <f>Q39+Q40</f>
        <v>0.57056099357394363</v>
      </c>
      <c r="S41" s="100" t="s">
        <v>251</v>
      </c>
      <c r="T41" s="102">
        <f>T40-T39</f>
        <v>65</v>
      </c>
      <c r="W41" s="100" t="s">
        <v>252</v>
      </c>
      <c r="X41" s="122">
        <f>X39+X40</f>
        <v>2.2764716414998639E-4</v>
      </c>
      <c r="Y41" s="13">
        <f>Y39+Y40</f>
        <v>511303.51381162181</v>
      </c>
      <c r="AC41" s="100" t="s">
        <v>229</v>
      </c>
      <c r="AD41" s="122">
        <f>AD39</f>
        <v>2.9338366501408517E-4</v>
      </c>
    </row>
    <row r="42" spans="1:38">
      <c r="B42" s="73"/>
      <c r="H42" s="100" t="s">
        <v>253</v>
      </c>
      <c r="I42" s="102">
        <f>(T41-K42)/I41</f>
        <v>-6.0195465207193113</v>
      </c>
      <c r="J42" s="100" t="s">
        <v>145</v>
      </c>
      <c r="K42" s="223">
        <f>AVERAGE(K39:L39)-AVERAGE(K40:L40)</f>
        <v>-11.99</v>
      </c>
      <c r="P42" s="130">
        <f>P39+P40</f>
        <v>128150</v>
      </c>
      <c r="Q42" s="108"/>
      <c r="S42" s="100"/>
      <c r="T42" s="102"/>
      <c r="W42" s="100"/>
      <c r="X42" s="122"/>
      <c r="Y42" s="13">
        <f>Y41/S39</f>
        <v>11639.051076977505</v>
      </c>
      <c r="AC42" s="100"/>
      <c r="AD42" s="104"/>
    </row>
    <row r="43" spans="1:38">
      <c r="I43" s="278"/>
      <c r="K43" s="278">
        <f>K36-K42</f>
        <v>16.04</v>
      </c>
      <c r="L43" s="278"/>
      <c r="P43" s="5">
        <f>P42/Y41</f>
        <v>0.25063391222305187</v>
      </c>
      <c r="W43" s="50">
        <f>W39-W40</f>
        <v>-0.45367103256285191</v>
      </c>
      <c r="Y43" s="13">
        <f>Y42+Y36</f>
        <v>15391.598579495203</v>
      </c>
    </row>
    <row r="44" spans="1:38">
      <c r="K44" s="338">
        <f>K36/K42</f>
        <v>-0.33778148457047547</v>
      </c>
      <c r="L44" s="278">
        <f>K36-(K42*2)</f>
        <v>28.03</v>
      </c>
      <c r="P44" s="13">
        <f>P36+P42</f>
        <v>283150</v>
      </c>
    </row>
    <row r="45" spans="1:38" s="59" customFormat="1">
      <c r="O45" s="163"/>
      <c r="X45" s="127"/>
      <c r="AL45" s="14"/>
    </row>
    <row r="46" spans="1:38">
      <c r="K46" s="64" t="e">
        <f>K49*2+K50</f>
        <v>#VALUE!</v>
      </c>
      <c r="L46" s="64">
        <f>L49*2+L50</f>
        <v>2.7</v>
      </c>
    </row>
    <row r="47" spans="1:38">
      <c r="A47" s="99" t="s">
        <v>255</v>
      </c>
      <c r="B47" s="99"/>
      <c r="K47" s="64"/>
      <c r="L47" s="64"/>
      <c r="P47" s="3" t="e">
        <f>P49+P50</f>
        <v>#VALUE!</v>
      </c>
      <c r="Q47" s="58"/>
    </row>
    <row r="48" spans="1:38">
      <c r="H48">
        <v>1</v>
      </c>
      <c r="I48" s="64" t="e">
        <f>I49-I50</f>
        <v>#VALUE!</v>
      </c>
    </row>
    <row r="49" spans="1:36">
      <c r="A49" s="281">
        <v>4.3</v>
      </c>
      <c r="B49" s="73" t="s">
        <v>2248</v>
      </c>
      <c r="C49" t="str" cm="1">
        <f t="array" ref="C49">_xll.BDP(B49&amp;" Equity","OPT_UNDL_TICKER")</f>
        <v>ASML US</v>
      </c>
      <c r="D49" t="str" cm="1">
        <f t="array" ref="D49">_xll.BDP($B49&amp;" Index","mifid_Maturity_date")</f>
        <v>#N/A Field Not Applicable</v>
      </c>
      <c r="E49" t="str" cm="1">
        <f t="array" ref="E49">_xll.BDP($B49&amp;" Index","opt_days_expire")</f>
        <v>#N/A N/A</v>
      </c>
      <c r="F49" t="str" cm="1">
        <f t="array" ref="F49">_xll.BDP(B49&amp;" Equity","QUOTED_CURRENCY_REALTIME")</f>
        <v>USD</v>
      </c>
      <c r="G49" s="105" t="s">
        <v>247</v>
      </c>
      <c r="H49" s="96">
        <v>45</v>
      </c>
      <c r="I49" s="97">
        <f>IF(G49="Buy",L49,K49)</f>
        <v>0.05</v>
      </c>
      <c r="J49" s="19">
        <f>I49/S49</f>
        <v>3.437394729786401E-5</v>
      </c>
      <c r="K49" s="36" t="str" cm="1">
        <f t="array" ref="K49">_xll.BDP($B49&amp;" Equity","bid")</f>
        <v>#N/A N/A</v>
      </c>
      <c r="L49" s="36" cm="1">
        <f t="array" ref="L49">_xll.BDP($B49&amp;" Equity","ask")</f>
        <v>0.05</v>
      </c>
      <c r="M49" s="40" t="e">
        <f>(L49/K49-1)</f>
        <v>#VALUE!</v>
      </c>
      <c r="N49" s="36" cm="1">
        <f t="array" ref="N49">_xll.BDP(F49&amp;" Curncy","PX_LAST")</f>
        <v>1</v>
      </c>
      <c r="O49" s="162" cm="1">
        <f t="array" ref="O49">_xll.BDP(B49&amp;" Equity","OPT_MULTIPLIER")</f>
        <v>100</v>
      </c>
      <c r="P49" s="15">
        <f>IF(G49="Buy",((I49/N49)*H49*O49),((I49/N49)*-H49*O49))</f>
        <v>225</v>
      </c>
      <c r="Q49" s="58">
        <f>P49/'Master P&amp;L'!$AD$5*10000</f>
        <v>1.0017653028024762E-3</v>
      </c>
      <c r="R49" s="37" cm="1">
        <f t="array" ref="R49">_xll.BDP($C49&amp;" Equity","EST_PE_NXT_YR")*(T49/S49)</f>
        <v>36.558420181670272</v>
      </c>
      <c r="S49" s="36" cm="1">
        <f t="array" ref="S49">_xll.BDP(C49&amp;" Equity","LAST_PRICE")</f>
        <v>1454.59</v>
      </c>
      <c r="T49" s="53" cm="1">
        <f t="array" ref="T49">_xll.BDP(B49&amp;" Equity","OPT_STRIKE_PX")</f>
        <v>1200</v>
      </c>
      <c r="U49" s="40">
        <f>T49/S49-1</f>
        <v>-0.17502526485126391</v>
      </c>
      <c r="V49" s="37" cm="1">
        <f t="array" ref="V49">_xll.BDP($B49&amp;" Equity","ivol_mid")</f>
        <v>1236.616</v>
      </c>
      <c r="W49" s="38" cm="1">
        <f t="array" ref="W49">_xll.BDP(B49&amp;" Equity","DELTA_MID_RT")</f>
        <v>-1.4140000566840172E-3</v>
      </c>
      <c r="X49" s="357">
        <f>Y49/'Master P&amp;L'!$AE$5</f>
        <v>-4.1208424004152808E-6</v>
      </c>
      <c r="Y49" s="15">
        <f>IF(G49="Sell", S49*W49*-H49*O49/N49, S49*W49*H49*O49/N49)</f>
        <v>-9255.5565410340187</v>
      </c>
      <c r="Z49" s="15" cm="1">
        <f t="array" ref="Z49">_xll.BDP($B49&amp;" Equity","opt_theta")*H49*O49/N49</f>
        <v>-224.81100000000001</v>
      </c>
      <c r="AA49" s="19" cm="1">
        <f t="array" ref="AA49">_xll.BDP($B49&amp;" Equity","opt_theta")/I49</f>
        <v>-0.99916000000000005</v>
      </c>
      <c r="AB49" s="36" t="str" cm="1">
        <f t="array" ref="AB49">_xll.BDP($C49&amp;" Equity","EXPECTED_REPORT_DT")</f>
        <v>28/01/2026</v>
      </c>
      <c r="AC49" s="15">
        <f>S49*H49*O49/N49</f>
        <v>6545655</v>
      </c>
      <c r="AD49" s="48">
        <f>AC49/'Master P&amp;L'!$AE$5</f>
        <v>2.9143155836069074E-3</v>
      </c>
      <c r="AE49" t="str">
        <f>B49&amp;" -&gt; Buy to open "&amp;H49&amp;"x"</f>
        <v>ASML US 01/23/26 P1200 -&gt; Buy to open 45x</v>
      </c>
      <c r="AJ49" t="s">
        <v>257</v>
      </c>
    </row>
    <row r="50" spans="1:36">
      <c r="A50" s="281">
        <v>2.0499999999999998</v>
      </c>
      <c r="B50" s="73" t="s">
        <v>2249</v>
      </c>
      <c r="C50" t="str" cm="1">
        <f t="array" ref="C50">_xll.BDP(B50&amp;" Equity","OPT_UNDL_TICKER")</f>
        <v>ASML US</v>
      </c>
      <c r="D50" t="str" cm="1">
        <f t="array" ref="D50">_xll.BDP($B50&amp;" Index","mifid_Maturity_date")</f>
        <v>#N/A Field Not Applicable</v>
      </c>
      <c r="E50" t="str" cm="1">
        <f t="array" ref="E50">_xll.BDP($B50&amp;" Index","opt_days_expire")</f>
        <v>#N/A N/A</v>
      </c>
      <c r="F50" t="str" cm="1">
        <f t="array" ref="F50">_xll.BDP(B50&amp;" Equity","QUOTED_CURRENCY_REALTIME")</f>
        <v>USD</v>
      </c>
      <c r="G50" s="105" t="s">
        <v>248</v>
      </c>
      <c r="H50" s="96">
        <f>H49</f>
        <v>45</v>
      </c>
      <c r="I50" s="97" t="str">
        <f>IF(G50="Buy",L50,K50)</f>
        <v>#N/A N/A</v>
      </c>
      <c r="J50" s="19" t="e">
        <f>I50/S50</f>
        <v>#VALUE!</v>
      </c>
      <c r="K50" s="36" t="str" cm="1">
        <f t="array" ref="K50">_xll.BDP($B50&amp;" Equity","bid")</f>
        <v>#N/A N/A</v>
      </c>
      <c r="L50" s="36" cm="1">
        <f t="array" ref="L50">_xll.BDP($B50&amp;" Equity","ask")</f>
        <v>2.6</v>
      </c>
      <c r="M50" s="40" t="e">
        <f>(L50/K50-1)</f>
        <v>#VALUE!</v>
      </c>
      <c r="N50" s="36" cm="1">
        <f t="array" ref="N50">_xll.BDP(F50&amp;" Curncy","PX_LAST")</f>
        <v>1</v>
      </c>
      <c r="O50" s="162" cm="1">
        <f t="array" ref="O50">_xll.BDP(B50&amp;" Equity","OPT_MULTIPLIER")</f>
        <v>100</v>
      </c>
      <c r="P50" s="15" t="e">
        <f>IF(G50="Buy",((I50/N50)*H50*O50),((I50/N50)*-H50*O50))</f>
        <v>#VALUE!</v>
      </c>
      <c r="Q50" s="58" t="e">
        <f>P50/'Master P&amp;L'!$AD$5*10000</f>
        <v>#VALUE!</v>
      </c>
      <c r="R50" s="37" cm="1">
        <f t="array" ref="R50">_xll.BDP($C50&amp;" Equity","EST_PE_NXT_YR")*(T50/S50)</f>
        <v>33.511885166531087</v>
      </c>
      <c r="S50" s="36" cm="1">
        <f t="array" ref="S50">_xll.BDP(C50&amp;" Equity","LAST_PRICE")</f>
        <v>1454.59</v>
      </c>
      <c r="T50" s="53" cm="1">
        <f t="array" ref="T50">_xll.BDP(B50&amp;" Equity","OPT_STRIKE_PX")</f>
        <v>1100</v>
      </c>
      <c r="U50" s="40">
        <f>T50/S50-1</f>
        <v>-0.24377315944699185</v>
      </c>
      <c r="V50" s="37" cm="1">
        <f t="array" ref="V50">_xll.BDP(B50&amp;" Equity","ivol_mid")</f>
        <v>1859.5039999999999</v>
      </c>
      <c r="W50" s="38" cm="1">
        <f t="array" ref="W50">_xll.BDP(B50&amp;" Equity","DELTA_MID_RT")</f>
        <v>-9.2299998505041003E-4</v>
      </c>
      <c r="X50" s="357">
        <f>Y50/'Master P&amp;L'!$AE$5</f>
        <v>2.6899132401013526E-6</v>
      </c>
      <c r="Y50" s="15">
        <f>IF(G50="Sell", S50*W50*-H50*O50/N50, S50*W50*H50*O50/N50)</f>
        <v>6041.6394671451417</v>
      </c>
      <c r="Z50" s="15" cm="1">
        <f t="array" ref="Z50">_xll.BDP($B50&amp;" Equity","opt_theta")*H50*O50/N50</f>
        <v>0</v>
      </c>
      <c r="AA50" s="19" t="e" cm="1">
        <f t="array" ref="AA50">_xll.BDP($B50&amp;" Equity","opt_theta")/I50</f>
        <v>#VALUE!</v>
      </c>
      <c r="AB50" s="36" t="str" cm="1">
        <f t="array" ref="AB50">_xll.BDP($C50&amp;" Equity","EXPECTED_REPORT_DT")</f>
        <v>28/01/2026</v>
      </c>
      <c r="AC50" s="15">
        <f>S50*H50*O50/N50</f>
        <v>6545655</v>
      </c>
      <c r="AD50" s="19">
        <f>AC50/'Master P&amp;L'!$AE$5</f>
        <v>2.9143155836069074E-3</v>
      </c>
      <c r="AE50" t="str">
        <f>B50  &amp; " -&gt; Sell to open " &amp;   H50 &amp;"x"</f>
        <v>ASML US 01/23/26 P1100 -&gt; Sell to open 45x</v>
      </c>
      <c r="AJ50" t="s">
        <v>258</v>
      </c>
    </row>
    <row r="51" spans="1:36">
      <c r="A51" s="276">
        <f>A49-A50</f>
        <v>2.25</v>
      </c>
      <c r="H51" s="100" t="s">
        <v>116</v>
      </c>
      <c r="I51" s="102">
        <v>1.8</v>
      </c>
      <c r="J51" s="100" t="s">
        <v>249</v>
      </c>
      <c r="K51" s="101" t="e">
        <f>K50/L49</f>
        <v>#VALUE!</v>
      </c>
      <c r="L51" s="64"/>
      <c r="P51" s="100" t="s">
        <v>250</v>
      </c>
      <c r="Q51" s="108" t="e">
        <f>Q49+Q50</f>
        <v>#VALUE!</v>
      </c>
      <c r="S51" s="100" t="s">
        <v>251</v>
      </c>
      <c r="T51" s="102">
        <f>T49-T50</f>
        <v>100</v>
      </c>
      <c r="W51" s="100" t="s">
        <v>252</v>
      </c>
      <c r="X51" s="416">
        <f>X49+X50</f>
        <v>-1.4309291603139282E-6</v>
      </c>
      <c r="Y51" s="13">
        <f>Y49+Y50</f>
        <v>-3213.917073888877</v>
      </c>
      <c r="AC51" s="100" t="s">
        <v>229</v>
      </c>
      <c r="AD51" s="122">
        <f>AD49</f>
        <v>2.9143155836069074E-3</v>
      </c>
    </row>
    <row r="52" spans="1:36">
      <c r="A52" s="276"/>
      <c r="H52" s="100" t="s">
        <v>253</v>
      </c>
      <c r="I52" s="102">
        <f>(T51-I51)/I51</f>
        <v>54.555555555555557</v>
      </c>
      <c r="J52" s="100" t="s">
        <v>145</v>
      </c>
      <c r="K52" s="109">
        <f>AVERAGE(K49:L49)-AVERAGE(K50:L50)</f>
        <v>-2.5500000000000003</v>
      </c>
      <c r="L52" s="64"/>
      <c r="P52" s="100"/>
      <c r="Q52" s="108"/>
      <c r="S52" s="100"/>
      <c r="T52" s="102"/>
      <c r="W52" s="100"/>
      <c r="X52" s="122"/>
      <c r="Z52" s="3">
        <f>Y51/S49</f>
        <v>-2.2095003223512308</v>
      </c>
      <c r="AC52" s="100"/>
      <c r="AD52" s="104"/>
    </row>
    <row r="54" spans="1:36">
      <c r="H54">
        <v>1</v>
      </c>
      <c r="I54" s="64"/>
      <c r="J54" s="43" t="e">
        <f>J55-J56</f>
        <v>#VALUE!</v>
      </c>
      <c r="L54" s="64"/>
      <c r="P54" s="13" t="e">
        <f>P55+P56</f>
        <v>#VALUE!</v>
      </c>
    </row>
    <row r="55" spans="1:36">
      <c r="A55" s="98" t="s">
        <v>256</v>
      </c>
      <c r="B55" s="59" t="s">
        <v>2251</v>
      </c>
      <c r="C55" t="str" cm="1">
        <f t="array" ref="C55">_xll.BDP(B55&amp;" Equity","OPT_UNDL_TICKER")</f>
        <v>AMAT US</v>
      </c>
      <c r="D55" t="str" cm="1">
        <f t="array" ref="D55">_xll.BDP($B55&amp;" Index","mifid_Maturity_date")</f>
        <v>23/01/2026</v>
      </c>
      <c r="E55" t="str" cm="1">
        <f t="array" ref="E55">_xll.BDP($B55&amp;" Index","opt_days_expire")</f>
        <v>#N/A N/A</v>
      </c>
      <c r="F55" t="str" cm="1">
        <f t="array" ref="F55">_xll.BDP(B55&amp;" Equity","QUOTED_CURRENCY_REALTIME")</f>
        <v>USD</v>
      </c>
      <c r="G55" s="105" t="s">
        <v>247</v>
      </c>
      <c r="H55" s="96">
        <v>100</v>
      </c>
      <c r="I55" s="97">
        <f>IF(G55="Buy",L55,K55)</f>
        <v>0.03</v>
      </c>
      <c r="J55" s="19">
        <f>I55/S55</f>
        <v>9.0168615310630879E-5</v>
      </c>
      <c r="K55" s="36" t="str" cm="1">
        <f t="array" ref="K55">_xll.BDP($B55&amp;" Equity","bid")</f>
        <v>#N/A N/A</v>
      </c>
      <c r="L55" s="36" cm="1">
        <f t="array" ref="L55">_xll.BDP($B55&amp;" Equity","ask")</f>
        <v>0.03</v>
      </c>
      <c r="M55" s="40" t="e">
        <f>(L55/K55-1)</f>
        <v>#VALUE!</v>
      </c>
      <c r="N55" s="36" cm="1">
        <f t="array" ref="N55">_xll.BDP(F55&amp;" Curncy","PX_LAST")</f>
        <v>1</v>
      </c>
      <c r="O55" s="162" cm="1">
        <f t="array" ref="O55">_xll.BDP(B55&amp;" Equity","OPT_MULTIPLIER")</f>
        <v>100</v>
      </c>
      <c r="P55" s="15">
        <f>IF(G55="Buy",((I55/N55)*H55*O55),((I55/N55)*-H55*O55))</f>
        <v>300</v>
      </c>
      <c r="Q55" s="58">
        <f>P55/'Master P&amp;L'!$AD$5*10000</f>
        <v>1.3356870704033014E-3</v>
      </c>
      <c r="R55" s="37" cm="1">
        <f t="array" ref="R55">_xll.BDP($C55&amp;" Equity","EST_PE_NXT_YR")*(T55/S55)</f>
        <v>24.79854868272669</v>
      </c>
      <c r="S55" s="36" cm="1">
        <f t="array" ref="S55">_xll.BDP(C55&amp;" Equity","LAST_PRICE")</f>
        <v>332.71</v>
      </c>
      <c r="T55" s="53" cm="1">
        <f t="array" ref="T55">_xll.BDP(B55&amp;" Equity","OPT_STRIKE_PX")</f>
        <v>290</v>
      </c>
      <c r="U55" s="40">
        <f>T55/S55-1</f>
        <v>-0.12837005199723472</v>
      </c>
      <c r="V55" s="37" cm="1">
        <f t="array" ref="V55">_xll.BDP($B55&amp;" Equity","ivol_mid")</f>
        <v>828.09609999999998</v>
      </c>
      <c r="W55" s="38" cm="1">
        <f t="array" ref="W55">_xll.BDP(B55&amp;" Equity","DELTA_MID_RT")</f>
        <v>-4.4060000218451023E-3</v>
      </c>
      <c r="X55" s="48">
        <f>Y55/'Master P&amp;L'!$AE$5</f>
        <v>-6.5267024907737723E-6</v>
      </c>
      <c r="Y55" s="15">
        <f>IF(G55="Sell", S55*W55*-H55*O55/N55, S55*W55*H55*O55/N55)</f>
        <v>-14659.20267268084</v>
      </c>
      <c r="Z55" s="15" cm="1">
        <f t="array" ref="Z55">_xll.BDP($B55&amp;" Equity","opt_theta")*H55*O55/N55</f>
        <v>0</v>
      </c>
      <c r="AA55" s="19" cm="1">
        <f t="array" ref="AA55">_xll.BDP($B55&amp;" Equity","opt_theta")/I55</f>
        <v>0</v>
      </c>
      <c r="AB55" s="36" t="str" cm="1">
        <f t="array" ref="AB55">_xll.BDP($C55&amp;" Equity","EXPECTED_REPORT_DT")</f>
        <v>12/02/2026</v>
      </c>
      <c r="AC55" s="15">
        <f>S55*H55*O55/N55</f>
        <v>3327100</v>
      </c>
      <c r="AD55" s="48">
        <f>AC55/'Master P&amp;L'!$AE$5</f>
        <v>1.4813214839796082E-3</v>
      </c>
      <c r="AE55" t="str">
        <f>B55&amp;" -&gt; Buy to open "&amp;H55&amp;"x"</f>
        <v>AMAT US 01/23/26 P290 -&gt; Buy to open 100x</v>
      </c>
      <c r="AJ55" t="s">
        <v>257</v>
      </c>
    </row>
    <row r="56" spans="1:36">
      <c r="A56" s="98" t="s">
        <v>256</v>
      </c>
      <c r="B56" s="59" t="s">
        <v>2250</v>
      </c>
      <c r="C56" t="str" cm="1">
        <f t="array" ref="C56">_xll.BDP(B56&amp;" Equity","OPT_UNDL_TICKER")</f>
        <v>AMAT US</v>
      </c>
      <c r="D56" t="str" cm="1">
        <f t="array" ref="D56">_xll.BDP($B56&amp;" Index","mifid_Maturity_date")</f>
        <v>23/01/2026</v>
      </c>
      <c r="E56" t="str" cm="1">
        <f t="array" ref="E56">_xll.BDP($B56&amp;" Index","opt_days_expire")</f>
        <v>#N/A N/A</v>
      </c>
      <c r="F56" t="str" cm="1">
        <f t="array" ref="F56">_xll.BDP(B56&amp;" Equity","QUOTED_CURRENCY_REALTIME")</f>
        <v>USD</v>
      </c>
      <c r="G56" s="105" t="s">
        <v>248</v>
      </c>
      <c r="H56" s="96">
        <f>H55*H54</f>
        <v>100</v>
      </c>
      <c r="I56" s="97" t="str">
        <f>IF(G56="Buy",L56,K56)</f>
        <v>#N/A N/A</v>
      </c>
      <c r="J56" s="19" t="e">
        <f>I56/S56</f>
        <v>#VALUE!</v>
      </c>
      <c r="K56" s="36" t="str" cm="1">
        <f t="array" ref="K56">_xll.BDP($B56&amp;" Equity","bid")</f>
        <v>#N/A N/A</v>
      </c>
      <c r="L56" s="36" cm="1">
        <f t="array" ref="L56">_xll.BDP($B56&amp;" Equity","ask")</f>
        <v>2.12</v>
      </c>
      <c r="M56" s="40" t="e">
        <f>(L56/K56-1)</f>
        <v>#VALUE!</v>
      </c>
      <c r="N56" s="36" cm="1">
        <f t="array" ref="N56">_xll.BDP(F56&amp;" Curncy","PX_LAST")</f>
        <v>1</v>
      </c>
      <c r="O56" s="162" cm="1">
        <f t="array" ref="O56">_xll.BDP(B56&amp;" Equity","OPT_MULTIPLIER")</f>
        <v>100</v>
      </c>
      <c r="P56" s="15" t="e">
        <f>IF(G56="Buy",((I56/N56)*H56*O56),((I56/N56)*-H56*O56))</f>
        <v>#VALUE!</v>
      </c>
      <c r="Q56" s="58" t="e">
        <f>P56/'Master P&amp;L'!$AD$5*10000</f>
        <v>#VALUE!</v>
      </c>
      <c r="R56" s="37" cm="1">
        <f t="array" ref="R56">_xll.BDP($C56&amp;" Equity","EST_PE_NXT_YR")*(T56/S56)</f>
        <v>23.943426314356802</v>
      </c>
      <c r="S56" s="36" cm="1">
        <f t="array" ref="S56">_xll.BDP(C56&amp;" Equity","LAST_PRICE")</f>
        <v>332.71</v>
      </c>
      <c r="T56" s="53" cm="1">
        <f t="array" ref="T56">_xll.BDP(B56&amp;" Equity","OPT_STRIKE_PX")</f>
        <v>280</v>
      </c>
      <c r="U56" s="40">
        <f>T56/S56-1</f>
        <v>-0.1584262571007784</v>
      </c>
      <c r="V56" s="37" cm="1">
        <f t="array" ref="V56">_xll.BDP(B56&amp;" Equity","ivol_mid")</f>
        <v>4291.7550000000001</v>
      </c>
      <c r="W56" s="38" cm="1">
        <f t="array" ref="W56">_xll.BDP(B56&amp;" Equity","DELTA_MID_RT")</f>
        <v>-2.7517000213265419E-2</v>
      </c>
      <c r="X56" s="48">
        <f>Y56/'Master P&amp;L'!$AE$5</f>
        <v>4.0761523590581521E-5</v>
      </c>
      <c r="Y56" s="15">
        <f>IF(G56="Sell", S56*W56*-H56*O56/N56, S56*W56*H56*O56/N56)</f>
        <v>91551.811409555376</v>
      </c>
      <c r="Z56" s="15" cm="1">
        <f t="array" ref="Z56">_xll.BDP($B56&amp;" Equity","opt_theta")*H56*O56/N56</f>
        <v>0</v>
      </c>
      <c r="AA56" s="19" t="e" cm="1">
        <f t="array" ref="AA56">_xll.BDP($B56&amp;" Equity","opt_theta")/I56</f>
        <v>#VALUE!</v>
      </c>
      <c r="AB56" s="36" t="str" cm="1">
        <f t="array" ref="AB56">_xll.BDP($C56&amp;" Equity","EXPECTED_REPORT_DT")</f>
        <v>12/02/2026</v>
      </c>
      <c r="AC56" s="15">
        <f>S56*H56*O56/N56</f>
        <v>3327100</v>
      </c>
      <c r="AD56" s="19">
        <f>AC56/'Master P&amp;L'!$AE$5</f>
        <v>1.4813214839796082E-3</v>
      </c>
      <c r="AE56" t="str">
        <f>B56  &amp; " -&gt; Sell to open " &amp;   H56 &amp;"x"</f>
        <v>AMAT US 01/23/26 P280 -&gt; Sell to open 100x</v>
      </c>
      <c r="AJ56" t="s">
        <v>258</v>
      </c>
    </row>
    <row r="57" spans="1:36">
      <c r="G57" t="e">
        <f>I57/K58</f>
        <v>#VALUE!</v>
      </c>
      <c r="H57" s="100" t="s">
        <v>116</v>
      </c>
      <c r="I57" s="102" t="e">
        <f>I55-I56</f>
        <v>#VALUE!</v>
      </c>
      <c r="J57" s="100" t="s">
        <v>249</v>
      </c>
      <c r="K57" s="101" t="e">
        <f>K56/L55</f>
        <v>#VALUE!</v>
      </c>
      <c r="L57" s="64"/>
      <c r="P57" s="100" t="s">
        <v>250</v>
      </c>
      <c r="Q57" s="108" t="e">
        <f>Q55+Q56</f>
        <v>#VALUE!</v>
      </c>
      <c r="S57" s="100" t="s">
        <v>251</v>
      </c>
      <c r="T57" s="102">
        <f>T55-T56</f>
        <v>10</v>
      </c>
      <c r="W57" s="100" t="s">
        <v>252</v>
      </c>
      <c r="X57" s="122">
        <f>X55+X56</f>
        <v>3.4234821099807746E-5</v>
      </c>
      <c r="Y57" s="13"/>
      <c r="AC57" s="100" t="s">
        <v>229</v>
      </c>
      <c r="AD57" s="122">
        <f>AD55</f>
        <v>1.4813214839796082E-3</v>
      </c>
    </row>
    <row r="58" spans="1:36">
      <c r="H58" s="100" t="s">
        <v>253</v>
      </c>
      <c r="I58" s="102" t="e">
        <f>(T57-I57)/I57</f>
        <v>#VALUE!</v>
      </c>
      <c r="J58" s="100" t="s">
        <v>145</v>
      </c>
      <c r="K58" s="109">
        <f>AVERAGE(K55:L55)-AVERAGE(K56:L56)</f>
        <v>-2.0900000000000003</v>
      </c>
      <c r="L58" s="64"/>
      <c r="P58" s="100"/>
      <c r="Q58" s="108"/>
      <c r="S58" s="100"/>
      <c r="T58" s="102"/>
      <c r="W58" s="100"/>
      <c r="X58" s="122"/>
      <c r="Y58" s="13">
        <f>Y55+Y56</f>
        <v>76892.608736874536</v>
      </c>
      <c r="Z58" s="3"/>
      <c r="AC58" s="100"/>
      <c r="AD58" s="104"/>
    </row>
    <row r="59" spans="1:36">
      <c r="K59" s="64">
        <f>K58-K52</f>
        <v>0.45999999999999996</v>
      </c>
      <c r="Y59" s="64">
        <f>Y58/S55</f>
        <v>231.11000191420317</v>
      </c>
    </row>
    <row r="60" spans="1:36">
      <c r="I60" s="64" t="e">
        <f>I51-I57</f>
        <v>#VALUE!</v>
      </c>
      <c r="K60" s="64">
        <f>K52-K58</f>
        <v>-0.45999999999999996</v>
      </c>
      <c r="Y60" s="64"/>
    </row>
    <row r="61" spans="1:36">
      <c r="H61">
        <v>1</v>
      </c>
      <c r="I61" s="64"/>
      <c r="L61" s="64">
        <f>AVERAGE(K62:L62)</f>
        <v>6</v>
      </c>
      <c r="T61" s="64">
        <f>T62-S62</f>
        <v>-2.9300000000000068</v>
      </c>
    </row>
    <row r="62" spans="1:36">
      <c r="A62" s="98" t="s">
        <v>256</v>
      </c>
      <c r="B62" t="s">
        <v>2058</v>
      </c>
      <c r="C62" t="str" cm="1">
        <f t="array" ref="C62">_xll.BDP(B62&amp;" Equity","OPT_UNDL_TICKER")</f>
        <v>MRVL US</v>
      </c>
      <c r="D62" t="str" cm="1">
        <f t="array" ref="D62">_xll.BDP($B62&amp;" Index","mifid_Maturity_date")</f>
        <v>20/03/2026</v>
      </c>
      <c r="E62" cm="1">
        <f t="array" ref="E62">_xll.BDP($B62&amp;" Index","opt_days_expire")</f>
        <v>52</v>
      </c>
      <c r="F62" t="str" cm="1">
        <f t="array" ref="F62">_xll.BDP(B62&amp;" Equity","QUOTED_CURRENCY_REALTIME")</f>
        <v>USD</v>
      </c>
      <c r="G62" s="105" t="s">
        <v>247</v>
      </c>
      <c r="H62" s="96">
        <v>150</v>
      </c>
      <c r="I62" s="97">
        <f>IF(G62="Buy",L62,K62)</f>
        <v>6.1</v>
      </c>
      <c r="J62" s="19">
        <f>I62/S62</f>
        <v>7.355601109369346E-2</v>
      </c>
      <c r="K62" s="36" cm="1">
        <f t="array" ref="K62">_xll.BDP($B62&amp;" Equity","bid")</f>
        <v>5.9</v>
      </c>
      <c r="L62" s="36" cm="1">
        <f t="array" ref="L62">_xll.BDP($B62&amp;" Equity","ask")</f>
        <v>6.1</v>
      </c>
      <c r="M62" s="40">
        <f>(L62/K62-1)</f>
        <v>3.3898305084745672E-2</v>
      </c>
      <c r="N62" s="36" cm="1">
        <f t="array" ref="N62">_xll.BDP(F62&amp;" Curncy","PX_LAST")</f>
        <v>1</v>
      </c>
      <c r="O62" s="162" cm="1">
        <f t="array" ref="O62">_xll.BDP(B62&amp;" Equity","OPT_MULTIPLIER")</f>
        <v>100</v>
      </c>
      <c r="P62" s="15">
        <f>IF(G62="Buy",((I62/N62)*H62*O62),((I62/N62)*-H62*O62))</f>
        <v>91500</v>
      </c>
      <c r="Q62" s="58">
        <f>P62/'Master P&amp;L'!$AD$5*10000</f>
        <v>0.40738455647300692</v>
      </c>
      <c r="R62" s="37" cm="1">
        <f t="array" ref="R62">_xll.BDP($C62&amp;" Equity","EST_PE_NXT_YR")*(T62/S62)</f>
        <v>22.314699574512066</v>
      </c>
      <c r="S62" s="36" cm="1">
        <f t="array" ref="S62">_xll.BDP(C62&amp;" Equity","LAST_PRICE")</f>
        <v>82.93</v>
      </c>
      <c r="T62" s="53" cm="1">
        <f t="array" ref="T62">_xll.BDP(B62&amp;" Equity","OPT_STRIKE_PX")</f>
        <v>80</v>
      </c>
      <c r="U62" s="40">
        <f>T62/S62-1</f>
        <v>-3.5331002049921678E-2</v>
      </c>
      <c r="V62" s="37" cm="1">
        <f t="array" ref="V62">_xll.BDP($B62&amp;" Equity","ivol_mid")</f>
        <v>60.212600000000002</v>
      </c>
      <c r="W62" s="38" cm="1">
        <f t="array" ref="W62">_xll.BDP(B62&amp;" Equity","DELTA_MID_RT")</f>
        <v>-0.38652956485748291</v>
      </c>
      <c r="X62" s="48">
        <f>Y62/'Master P&amp;L'!$AE$5</f>
        <v>-2.1407655608539496E-4</v>
      </c>
      <c r="Y62" s="15">
        <f>IF(G62="Sell", S62*W62*-H62*O62/N62, S62*W62*H62*O62/N62)</f>
        <v>-480823.45220446587</v>
      </c>
      <c r="Z62" s="15" cm="1">
        <f t="array" ref="Z62">_xll.BDP($B62&amp;" Equity","opt_theta")*H62*O62/N62</f>
        <v>-1024.905</v>
      </c>
      <c r="AA62" s="19" cm="1">
        <f t="array" ref="AA62">_xll.BDP($B62&amp;" Equity","opt_theta")/I62</f>
        <v>-1.1201147540983607E-2</v>
      </c>
      <c r="AB62" s="36" t="str" cm="1">
        <f t="array" ref="AB62">_xll.BDP($C62&amp;" Equity","EXPECTED_REPORT_DT")</f>
        <v>05/03/2026</v>
      </c>
      <c r="AC62" s="15">
        <f>S62*H62*O62/N62</f>
        <v>1243950.0000000002</v>
      </c>
      <c r="AD62" s="48">
        <f>AC62/'Master P&amp;L'!$AE$5</f>
        <v>5.5384264374272907E-4</v>
      </c>
      <c r="AE62" t="str">
        <f>B62&amp;" -&gt; Buy to open "&amp;H62&amp;"x"</f>
        <v>MRVL US 03/20/26 P80 -&gt; Buy to open 150x</v>
      </c>
      <c r="AJ62" t="s">
        <v>257</v>
      </c>
    </row>
    <row r="63" spans="1:36">
      <c r="A63" s="98" t="s">
        <v>256</v>
      </c>
      <c r="B63" s="73" t="s">
        <v>2287</v>
      </c>
      <c r="C63" t="str" cm="1">
        <f t="array" ref="C63">_xll.BDP(B63&amp;" Equity","OPT_UNDL_TICKER")</f>
        <v>MRVL US</v>
      </c>
      <c r="D63" t="str" cm="1">
        <f t="array" ref="D63">_xll.BDP($B63&amp;" Index","mifid_Maturity_date")</f>
        <v>20/03/2026</v>
      </c>
      <c r="E63" cm="1">
        <f t="array" ref="E63">_xll.BDP($B63&amp;" Index","opt_days_expire")</f>
        <v>52</v>
      </c>
      <c r="F63" t="str" cm="1">
        <f t="array" ref="F63">_xll.BDP(B63&amp;" Equity","QUOTED_CURRENCY_REALTIME")</f>
        <v>USD</v>
      </c>
      <c r="G63" s="105" t="s">
        <v>248</v>
      </c>
      <c r="H63" s="96">
        <f>H62</f>
        <v>150</v>
      </c>
      <c r="I63" s="97">
        <f>IF(G63="Buy",L63,K63)</f>
        <v>2.38</v>
      </c>
      <c r="J63" s="19">
        <f>I63/S63</f>
        <v>2.869890268901483E-2</v>
      </c>
      <c r="K63" s="36" cm="1">
        <f t="array" ref="K63">_xll.BDP($B63&amp;" Equity","bid")</f>
        <v>2.38</v>
      </c>
      <c r="L63" s="36" cm="1">
        <f t="array" ref="L63">_xll.BDP($B63&amp;" Equity","ask")</f>
        <v>2.5</v>
      </c>
      <c r="M63" s="40">
        <f>(L63/K63-1)</f>
        <v>5.0420168067226934E-2</v>
      </c>
      <c r="N63" s="36" cm="1">
        <f t="array" ref="N63">_xll.BDP(F63&amp;" Curncy","PX_LAST")</f>
        <v>1</v>
      </c>
      <c r="O63" s="162" cm="1">
        <f t="array" ref="O63">_xll.BDP(B63&amp;" Equity","OPT_MULTIPLIER")</f>
        <v>100</v>
      </c>
      <c r="P63" s="15">
        <f>IF(G63="Buy",((I63/N63)*H63*O63),((I63/N63)*-H63*O63))</f>
        <v>-35700</v>
      </c>
      <c r="Q63" s="58">
        <f>P63/'Master P&amp;L'!$AD$5*10000</f>
        <v>-0.15894676137799288</v>
      </c>
      <c r="R63" s="37" cm="1">
        <f t="array" ref="R63">_xll.BDP($C63&amp;" Equity","EST_PE_NXT_YR")*(T63/S63)</f>
        <v>19.525362127698056</v>
      </c>
      <c r="S63" s="36" cm="1">
        <f t="array" ref="S63">_xll.BDP(C63&amp;" Equity","LAST_PRICE")</f>
        <v>82.93</v>
      </c>
      <c r="T63" s="53" cm="1">
        <f t="array" ref="T63">_xll.BDP(B63&amp;" Equity","OPT_STRIKE_PX")</f>
        <v>70</v>
      </c>
      <c r="U63" s="40">
        <f>T63/S63-1</f>
        <v>-0.15591462679368151</v>
      </c>
      <c r="V63" s="37" cm="1">
        <f t="array" ref="V63">_xll.BDP($B63&amp;" Equity","ivol_mid")</f>
        <v>61.783389999999997</v>
      </c>
      <c r="W63" s="38" cm="1">
        <f t="array" ref="W63">_xll.BDP(B63&amp;" Equity","DELTA_MID_RT")</f>
        <v>-0.19714395701885223</v>
      </c>
      <c r="X63" s="48">
        <f>Y63/'Master P&amp;L'!$AE$5</f>
        <v>1.0918673035322405E-4</v>
      </c>
      <c r="Y63" s="15">
        <f>IF(G63="Sell", S63*W63*-H63*O63/N63, S63*W63*H63*O63/N63)</f>
        <v>245237.22533360124</v>
      </c>
      <c r="Z63" s="15" cm="1">
        <f t="array" ref="Z63">_xll.BDP($B63&amp;" Equity","opt_theta")*H63*O63/N63</f>
        <v>-769.59</v>
      </c>
      <c r="AA63" s="19" cm="1">
        <f t="array" ref="AA63">_xll.BDP($B63&amp;" Equity","opt_theta")/I63</f>
        <v>-2.1557142857142858E-2</v>
      </c>
      <c r="AB63" s="36" t="str" cm="1">
        <f t="array" ref="AB63">_xll.BDP($C63&amp;" Equity","EXPECTED_REPORT_DT")</f>
        <v>05/03/2026</v>
      </c>
      <c r="AC63" s="15">
        <f>S63*H63*O63/N63</f>
        <v>1243950.0000000002</v>
      </c>
      <c r="AD63" s="48">
        <f>AC63/'Master P&amp;L'!$AE$5</f>
        <v>5.5384264374272907E-4</v>
      </c>
      <c r="AE63" t="str">
        <f>B63&amp;" -&gt; Buy to open "&amp;H63&amp;"x"</f>
        <v>MRVL US 03/20/26 P70 -&gt; Buy to open 150x</v>
      </c>
      <c r="AJ63" t="s">
        <v>257</v>
      </c>
    </row>
    <row r="64" spans="1:36">
      <c r="H64" s="100" t="s">
        <v>116</v>
      </c>
      <c r="I64" s="102">
        <f>I62-I63</f>
        <v>3.7199999999999998</v>
      </c>
      <c r="J64" s="100" t="s">
        <v>249</v>
      </c>
      <c r="K64" s="101">
        <f>K63/L62</f>
        <v>0.39016393442622949</v>
      </c>
      <c r="L64" s="64"/>
      <c r="P64" s="100" t="s">
        <v>250</v>
      </c>
      <c r="Q64" s="108">
        <f>Q62+Q63</f>
        <v>0.24843779509501404</v>
      </c>
      <c r="S64" s="100" t="s">
        <v>251</v>
      </c>
      <c r="T64" s="102">
        <f>T62-T63</f>
        <v>10</v>
      </c>
      <c r="W64" s="100" t="s">
        <v>252</v>
      </c>
      <c r="X64" s="122">
        <f>X62+X63</f>
        <v>-1.0488982573217092E-4</v>
      </c>
      <c r="Y64" s="13">
        <f>Y62+Y63</f>
        <v>-235586.22687086463</v>
      </c>
      <c r="AC64" s="100" t="s">
        <v>229</v>
      </c>
      <c r="AD64" s="122">
        <f>AD62</f>
        <v>5.5384264374272907E-4</v>
      </c>
    </row>
    <row r="65" spans="1:31">
      <c r="H65" s="100" t="s">
        <v>253</v>
      </c>
      <c r="I65" s="102">
        <f>(T64-I64)/I64</f>
        <v>1.688172043010753</v>
      </c>
      <c r="J65" s="100" t="s">
        <v>145</v>
      </c>
      <c r="K65" s="109">
        <f>AVERAGE(K62:L62)-AVERAGE(K63:L63)</f>
        <v>3.56</v>
      </c>
      <c r="P65" s="100"/>
      <c r="Q65" s="108"/>
      <c r="S65" s="100"/>
      <c r="T65" s="102"/>
      <c r="W65" s="100"/>
      <c r="X65" s="122"/>
      <c r="Z65" s="3">
        <f>Y64/S62</f>
        <v>-2840.7841175794597</v>
      </c>
      <c r="AC65" s="100"/>
      <c r="AD65" s="104"/>
    </row>
    <row r="67" spans="1:31">
      <c r="H67">
        <v>1</v>
      </c>
      <c r="I67" s="64"/>
      <c r="K67" s="64"/>
      <c r="L67" s="64"/>
      <c r="P67" s="13"/>
    </row>
    <row r="68" spans="1:31">
      <c r="A68" s="98" t="s">
        <v>256</v>
      </c>
      <c r="B68" s="59" t="s">
        <v>2262</v>
      </c>
      <c r="C68" t="str" cm="1">
        <f t="array" ref="C68">_xll.BDP(B68&amp;" Equity","OPT_UNDL_TICKER")</f>
        <v>QQQ US</v>
      </c>
      <c r="D68" t="str">
        <f>_xll.BDP($B68&amp;" Index","mifid_Maturity_date")</f>
        <v>15/01/2026</v>
      </c>
      <c r="E68" t="str">
        <f>_xll.BDP($B68&amp;" Index","opt_days_expire")</f>
        <v>#N/A N/A</v>
      </c>
      <c r="F68" t="str" cm="1">
        <f t="array" ref="F68">_xll.BDP(B68&amp;" Equity","QUOTED_CURRENCY_REALTIME")</f>
        <v>#N/A Real Time</v>
      </c>
      <c r="G68" s="105" t="s">
        <v>247</v>
      </c>
      <c r="H68" s="96">
        <v>500</v>
      </c>
      <c r="I68" s="97" t="str">
        <f>IF(G68="Buy",L68,K68)</f>
        <v>#N/A Real Time</v>
      </c>
      <c r="J68" s="19" t="e">
        <f>I68/S68</f>
        <v>#VALUE!</v>
      </c>
      <c r="K68" s="36" t="str" cm="1">
        <f t="array" ref="K68">_xll.BDP($B68&amp;" Equity","bid")</f>
        <v>#N/A Real Time</v>
      </c>
      <c r="L68" s="36" t="str" cm="1">
        <f t="array" ref="L68">_xll.BDP($B68&amp;" Equity","ask")</f>
        <v>#N/A Real Time</v>
      </c>
      <c r="M68" s="40" t="e">
        <f>(L68/K68-1)</f>
        <v>#VALUE!</v>
      </c>
      <c r="N68" s="36" t="str" cm="1">
        <f t="array" ref="N68">_xll.BDP(F68&amp;" Curncy","PX_LAST")</f>
        <v>#N/A Real Time Curncy</v>
      </c>
      <c r="O68" s="162" cm="1">
        <f t="array" ref="O68">_xll.BDP(B68&amp;" Equity","OPT_MULTIPLIER")</f>
        <v>100</v>
      </c>
      <c r="P68" s="15" t="e">
        <f>IF(G68="Buy",((I68/N68)*H68*O68),((I68/N68)*-H68*O68))</f>
        <v>#VALUE!</v>
      </c>
      <c r="Q68" s="58" t="e">
        <f>P68/'Master P&amp;L'!$AD$5*10000</f>
        <v>#VALUE!</v>
      </c>
      <c r="R68" s="37" t="e" cm="1">
        <f t="array" ref="R68">_xll.BDP($C68&amp;" Equity","EST_PE_NXT_YR")*(T68/S68)</f>
        <v>#VALUE!</v>
      </c>
      <c r="S68" s="36" cm="1">
        <f t="array" ref="S68">_xll.BDP(C68&amp;" Equity","LAST_PRICE")</f>
        <v>631.13</v>
      </c>
      <c r="T68" s="53" cm="1">
        <f t="array" ref="T68">_xll.BDP(B68&amp;" Equity","OPT_STRIKE_PX")</f>
        <v>623</v>
      </c>
      <c r="U68" s="40">
        <f>T68/S68-1</f>
        <v>-1.2881656710978739E-2</v>
      </c>
      <c r="V68" s="37" t="str" cm="1">
        <f t="array" ref="V68">_xll.BDP($B68&amp;" Equity","ivol_mid")</f>
        <v>#N/A N/A</v>
      </c>
      <c r="W68" s="38" t="str" cm="1">
        <f t="array" ref="W68">_xll.BDP(B68&amp;" Equity","DELTA_MID_RT")</f>
        <v>#N/A Real Time</v>
      </c>
      <c r="X68" s="48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Equity","opt_theta")*H68*O68/N68</f>
        <v>#VALUE!</v>
      </c>
      <c r="AA68" s="19" t="e" cm="1">
        <f t="array" ref="AA68">_xll.BDP($B68&amp;" Equity","opt_theta")/I68</f>
        <v>#VALUE!</v>
      </c>
      <c r="AB68" s="36" t="str" cm="1">
        <f t="array" ref="AB68">_xll.BDP($C68&amp;" Equity","EXPECTED_REPORT_DT")</f>
        <v>#N/A N/A</v>
      </c>
      <c r="AC68" s="15" t="e">
        <f>S68*H68*O68/N68</f>
        <v>#VALUE!</v>
      </c>
      <c r="AD68" s="48" t="e">
        <f>AC68/'Master P&amp;L'!$AE$5</f>
        <v>#VALUE!</v>
      </c>
      <c r="AE68" t="str">
        <f>B68&amp;" -&gt; Buy to open "&amp;H68&amp;"x"</f>
        <v>QQQ US 01/15/26 P623 -&gt; Buy to open 500x</v>
      </c>
    </row>
    <row r="69" spans="1:31">
      <c r="A69" s="98" t="s">
        <v>256</v>
      </c>
      <c r="B69" s="59" t="s">
        <v>2263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15/01/2026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#N/A Real Time</v>
      </c>
      <c r="G69" s="105" t="s">
        <v>248</v>
      </c>
      <c r="H69" s="96">
        <f>H68</f>
        <v>500</v>
      </c>
      <c r="I69" s="97" t="str">
        <f>IF(G69="Buy",L69,K69)</f>
        <v>#N/A Real Time</v>
      </c>
      <c r="J69" s="19" t="e">
        <f>I69/S69</f>
        <v>#VALUE!</v>
      </c>
      <c r="K69" s="36" t="str" cm="1">
        <f t="array" ref="K69">_xll.BDP($B69&amp;" Equity","bid")</f>
        <v>#N/A Real Time</v>
      </c>
      <c r="L69" s="36" t="str" cm="1">
        <f t="array" ref="L69">_xll.BDP($B69&amp;" Equity","ask")</f>
        <v>#N/A Real Time</v>
      </c>
      <c r="M69" s="40" t="e">
        <f>(L69/K69-1)</f>
        <v>#VALUE!</v>
      </c>
      <c r="N69" s="36" t="str" cm="1">
        <f t="array" ref="N69">_xll.BDP(F69&amp;" Curncy","PX_LAST")</f>
        <v>#N/A Real Time Curncy</v>
      </c>
      <c r="O69" s="162" cm="1">
        <f t="array" ref="O69">_xll.BDP(B69&amp;" Equity","OPT_MULTIPLIER")</f>
        <v>100</v>
      </c>
      <c r="P69" s="15" t="e">
        <f>IF(G69="Buy",((I69/N69)*H69*O69),((I69/N69)*-H69*O69))</f>
        <v>#VALUE!</v>
      </c>
      <c r="Q69" s="58" t="e">
        <f>P69/'Master P&amp;L'!$AD$5*10000</f>
        <v>#VALUE!</v>
      </c>
      <c r="R69" s="37" t="e" cm="1">
        <f t="array" ref="R69">_xll.BDP($C69&amp;" Equity","EST_PE_NXT_YR")*(T69/S69)</f>
        <v>#VALUE!</v>
      </c>
      <c r="S69" s="36" cm="1">
        <f t="array" ref="S69">_xll.BDP(C69&amp;" Equity","LAST_PRICE")</f>
        <v>631.13</v>
      </c>
      <c r="T69" s="53" cm="1">
        <f t="array" ref="T69">_xll.BDP(B69&amp;" Equity","OPT_STRIKE_PX")</f>
        <v>622</v>
      </c>
      <c r="U69" s="40">
        <f>T69/S69-1</f>
        <v>-1.4466116331025347E-2</v>
      </c>
      <c r="V69" s="37" t="str" cm="1">
        <f t="array" ref="V69">_xll.BDP($B69&amp;" Equity","ivol_mid")</f>
        <v>#N/A N/A</v>
      </c>
      <c r="W69" s="38" t="str" cm="1">
        <f t="array" ref="W69">_xll.BDP(B69&amp;" Equity","DELTA_MID_RT")</f>
        <v>#N/A Real Time</v>
      </c>
      <c r="X69" s="48" t="e">
        <f>Y69/'Master P&amp;L'!$AE$5</f>
        <v>#VALUE!</v>
      </c>
      <c r="Y69" s="15" t="e">
        <f>IF(G69="Sell", S69*W69*-H69*O69/N69, S69*W69*H69*O69/N69)</f>
        <v>#VALUE!</v>
      </c>
      <c r="Z69" s="15" t="e" cm="1">
        <f t="array" ref="Z69">_xll.BDP($B69&amp;" Equity","opt_theta")*H69*O69/N69</f>
        <v>#VALUE!</v>
      </c>
      <c r="AA69" s="19" t="e" cm="1">
        <f t="array" ref="AA69">_xll.BDP($B69&amp;" Equity","opt_theta")/I69</f>
        <v>#VALUE!</v>
      </c>
      <c r="AB69" s="36" t="str" cm="1">
        <f t="array" ref="AB69">_xll.BDP($C69&amp;" Equity","EXPECTED_REPORT_DT")</f>
        <v>#N/A N/A</v>
      </c>
      <c r="AC69" s="15" t="e">
        <f>S69*H69*O69/N69</f>
        <v>#VALUE!</v>
      </c>
      <c r="AD69" s="48" t="e">
        <f>AC69/'Master P&amp;L'!$AE$5</f>
        <v>#VALUE!</v>
      </c>
      <c r="AE69" t="str">
        <f>B69&amp;" -&gt; Buy to open "&amp;H69&amp;"x"</f>
        <v>QQQ US 01/15/26 P622 -&gt; Buy to open 500x</v>
      </c>
    </row>
    <row r="70" spans="1:31">
      <c r="H70" s="100" t="s">
        <v>116</v>
      </c>
      <c r="I70" s="102" t="e">
        <f>I68-I69</f>
        <v>#VALUE!</v>
      </c>
      <c r="J70" s="100" t="s">
        <v>249</v>
      </c>
      <c r="K70" s="101" t="e">
        <f>K69/L68</f>
        <v>#VALUE!</v>
      </c>
      <c r="P70" s="100" t="s">
        <v>250</v>
      </c>
      <c r="Q70" s="108" t="e">
        <f>Q68+Q69</f>
        <v>#VALUE!</v>
      </c>
      <c r="S70" s="100" t="s">
        <v>251</v>
      </c>
      <c r="T70" s="102">
        <f>T68-T69</f>
        <v>1</v>
      </c>
      <c r="W70" s="100" t="s">
        <v>252</v>
      </c>
      <c r="X70" s="122" t="e">
        <f>X68+X69</f>
        <v>#VALUE!</v>
      </c>
      <c r="AC70" s="100" t="s">
        <v>229</v>
      </c>
      <c r="AD70" s="122" t="e">
        <f>AD68</f>
        <v>#VALUE!</v>
      </c>
    </row>
    <row r="71" spans="1:31">
      <c r="H71" s="100" t="s">
        <v>253</v>
      </c>
      <c r="I71" s="102" t="e">
        <f>(T70-I70)/I70</f>
        <v>#VALUE!</v>
      </c>
      <c r="J71" s="100" t="s">
        <v>145</v>
      </c>
      <c r="K71" s="109" t="e">
        <f>AVERAGE(K68:L68)-AVERAGE(K69:L69)</f>
        <v>#DIV/0!</v>
      </c>
      <c r="P71" s="100"/>
      <c r="Q71" s="108"/>
      <c r="S71" s="100"/>
      <c r="T71" s="102"/>
      <c r="W71" s="100"/>
      <c r="X71" s="122"/>
      <c r="Y71" s="13" t="e">
        <f>Y68+Y69</f>
        <v>#VALUE!</v>
      </c>
      <c r="AC71" s="100"/>
      <c r="AD71" s="104"/>
    </row>
    <row r="72" spans="1:31">
      <c r="K72" s="64" t="e">
        <f>K62-K71</f>
        <v>#DIV/0!</v>
      </c>
      <c r="L72" s="64" t="e">
        <f>L68-L69</f>
        <v>#VALUE!</v>
      </c>
      <c r="P72" s="13">
        <f>-P62-P67</f>
        <v>-91500</v>
      </c>
      <c r="Y72" s="64" t="e">
        <f>Y71/S68</f>
        <v>#VALUE!</v>
      </c>
    </row>
    <row r="73" spans="1:31">
      <c r="I73" s="3"/>
      <c r="K73" s="64" t="e">
        <f>K71-K65</f>
        <v>#DIV/0!</v>
      </c>
    </row>
    <row r="74" spans="1:31">
      <c r="H74">
        <v>1</v>
      </c>
      <c r="I74" s="64"/>
      <c r="L74" t="e">
        <f>K75/L76</f>
        <v>#VALUE!</v>
      </c>
      <c r="P74" s="13"/>
    </row>
    <row r="75" spans="1:31">
      <c r="A75" s="98" t="s">
        <v>256</v>
      </c>
      <c r="B75" s="59" t="s">
        <v>2289</v>
      </c>
      <c r="C75" t="str" cm="1">
        <f t="array" ref="C75">_xll.BDP(B75&amp;" Equity","OPT_UNDL_TICKER")</f>
        <v>QQQ US</v>
      </c>
      <c r="D75" t="str" cm="1">
        <f t="array" ref="D75">_xll.BDP($B75&amp;" Index","mifid_Maturity_date")</f>
        <v>23/01/2026</v>
      </c>
      <c r="E75" t="str" cm="1">
        <f t="array" ref="E75">_xll.BDP($B75&amp;" Index","opt_days_expire")</f>
        <v>#N/A N/A</v>
      </c>
      <c r="F75" t="str" cm="1">
        <f t="array" ref="F75">_xll.BDP(B75&amp;" Equity","QUOTED_CURRENCY_REALTIME")</f>
        <v>USD</v>
      </c>
      <c r="G75" s="105" t="s">
        <v>247</v>
      </c>
      <c r="H75" s="96">
        <v>75</v>
      </c>
      <c r="I75" s="97">
        <f>IF(G75="Buy",L75,K75)</f>
        <v>0.01</v>
      </c>
      <c r="J75" s="19">
        <f>I75/S75</f>
        <v>1.5844596200465831E-5</v>
      </c>
      <c r="K75" s="36" t="str" cm="1">
        <f t="array" ref="K75">_xll.BDP($B75&amp;" Equity","bid")</f>
        <v>#N/A N/A</v>
      </c>
      <c r="L75" s="36" cm="1">
        <f t="array" ref="L75">_xll.BDP($B75&amp;" Equity","ask")</f>
        <v>0.01</v>
      </c>
      <c r="M75" s="40" t="e">
        <f>(L75/K75-1)</f>
        <v>#VALUE!</v>
      </c>
      <c r="N75" s="36" cm="1">
        <f t="array" ref="N75">_xll.BDP(F75&amp;" Curncy","PX_LAST")</f>
        <v>1</v>
      </c>
      <c r="O75" s="162" cm="1">
        <f t="array" ref="O75">_xll.BDP(B75&amp;" Equity","OPT_MULTIPLIER")</f>
        <v>100</v>
      </c>
      <c r="P75" s="15">
        <f>IF(G75="Buy",((I75/N75)*H75*O75),((I75/N75)*-H75*O75))</f>
        <v>75</v>
      </c>
      <c r="Q75" s="58">
        <f>P75/'Master P&amp;L'!$AD$5*10000</f>
        <v>3.3392176760082534E-4</v>
      </c>
      <c r="R75" s="37" t="e" cm="1">
        <f t="array" ref="R75">_xll.BDP($C75&amp;" Equity","EST_PE_NXT_YR")*(T75/S75)</f>
        <v>#VALUE!</v>
      </c>
      <c r="S75" s="36" cm="1">
        <f t="array" ref="S75">_xll.BDP(C75&amp;" Equity","LAST_PRICE")</f>
        <v>631.13</v>
      </c>
      <c r="T75" s="53" cm="1">
        <f t="array" ref="T75">_xll.BDP(B75&amp;" Equity","OPT_STRIKE_PX")</f>
        <v>615</v>
      </c>
      <c r="U75" s="19">
        <f>T75/S75-1</f>
        <v>-2.5557333671351379E-2</v>
      </c>
      <c r="V75" s="37" cm="1">
        <f t="array" ref="V75">_xll.BDP($B75&amp;" Equity","ivol_mid")</f>
        <v>233.09139999999999</v>
      </c>
      <c r="W75" s="38" cm="1">
        <f t="array" ref="W75">_xll.BDP(B75&amp;" Equity","DELTA_MID_RT")</f>
        <v>-5.6139999069273472E-3</v>
      </c>
      <c r="X75" s="48">
        <f>Y75/'Master P&amp;L'!$AE$5</f>
        <v>-1.1831395060588131E-5</v>
      </c>
      <c r="Y75" s="15">
        <f>IF(G75="Sell", S75*W75*-H75*O75/N75, S75*W75*H75*O75/N75)</f>
        <v>-26573.728209442925</v>
      </c>
      <c r="Z75" s="15" cm="1">
        <f t="array" ref="Z75">_xll.BDP($B75&amp;" Equity","opt_theta")*H75*O75/N75</f>
        <v>0</v>
      </c>
      <c r="AA75" s="19" cm="1">
        <f t="array" ref="AA75">_xll.BDP($B75&amp;" Equity","opt_theta")/I75</f>
        <v>0</v>
      </c>
      <c r="AB75" s="36" t="str" cm="1">
        <f t="array" ref="AB75">_xll.BDP($C75&amp;" Equity","EXPECTED_REPORT_DT")</f>
        <v>#N/A N/A</v>
      </c>
      <c r="AC75" s="15">
        <f>S75*H75*O75/N75</f>
        <v>4733475</v>
      </c>
      <c r="AD75" s="48">
        <f>AC75/'Master P&amp;L'!$AE$5</f>
        <v>2.1074804518590893E-3</v>
      </c>
      <c r="AE75" t="str">
        <f>B75&amp;" -&gt; Buy to open "&amp;H75&amp;"x"</f>
        <v>QQQ US 01/23/26 P615 -&gt; Buy to open 75x</v>
      </c>
    </row>
    <row r="76" spans="1:31">
      <c r="A76" s="98" t="s">
        <v>256</v>
      </c>
      <c r="B76" s="59" t="s">
        <v>2288</v>
      </c>
      <c r="C76" t="str" cm="1">
        <f t="array" ref="C76">_xll.BDP(B76&amp;" Equity","OPT_UNDL_TICKER")</f>
        <v>QQQ US</v>
      </c>
      <c r="D76" t="str" cm="1">
        <f t="array" ref="D76">_xll.BDP($B76&amp;" Equity","mifid_Maturity_date")</f>
        <v>21/01/2026</v>
      </c>
      <c r="E76" t="str" cm="1">
        <f t="array" ref="E76">_xll.BDP($B76&amp;" Equity","opt_days_expire")</f>
        <v>#N/A N/A</v>
      </c>
      <c r="F76" t="s">
        <v>194</v>
      </c>
      <c r="G76" s="105" t="s">
        <v>248</v>
      </c>
      <c r="H76" s="96">
        <f>H75</f>
        <v>75</v>
      </c>
      <c r="I76" s="97" t="str">
        <f>IF(G76="Buy",L76,K76)</f>
        <v>#N/A N/A</v>
      </c>
      <c r="J76" s="19" t="e">
        <f>I76/S76</f>
        <v>#VALUE!</v>
      </c>
      <c r="K76" s="36" t="str" cm="1">
        <f t="array" ref="K76">_xll.BDP($B76&amp;" Equity","bid")</f>
        <v>#N/A N/A</v>
      </c>
      <c r="L76" s="36" t="str" cm="1">
        <f t="array" ref="L76">_xll.BDP($B76&amp;" Equity","ask")</f>
        <v>#N/A N/A</v>
      </c>
      <c r="M76" s="40" t="e">
        <f>(L76/K76-1)</f>
        <v>#VALUE!</v>
      </c>
      <c r="N76" s="36" cm="1">
        <f t="array" ref="N76">_xll.BDP(F76&amp;" Curncy","PX_LAST")</f>
        <v>1</v>
      </c>
      <c r="O76" s="162" cm="1">
        <f t="array" ref="O76">_xll.BDP(B76&amp;" Equity","OPT_MULTIPLIER")</f>
        <v>100</v>
      </c>
      <c r="P76" s="15" t="e">
        <f>IF(G76="Buy",((I76/N76)*H76*O76),((I76/N76)*-H76*O76))</f>
        <v>#VALUE!</v>
      </c>
      <c r="Q76" s="58" t="e">
        <f>P76/'Master P&amp;L'!$AD$5*10000</f>
        <v>#VALUE!</v>
      </c>
      <c r="R76" s="37" t="e" cm="1">
        <f t="array" ref="R76">_xll.BDP($C76&amp;" Equity","EST_PE_NXT_YR")*(T76/S76)</f>
        <v>#VALUE!</v>
      </c>
      <c r="S76" s="36" cm="1">
        <f t="array" ref="S76">_xll.BDP(C76&amp;" Equity","LAST_PRICE")</f>
        <v>631.13</v>
      </c>
      <c r="T76" s="53" cm="1">
        <f t="array" ref="T76">_xll.BDP(B76&amp;" Equity","OPT_STRIKE_PX")</f>
        <v>616</v>
      </c>
      <c r="U76" s="19">
        <f>T76/S76-1</f>
        <v>-2.3972874051304771E-2</v>
      </c>
      <c r="V76" s="37" cm="1">
        <f t="array" ref="V76">_xll.BDP($B76&amp;" Equity","ivol_mid")</f>
        <v>21.169789999999999</v>
      </c>
      <c r="W76" s="38" cm="1">
        <f t="array" ref="W76">_xll.BDP(B76&amp;" Equity","DELTA_MID_RT")</f>
        <v>-9.7929000854492188E-2</v>
      </c>
      <c r="X76" s="48">
        <f>Y76/'Master P&amp;L'!$AE$5</f>
        <v>2.0638345497093433E-4</v>
      </c>
      <c r="Y76" s="15">
        <f>IF(G76="Sell", S76*W76*-H76*O76/N76, S76*W76*H76*O76/N76)</f>
        <v>463544.47731971741</v>
      </c>
      <c r="Z76" s="15" cm="1">
        <f t="array" ref="Z76">_xll.BDP($B76&amp;" Equity","opt_theta")*H76*O76/N76</f>
        <v>0</v>
      </c>
      <c r="AA76" s="19" t="e" cm="1">
        <f t="array" ref="AA76">_xll.BDP($B76&amp;" Equity","opt_theta")/I76</f>
        <v>#VALUE!</v>
      </c>
      <c r="AB76" s="36" t="str" cm="1">
        <f t="array" ref="AB76">_xll.BDP($C76&amp;" Equity","EXPECTED_REPORT_DT")</f>
        <v>#N/A N/A</v>
      </c>
      <c r="AC76" s="15">
        <f>S76*H76*O76/N76</f>
        <v>4733475</v>
      </c>
      <c r="AD76" s="48">
        <f>AC76/'Master P&amp;L'!$AE$5</f>
        <v>2.1074804518590893E-3</v>
      </c>
      <c r="AE76" t="str">
        <f>B76&amp;" -&gt; Buy to open "&amp;H76&amp;"x"</f>
        <v>QQQ US 01/21/26 P616 -&gt; Buy to open 75x</v>
      </c>
    </row>
    <row r="77" spans="1:31">
      <c r="H77" s="100" t="s">
        <v>116</v>
      </c>
      <c r="I77" s="102" t="e">
        <f>I75-I76*H74</f>
        <v>#VALUE!</v>
      </c>
      <c r="J77" s="100" t="s">
        <v>249</v>
      </c>
      <c r="K77" s="101" t="e">
        <f>K76/L75</f>
        <v>#VALUE!</v>
      </c>
      <c r="P77" s="100" t="s">
        <v>250</v>
      </c>
      <c r="Q77" s="108" t="e">
        <f>Q75+Q76</f>
        <v>#VALUE!</v>
      </c>
      <c r="S77" s="100" t="s">
        <v>251</v>
      </c>
      <c r="T77" s="102">
        <f>T75-T76</f>
        <v>-1</v>
      </c>
      <c r="W77" s="100" t="s">
        <v>252</v>
      </c>
      <c r="X77" s="122">
        <f>X75+X76</f>
        <v>1.9455205991034621E-4</v>
      </c>
      <c r="AC77" s="100" t="s">
        <v>229</v>
      </c>
      <c r="AD77" s="122">
        <f>AD75</f>
        <v>2.1074804518590893E-3</v>
      </c>
    </row>
    <row r="78" spans="1:31">
      <c r="H78" s="100" t="s">
        <v>253</v>
      </c>
      <c r="I78" s="102" t="e">
        <f>(T77-I77)/I77</f>
        <v>#VALUE!</v>
      </c>
      <c r="J78" s="100" t="s">
        <v>145</v>
      </c>
      <c r="K78" s="109" t="e">
        <f>AVERAGE(K75:L75)-AVERAGE(K76:L76)</f>
        <v>#DIV/0!</v>
      </c>
      <c r="P78" s="100"/>
      <c r="Q78" s="108"/>
      <c r="S78" s="100"/>
      <c r="T78" s="102"/>
      <c r="W78" s="100"/>
      <c r="X78" s="122"/>
      <c r="Y78" s="15">
        <f>Y75+Y76</f>
        <v>436970.74911027448</v>
      </c>
      <c r="AC78" s="100"/>
      <c r="AD78" s="104"/>
    </row>
    <row r="79" spans="1:31">
      <c r="I79" s="64"/>
      <c r="K79" s="64" t="e">
        <f>K78-K71</f>
        <v>#DIV/0!</v>
      </c>
      <c r="L79" s="64"/>
      <c r="N79" s="238" t="e">
        <f>K71-(K78*3)</f>
        <v>#DIV/0!</v>
      </c>
      <c r="W79" s="50">
        <f>W75-W76</f>
        <v>9.231500094756484E-2</v>
      </c>
      <c r="Y79" s="64">
        <f>Y78/S75</f>
        <v>692.3625071067363</v>
      </c>
    </row>
    <row r="80" spans="1:31">
      <c r="H80">
        <v>1</v>
      </c>
      <c r="I80" s="64"/>
      <c r="K80" s="64"/>
      <c r="L80" s="64"/>
      <c r="W80" s="50"/>
      <c r="Y80" s="64"/>
    </row>
    <row r="81" spans="1:38">
      <c r="A81" s="98" t="s">
        <v>256</v>
      </c>
      <c r="B81" s="59" t="s">
        <v>2391</v>
      </c>
      <c r="C81" t="str" cm="1">
        <f t="array" ref="C81">_xll.BDP(B81&amp;" Equity","OPT_UNDL_TICKER")</f>
        <v>QQQ US</v>
      </c>
      <c r="D81" t="str" cm="1">
        <f t="array" ref="D81">_xll.BDP($B81&amp;" Index","mifid_Maturity_date")</f>
        <v>29/01/2026</v>
      </c>
      <c r="E81" cm="1">
        <f t="array" ref="E81">_xll.BDP($B81&amp;" Index","opt_days_expire")</f>
        <v>2</v>
      </c>
      <c r="F81" t="str">
        <f>_xll.BDP(B81&amp;" Equity","QUOTED_CURRENCY_REALTIME")</f>
        <v>USD</v>
      </c>
      <c r="G81" s="105" t="s">
        <v>247</v>
      </c>
      <c r="H81" s="96">
        <v>100</v>
      </c>
      <c r="I81" s="97">
        <f>IF(G81="Buy",L81,K81)</f>
        <v>2.95</v>
      </c>
      <c r="J81" s="19">
        <f>I81/S81</f>
        <v>4.6741558791374201E-3</v>
      </c>
      <c r="K81" s="36">
        <f>_xll.BDP($B81&amp;" Equity","bid")</f>
        <v>2.92</v>
      </c>
      <c r="L81" s="36">
        <f>_xll.BDP($B81&amp;" Equity","ask")</f>
        <v>2.95</v>
      </c>
      <c r="M81" s="40">
        <f>(L81/K81-1)</f>
        <v>1.0273972602739878E-2</v>
      </c>
      <c r="N81" s="36" cm="1">
        <f t="array" ref="N81">_xll.BDP(F81&amp;" Curncy","PX_LAST")</f>
        <v>1</v>
      </c>
      <c r="O81" s="162" cm="1">
        <f t="array" ref="O81">_xll.BDP(B81&amp;" Equity","OPT_MULTIPLIER")</f>
        <v>100</v>
      </c>
      <c r="P81" s="15">
        <f>IF(G81="Buy",((I81/N81)*H81*O81),((I81/N81)*-H81*O81))</f>
        <v>29500</v>
      </c>
      <c r="Q81" s="58">
        <f>P81/'Master P&amp;L'!$AD$5*10000</f>
        <v>0.13134256192299132</v>
      </c>
      <c r="R81" s="37" t="e" cm="1">
        <f t="array" ref="R81">_xll.BDP($C81&amp;" Equity","EST_PE_NXT_YR")*(T81/S81)</f>
        <v>#VALUE!</v>
      </c>
      <c r="S81" s="36" cm="1">
        <f t="array" ref="S81">_xll.BDP(C81&amp;" Equity","LAST_PRICE")</f>
        <v>631.13</v>
      </c>
      <c r="T81" s="53" cm="1">
        <f t="array" ref="T81">_xll.BDP(B81&amp;" Equity","OPT_STRIKE_PX")</f>
        <v>628</v>
      </c>
      <c r="U81" s="19">
        <f>T81/S81-1</f>
        <v>-4.9593586107458121E-3</v>
      </c>
      <c r="V81" s="37" cm="1">
        <f t="array" ref="V81">_xll.BDP($B81&amp;" Equity","ivol_mid")</f>
        <v>19.53462</v>
      </c>
      <c r="W81" s="38">
        <f>_xll.BDP(B81&amp;" Equity","DELTA_MID_RT")</f>
        <v>-0.37978723645210266</v>
      </c>
      <c r="X81" s="48">
        <f>Y81/'Master P&amp;L'!$AE$5</f>
        <v>-1.0671922355845228E-3</v>
      </c>
      <c r="Y81" s="15">
        <f>IF(G81="Sell", S81*W81*-H81*O81/N81, S81*W81*H81*O81/N81)</f>
        <v>-2396951.1854201555</v>
      </c>
      <c r="Z81" s="15" cm="1">
        <f t="array" ref="Z81">_xll.BDP($B81&amp;" Equity","opt_theta")*H81*O81/N81</f>
        <v>-7867.8600000000006</v>
      </c>
      <c r="AA81" s="19" cm="1">
        <f t="array" ref="AA81">_xll.BDP($B81&amp;" Equity","opt_theta")/I81</f>
        <v>-0.26670711864406776</v>
      </c>
      <c r="AB81" s="36" t="str" cm="1">
        <f t="array" ref="AB81">_xll.BDP($C81&amp;" Equity","EXPECTED_REPORT_DT")</f>
        <v>#N/A N/A</v>
      </c>
      <c r="AC81" s="15">
        <f>S81*H81*O81/N81</f>
        <v>6311300</v>
      </c>
      <c r="AD81" s="48">
        <f>AC81/'Master P&amp;L'!$AE$5</f>
        <v>2.8099739358121187E-3</v>
      </c>
      <c r="AE81" t="str">
        <f>B81&amp;" -&gt; Buy to open "&amp;H81&amp;"x"</f>
        <v>QQQ US 01/29/26 P628 -&gt; Buy to open 100x</v>
      </c>
    </row>
    <row r="82" spans="1:38">
      <c r="A82" s="98" t="s">
        <v>256</v>
      </c>
      <c r="B82" s="59" t="s">
        <v>2390</v>
      </c>
      <c r="C82" t="str" cm="1">
        <f t="array" ref="C82">_xll.BDP(B82&amp;" Equity","OPT_UNDL_TICKER")</f>
        <v>QQQ US</v>
      </c>
      <c r="D82" t="str" cm="1">
        <f t="array" ref="D82">_xll.BDP($B82&amp;" Equity","mifid_Maturity_date")</f>
        <v>29/01/2026</v>
      </c>
      <c r="E82" cm="1">
        <f t="array" ref="E82">_xll.BDP($B82&amp;" Equity","opt_days_expire")</f>
        <v>2</v>
      </c>
      <c r="F82" t="s">
        <v>194</v>
      </c>
      <c r="G82" s="105" t="s">
        <v>248</v>
      </c>
      <c r="H82" s="96">
        <f>H81</f>
        <v>100</v>
      </c>
      <c r="I82" s="97">
        <f>IF(G82="Buy",L82,K82)</f>
        <v>2.1</v>
      </c>
      <c r="J82" s="19">
        <f>I82/S82</f>
        <v>3.3273652020978247E-3</v>
      </c>
      <c r="K82" s="36" cm="1">
        <f t="array" ref="K82">_xll.BDP($B82&amp;" Equity","bid")</f>
        <v>2.1</v>
      </c>
      <c r="L82" s="36" cm="1">
        <f t="array" ref="L82">_xll.BDP($B82&amp;" Equity","ask")</f>
        <v>2.13</v>
      </c>
      <c r="M82" s="40">
        <f>(L82/K82-1)</f>
        <v>1.4285714285714235E-2</v>
      </c>
      <c r="N82" s="36" cm="1">
        <f t="array" ref="N82">_xll.BDP(F82&amp;" Curncy","PX_LAST")</f>
        <v>1</v>
      </c>
      <c r="O82" s="162" cm="1">
        <f t="array" ref="O82">_xll.BDP(B82&amp;" Equity","OPT_MULTIPLIER")</f>
        <v>100</v>
      </c>
      <c r="P82" s="15">
        <f>IF(G82="Buy",((I82/N82)*H82*O82),((I82/N82)*-H82*O82))</f>
        <v>-21000</v>
      </c>
      <c r="Q82" s="58">
        <f>P82/'Master P&amp;L'!$AD$5*10000</f>
        <v>-9.3498094928231107E-2</v>
      </c>
      <c r="R82" s="37" t="e" cm="1">
        <f t="array" ref="R82">_xll.BDP($C82&amp;" Equity","EST_PE_NXT_YR")*(T82/S82)</f>
        <v>#VALUE!</v>
      </c>
      <c r="S82" s="36" cm="1">
        <f t="array" ref="S82">_xll.BDP(C82&amp;" Equity","LAST_PRICE")</f>
        <v>631.13</v>
      </c>
      <c r="T82" s="53" cm="1">
        <f t="array" ref="T82">_xll.BDP(B82&amp;" Equity","OPT_STRIKE_PX")</f>
        <v>625</v>
      </c>
      <c r="U82" s="19">
        <f>T82/S82-1</f>
        <v>-9.7127374708855241E-3</v>
      </c>
      <c r="V82" s="37" cm="1">
        <f t="array" ref="V82">_xll.BDP($B82&amp;" Equity","ivol_mid")</f>
        <v>20.47833</v>
      </c>
      <c r="W82" s="38" cm="1">
        <f t="array" ref="W82">_xll.BDP(B82&amp;" Equity","DELTA_MID_RT")</f>
        <v>-0.28969821333885193</v>
      </c>
      <c r="X82" s="48">
        <f>Y82/'Master P&amp;L'!$AE$5</f>
        <v>8.1404442873351265E-4</v>
      </c>
      <c r="Y82" s="15">
        <f>IF(G82="Sell", S82*W82*-H82*O82/N82, S82*W82*H82*O82/N82)</f>
        <v>1828372.3338454962</v>
      </c>
      <c r="Z82" s="15" cm="1">
        <f t="array" ref="Z82">_xll.BDP($B82&amp;" Equity","opt_theta")*H82*O82/N82</f>
        <v>-7314.8300000000008</v>
      </c>
      <c r="AA82" s="19" cm="1">
        <f t="array" ref="AA82">_xll.BDP($B82&amp;" Equity","opt_theta")/I82</f>
        <v>-0.34832523809523808</v>
      </c>
      <c r="AB82" s="36" t="str" cm="1">
        <f t="array" ref="AB82">_xll.BDP($C82&amp;" Equity","EXPECTED_REPORT_DT")</f>
        <v>#N/A N/A</v>
      </c>
      <c r="AC82" s="15">
        <f>S82*H82*O82/N82</f>
        <v>6311300</v>
      </c>
      <c r="AD82" s="48">
        <f>AC82/'Master P&amp;L'!$AE$5</f>
        <v>2.8099739358121187E-3</v>
      </c>
      <c r="AE82" t="str">
        <f>B82&amp;" -&gt; Buy to open "&amp;H82&amp;"x"</f>
        <v>QQQ US 01/29/26 P625 -&gt; Buy to open 100x</v>
      </c>
    </row>
    <row r="83" spans="1:38">
      <c r="H83" s="100" t="s">
        <v>116</v>
      </c>
      <c r="I83" s="102">
        <f>I81-I82</f>
        <v>0.85000000000000009</v>
      </c>
      <c r="J83" s="100" t="s">
        <v>249</v>
      </c>
      <c r="K83" s="101">
        <f>K82/L81</f>
        <v>0.71186440677966101</v>
      </c>
      <c r="P83" s="100" t="s">
        <v>250</v>
      </c>
      <c r="Q83" s="108">
        <f>Q81+Q82</f>
        <v>3.7844466994760212E-2</v>
      </c>
      <c r="S83" s="100" t="s">
        <v>251</v>
      </c>
      <c r="T83" s="102">
        <f>T81-T82</f>
        <v>3</v>
      </c>
      <c r="W83" s="100" t="s">
        <v>252</v>
      </c>
      <c r="X83" s="122">
        <f>X81+X82</f>
        <v>-2.5314780685101017E-4</v>
      </c>
      <c r="AC83" s="100" t="s">
        <v>229</v>
      </c>
      <c r="AD83" s="122">
        <f>AD81</f>
        <v>2.8099739358121187E-3</v>
      </c>
    </row>
    <row r="84" spans="1:38">
      <c r="H84" s="100" t="s">
        <v>253</v>
      </c>
      <c r="I84" s="102">
        <f>(T83-I83)/I83</f>
        <v>2.5294117647058818</v>
      </c>
      <c r="J84" s="100" t="s">
        <v>145</v>
      </c>
      <c r="K84" s="109">
        <f>AVERAGE(K81:L81)-AVERAGE(K82:L82)</f>
        <v>0.81999999999999984</v>
      </c>
      <c r="P84" s="100"/>
      <c r="Q84" s="108"/>
      <c r="S84" s="100"/>
      <c r="T84" s="102"/>
      <c r="W84" s="100"/>
      <c r="X84" s="122"/>
      <c r="Y84" s="15">
        <f>Y81+Y82</f>
        <v>-568578.85157465935</v>
      </c>
      <c r="AC84" s="100"/>
      <c r="AD84" s="104"/>
    </row>
    <row r="85" spans="1:38">
      <c r="K85" s="64" t="e">
        <f>K84-K78</f>
        <v>#DIV/0!</v>
      </c>
      <c r="Y85" s="64">
        <f>Y84/S81</f>
        <v>-900.89023113250732</v>
      </c>
    </row>
    <row r="86" spans="1:38" s="59" customFormat="1">
      <c r="O86" s="163"/>
      <c r="X86" s="127"/>
      <c r="Y86" s="79"/>
      <c r="AL86" s="14"/>
    </row>
    <row r="87" spans="1:38">
      <c r="L87" t="e">
        <f>K89/L90</f>
        <v>#VALUE!</v>
      </c>
      <c r="Y87" s="64"/>
    </row>
    <row r="88" spans="1:38">
      <c r="B88" s="161" t="s">
        <v>259</v>
      </c>
      <c r="D88" s="161" t="str">
        <f>D89</f>
        <v>27/05/2025</v>
      </c>
      <c r="H88" s="161">
        <v>1</v>
      </c>
      <c r="I88" s="64"/>
    </row>
    <row r="89" spans="1:38">
      <c r="A89" s="98" t="s">
        <v>246</v>
      </c>
      <c r="B89" s="59" t="s">
        <v>1703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-245</v>
      </c>
      <c r="F89" t="str" cm="1">
        <f t="array" ref="F89">_xll.BDP(B89&amp;" Index","QUOTED_CURRENCY_REALTIME")</f>
        <v>#N/A Real Time</v>
      </c>
      <c r="G89" s="105" t="s">
        <v>247</v>
      </c>
      <c r="H89" s="96">
        <v>50</v>
      </c>
      <c r="I89" s="97" t="str">
        <f>IF(G89="Buy",L89,K89)</f>
        <v>#N/A Real Time</v>
      </c>
      <c r="J89" s="19" t="e">
        <f>I89/S89</f>
        <v>#VALUE!</v>
      </c>
      <c r="K89" s="36" t="str" cm="1">
        <f t="array" ref="K89">_xll.BDP($B89&amp;" Index","bid")</f>
        <v>#N/A Real Time</v>
      </c>
      <c r="L89" s="36" t="str" cm="1">
        <f t="array" ref="L89">_xll.BDP($B89&amp;" Index","ask")</f>
        <v>#N/A Real Time</v>
      </c>
      <c r="M89" s="40" t="e">
        <f>(L89/K89-1)</f>
        <v>#VALUE!</v>
      </c>
      <c r="N89" s="36" t="str">
        <f>_xll.BDP(F89&amp;" Curncy","PX_LAST")</f>
        <v>#N/A Real Time Curncy</v>
      </c>
      <c r="O89" s="165">
        <v>50</v>
      </c>
      <c r="P89" s="15" t="e">
        <f>IF(G89="Buy",((I89/N89)*H89*O89),((I89/N89)*-H89*O89))</f>
        <v>#VALUE!</v>
      </c>
      <c r="Q89" s="58" t="e">
        <f>P89/'Master P&amp;L'!$AD$5*10000</f>
        <v>#VALUE!</v>
      </c>
      <c r="R89" s="37" t="e" cm="1">
        <f t="array" ref="R89">_xll.BDP($C89&amp;" Index","EST_PE_NXT_YR")*(T89/S89)</f>
        <v>#VALUE!</v>
      </c>
      <c r="S89" s="36" t="str" cm="1">
        <f t="array" ref="S89">_xll.BDP(C89&amp;" Index","LAST_PRICE")</f>
        <v>#N/A Real Time</v>
      </c>
      <c r="T89" s="53" cm="1">
        <f t="array" ref="T89">_xll.BDP(B89&amp;" Index","OPT_STRIKE_PX")</f>
        <v>5840</v>
      </c>
      <c r="U89" s="40" t="e">
        <f>T89/S89-1</f>
        <v>#VALUE!</v>
      </c>
      <c r="V89" s="37" t="str" cm="1">
        <f t="array" ref="V89">_xll.BDP($B89&amp;" Index","ivol_mid")</f>
        <v>#N/A Field Not Applicable</v>
      </c>
      <c r="W89" s="38" t="str" cm="1">
        <f t="array" ref="W89">_xll.BDP(B89&amp;" Index","DELTA_MID_RT")</f>
        <v>#N/A Real Time</v>
      </c>
      <c r="X89" s="48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6" t="e" cm="1">
        <f t="array" ref="AA89">_xll.BDP($B89&amp;" Index","opt_theta")/I89</f>
        <v>#VALUE!</v>
      </c>
      <c r="AB89" s="36" t="str" cm="1">
        <f t="array" ref="AB89">_xll.BDP($C89&amp;" Index","EXPECTED_REPORT_DT")</f>
        <v>#N/A Field Not Applicable</v>
      </c>
      <c r="AC89" s="15" t="e">
        <f>S89*H89*O89/N89</f>
        <v>#VALUE!</v>
      </c>
      <c r="AD89" s="48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8"/>
      <c r="B90" s="59" t="s">
        <v>1702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-245</v>
      </c>
      <c r="F90" t="str" cm="1">
        <f t="array" ref="F90">_xll.BDP(B90&amp;" Index","QUOTED_CURRENCY_REALTIME")</f>
        <v>#N/A Real Time</v>
      </c>
      <c r="G90" s="105" t="s">
        <v>248</v>
      </c>
      <c r="H90" s="96">
        <f>H89</f>
        <v>50</v>
      </c>
      <c r="I90" s="97" t="str">
        <f>IF(G90="Buy",L90,K90)</f>
        <v>#N/A Real Time</v>
      </c>
      <c r="J90" s="19" t="e">
        <f>I90/S90</f>
        <v>#VALUE!</v>
      </c>
      <c r="K90" s="36" t="str" cm="1">
        <f t="array" ref="K90">_xll.BDP($B90&amp;" Index","bid")</f>
        <v>#N/A Real Time</v>
      </c>
      <c r="L90" s="36" t="str" cm="1">
        <f t="array" ref="L90">_xll.BDP($B90&amp;" Index","ask")</f>
        <v>#N/A Real Time</v>
      </c>
      <c r="M90" s="40" t="e">
        <f>(L90/K90-1)</f>
        <v>#VALUE!</v>
      </c>
      <c r="N90" s="36" t="str">
        <f>_xll.BDP(F90&amp;" Curncy","PX_LAST")</f>
        <v>#N/A Real Time Curncy</v>
      </c>
      <c r="O90" s="165">
        <v>50</v>
      </c>
      <c r="P90" s="15" t="e">
        <f>IF(G90="Buy",((I90/N90)*H90*O90),((I90/N90)*-H90*O90))</f>
        <v>#VALUE!</v>
      </c>
      <c r="Q90" s="58" t="e">
        <f>P90/'Master P&amp;L'!$AD$5*10000</f>
        <v>#VALUE!</v>
      </c>
      <c r="R90" s="37" t="e" cm="1">
        <f t="array" ref="R90">_xll.BDP($C90&amp;" Index","EST_PE_NXT_YR")*(T90/S90)</f>
        <v>#VALUE!</v>
      </c>
      <c r="S90" s="36" t="str" cm="1">
        <f t="array" ref="S90">_xll.BDP(C90&amp;" Index","LAST_PRICE")</f>
        <v>#N/A Real Time</v>
      </c>
      <c r="T90" s="53" cm="1">
        <f t="array" ref="T90">_xll.BDP(B90&amp;" Index","OPT_STRIKE_PX")</f>
        <v>5880</v>
      </c>
      <c r="U90" s="40" t="e">
        <f>T90/S90-1</f>
        <v>#VALUE!</v>
      </c>
      <c r="V90" s="37" t="str" cm="1">
        <f t="array" ref="V90">_xll.BDP($B90&amp;" Index","ivol_mid")</f>
        <v>#N/A Field Not Applicable</v>
      </c>
      <c r="W90" s="38" t="str" cm="1">
        <f t="array" ref="W90">_xll.BDP(B90&amp;" Index","DELTA_MID_RT")</f>
        <v>#N/A Real Time</v>
      </c>
      <c r="X90" s="48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6" t="e" cm="1">
        <f t="array" ref="AA90">_xll.BDP($B90&amp;" Index","opt_theta")/I90</f>
        <v>#VALUE!</v>
      </c>
      <c r="AB90" s="36" t="str" cm="1">
        <f t="array" ref="AB90">_xll.BDP($C90&amp;" Index","EXPECTED_REPORT_DT")</f>
        <v>#N/A Field Not Applicable</v>
      </c>
      <c r="AC90" s="15" t="e">
        <f>S90*H90*O90/N90</f>
        <v>#VALUE!</v>
      </c>
      <c r="AD90" s="48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100" t="s">
        <v>116</v>
      </c>
      <c r="I91" s="102">
        <v>10</v>
      </c>
      <c r="J91" s="100" t="s">
        <v>249</v>
      </c>
      <c r="K91" s="101" t="e">
        <f>K90/L89</f>
        <v>#VALUE!</v>
      </c>
      <c r="O91" s="164"/>
      <c r="P91" s="100" t="s">
        <v>250</v>
      </c>
      <c r="Q91" s="108" t="e">
        <f>Q89+Q90</f>
        <v>#VALUE!</v>
      </c>
      <c r="S91" s="100" t="s">
        <v>251</v>
      </c>
      <c r="T91" s="102">
        <f>T90-T89</f>
        <v>40</v>
      </c>
      <c r="W91" s="100" t="s">
        <v>252</v>
      </c>
      <c r="X91" s="122" t="e">
        <f>X89+X90</f>
        <v>#VALUE!</v>
      </c>
      <c r="Y91" s="13" t="e">
        <f>Y89+Y90</f>
        <v>#VALUE!</v>
      </c>
      <c r="AC91" s="100" t="s">
        <v>229</v>
      </c>
      <c r="AD91" s="122" t="e">
        <f>AD89</f>
        <v>#VALUE!</v>
      </c>
    </row>
    <row r="92" spans="1:38">
      <c r="H92" s="100" t="s">
        <v>253</v>
      </c>
      <c r="I92" s="102">
        <f>(T91-I91)/I91</f>
        <v>3</v>
      </c>
      <c r="J92" s="100" t="s">
        <v>145</v>
      </c>
      <c r="K92" s="109" t="e">
        <f>AVERAGE(K89:L89)-AVERAGE(K90:L90)</f>
        <v>#DIV/0!</v>
      </c>
      <c r="O92" s="164"/>
      <c r="P92" s="100"/>
      <c r="Q92" s="108"/>
      <c r="S92" s="100"/>
      <c r="T92" s="102"/>
      <c r="W92" s="100"/>
      <c r="X92" s="122"/>
      <c r="Y92" s="13" t="e">
        <f>Y91/S89</f>
        <v>#VALUE!</v>
      </c>
      <c r="AC92" s="100"/>
      <c r="AD92" s="104"/>
    </row>
    <row r="93" spans="1:38">
      <c r="L93" s="178" t="e">
        <f>K95-L101</f>
        <v>#VALUE!</v>
      </c>
      <c r="O93" s="164"/>
      <c r="Q93" t="e">
        <f>-Q97/Q103</f>
        <v>#VALUE!</v>
      </c>
    </row>
    <row r="94" spans="1:38">
      <c r="B94" s="161" t="s">
        <v>260</v>
      </c>
      <c r="D94" s="161" t="str">
        <f>D95</f>
        <v>31/03/2025</v>
      </c>
      <c r="H94" s="161">
        <v>1</v>
      </c>
      <c r="I94" s="64" t="e">
        <f>I95-I96</f>
        <v>#VALUE!</v>
      </c>
      <c r="K94" t="e">
        <f>K98/K104</f>
        <v>#DIV/0!</v>
      </c>
      <c r="O94" s="164"/>
      <c r="P94" s="13" t="e">
        <f>P95+P96</f>
        <v>#VALUE!</v>
      </c>
      <c r="S94" s="64"/>
    </row>
    <row r="95" spans="1:38">
      <c r="A95" s="98" t="s">
        <v>246</v>
      </c>
      <c r="B95" s="73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-302</v>
      </c>
      <c r="F95" t="s">
        <v>194</v>
      </c>
      <c r="G95" s="105" t="s">
        <v>248</v>
      </c>
      <c r="H95" s="96">
        <v>307</v>
      </c>
      <c r="I95" s="97" t="str">
        <f>IF(G95="Buy",L95,K95)</f>
        <v>#N/A Real Time</v>
      </c>
      <c r="J95" s="19" t="e">
        <f>I95/S95</f>
        <v>#VALUE!</v>
      </c>
      <c r="K95" s="36" t="str" cm="1">
        <f t="array" ref="K95">_xll.BDP($B95&amp;" Index","bid")</f>
        <v>#N/A Real Time</v>
      </c>
      <c r="L95" s="36" t="str" cm="1">
        <f t="array" ref="L95">_xll.BDP($B95&amp;" Index","ask")</f>
        <v>#N/A Real Time</v>
      </c>
      <c r="M95" s="40" t="e">
        <f>(L95/K95-1)</f>
        <v>#VALUE!</v>
      </c>
      <c r="N95" s="36" cm="1">
        <f t="array" ref="N95">_xll.BDP(F95&amp;" Curncy","PX_LAST")</f>
        <v>1</v>
      </c>
      <c r="O95" s="165">
        <v>50</v>
      </c>
      <c r="P95" s="15" t="e">
        <f>IF(G95="Buy",((I95/N95)*H95*O95),((I95/N95)*-H95*O95))</f>
        <v>#VALUE!</v>
      </c>
      <c r="Q95" s="58" t="e">
        <f>P95/'Master P&amp;L'!$AD$5*10000</f>
        <v>#VALUE!</v>
      </c>
      <c r="R95" s="37" t="e" cm="1">
        <f t="array" ref="R95">_xll.BDP($C95&amp;" Index","EST_PE_NXT_YR")*(T95/S95)</f>
        <v>#VALUE!</v>
      </c>
      <c r="S95" s="36" t="str" cm="1">
        <f t="array" ref="S95">_xll.BDP(C95&amp;" Index","LAST_PRICE")</f>
        <v>#N/A Real Time</v>
      </c>
      <c r="T95" s="53" cm="1">
        <f t="array" ref="T95">_xll.BDP(B95&amp;" Index","OPT_STRIKE_PX")</f>
        <v>6150</v>
      </c>
      <c r="U95" s="40" t="e">
        <f>T95/S95-1</f>
        <v>#VALUE!</v>
      </c>
      <c r="V95" s="37" t="str" cm="1">
        <f t="array" ref="V95">_xll.BDP($B95&amp;" Index","ivol_mid")</f>
        <v>#N/A Field Not Applicable</v>
      </c>
      <c r="W95" s="38" t="str" cm="1">
        <f t="array" ref="W95">_xll.BDP(B95&amp;" Index","DELTA_MID_RT")</f>
        <v>#N/A Real Time</v>
      </c>
      <c r="X95" s="48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6" t="e" cm="1">
        <f t="array" ref="AA95">_xll.BDP($B95&amp;" Index","opt_theta")/I95</f>
        <v>#VALUE!</v>
      </c>
      <c r="AB95" s="36" t="str" cm="1">
        <f t="array" ref="AB95">_xll.BDP($C95&amp;" Index","EXPECTED_REPORT_DT")</f>
        <v>#N/A Field Not Applicable</v>
      </c>
      <c r="AC95" s="15" t="e">
        <f>S95*H95*O95/N95</f>
        <v>#VALUE!</v>
      </c>
      <c r="AD95" s="48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8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-302</v>
      </c>
      <c r="F96" t="str" cm="1">
        <f t="array" ref="F96">_xll.BDP(B96&amp;" Index","QUOTED_CURRENCY_REALTIME")</f>
        <v>#N/A Real Time</v>
      </c>
      <c r="G96" s="105" t="s">
        <v>247</v>
      </c>
      <c r="H96" s="96">
        <f>H95</f>
        <v>307</v>
      </c>
      <c r="I96" s="97" t="str">
        <f>IF(G96="Buy",L96,K96)</f>
        <v>#N/A Real Time</v>
      </c>
      <c r="J96" s="19" t="e">
        <f>I96/S96</f>
        <v>#VALUE!</v>
      </c>
      <c r="K96" s="36" t="str" cm="1">
        <f t="array" ref="K96">_xll.BDP($B96&amp;" Index","bid")</f>
        <v>#N/A Real Time</v>
      </c>
      <c r="L96" s="36" t="str" cm="1">
        <f t="array" ref="L96">_xll.BDP($B96&amp;" Index","ask")</f>
        <v>#N/A Real Time</v>
      </c>
      <c r="M96" s="40" t="e">
        <f>(L96/K96-1)</f>
        <v>#VALUE!</v>
      </c>
      <c r="N96" s="36" t="str">
        <f>_xll.BDP(F96&amp;" Curncy","PX_LAST")</f>
        <v>#N/A Real Time Curncy</v>
      </c>
      <c r="O96" s="165">
        <v>50</v>
      </c>
      <c r="P96" s="15" t="e">
        <f>IF(G96="Buy",((I96/N96)*H96*O96),((I96/N96)*-H96*O96))</f>
        <v>#VALUE!</v>
      </c>
      <c r="Q96" s="58" t="e">
        <f>P96/'Master P&amp;L'!$AD$5*10000</f>
        <v>#VALUE!</v>
      </c>
      <c r="R96" s="37" t="e" cm="1">
        <f t="array" ref="R96">_xll.BDP($C96&amp;" Index","EST_PE_NXT_YR")*(T96/S96)</f>
        <v>#VALUE!</v>
      </c>
      <c r="S96" s="36" t="str" cm="1">
        <f t="array" ref="S96">_xll.BDP(C96&amp;" Index","LAST_PRICE")</f>
        <v>#N/A Real Time</v>
      </c>
      <c r="T96" s="53" cm="1">
        <f t="array" ref="T96">_xll.BDP(B96&amp;" Index","OPT_STRIKE_PX")</f>
        <v>6250</v>
      </c>
      <c r="U96" s="40" t="e">
        <f>T96/S96-1</f>
        <v>#VALUE!</v>
      </c>
      <c r="V96" s="37" t="str" cm="1">
        <f t="array" ref="V96">_xll.BDP($B96&amp;" Index","ivol_mid")</f>
        <v>#N/A Field Not Applicable</v>
      </c>
      <c r="W96" s="38" t="str" cm="1">
        <f t="array" ref="W96">_xll.BDP(B96&amp;" Index","DELTA_MID_RT")</f>
        <v>#N/A Real Time</v>
      </c>
      <c r="X96" s="48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6" t="e" cm="1">
        <f t="array" ref="AA96">_xll.BDP($B96&amp;" Index","opt_theta")/I96</f>
        <v>#VALUE!</v>
      </c>
      <c r="AB96" s="36" t="str" cm="1">
        <f t="array" ref="AB96">_xll.BDP($C96&amp;" Index","EXPECTED_REPORT_DT")</f>
        <v>#N/A Field Not Applicable</v>
      </c>
      <c r="AC96" s="15" t="e">
        <f>S96*H96*O96/N96</f>
        <v>#VALUE!</v>
      </c>
      <c r="AD96" s="48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100" t="s">
        <v>116</v>
      </c>
      <c r="I97" s="102" t="e">
        <f>I95-I96</f>
        <v>#VALUE!</v>
      </c>
      <c r="J97" s="100" t="s">
        <v>249</v>
      </c>
      <c r="K97" s="101" t="e">
        <f>K96/L95</f>
        <v>#VALUE!</v>
      </c>
      <c r="O97" s="164"/>
      <c r="P97" s="100" t="s">
        <v>250</v>
      </c>
      <c r="Q97" s="108" t="e">
        <f>Q95+Q96</f>
        <v>#VALUE!</v>
      </c>
      <c r="S97" s="100" t="s">
        <v>251</v>
      </c>
      <c r="T97" s="102">
        <f>T96-T95</f>
        <v>100</v>
      </c>
      <c r="W97" s="100" t="s">
        <v>252</v>
      </c>
      <c r="X97" s="122" t="e">
        <f>X95+X96</f>
        <v>#VALUE!</v>
      </c>
      <c r="Y97" s="13" t="e">
        <f>Y95+Y96</f>
        <v>#VALUE!</v>
      </c>
      <c r="AC97" s="100" t="s">
        <v>229</v>
      </c>
      <c r="AD97" s="122" t="e">
        <f>AD95</f>
        <v>#VALUE!</v>
      </c>
    </row>
    <row r="98" spans="1:38">
      <c r="H98" s="100" t="s">
        <v>253</v>
      </c>
      <c r="I98" s="102" t="e">
        <f>(T97-I97)/I97</f>
        <v>#VALUE!</v>
      </c>
      <c r="J98" s="100" t="s">
        <v>145</v>
      </c>
      <c r="K98" s="109" t="e">
        <f>AVERAGE(K95:L95)-AVERAGE(K96:L96)</f>
        <v>#DIV/0!</v>
      </c>
      <c r="O98" s="164"/>
      <c r="P98" s="100"/>
      <c r="Q98" s="108"/>
      <c r="S98" s="100"/>
      <c r="T98" s="102"/>
      <c r="W98" s="100"/>
      <c r="X98" s="122"/>
      <c r="Y98" s="13" t="e">
        <f>Y97/S95/O95</f>
        <v>#VALUE!</v>
      </c>
      <c r="AC98" s="100"/>
      <c r="AD98" s="104"/>
    </row>
    <row r="99" spans="1:38">
      <c r="I99" s="64" t="e">
        <f>I100+I94</f>
        <v>#VALUE!</v>
      </c>
      <c r="K99" s="167" t="e">
        <f>K95-K96</f>
        <v>#VALUE!</v>
      </c>
      <c r="L99" s="167" t="e">
        <f>L95-L96</f>
        <v>#VALUE!</v>
      </c>
      <c r="O99" s="164"/>
    </row>
    <row r="100" spans="1:38">
      <c r="B100" s="161" t="s">
        <v>260</v>
      </c>
      <c r="D100" s="161" t="str">
        <f>D101</f>
        <v>31/03/2025</v>
      </c>
      <c r="H100" s="161">
        <v>1</v>
      </c>
      <c r="I100" s="64" t="e">
        <f>I102-I101</f>
        <v>#VALUE!</v>
      </c>
      <c r="O100" s="164"/>
      <c r="P100" s="13" t="e">
        <f>P101+P102</f>
        <v>#VALUE!</v>
      </c>
    </row>
    <row r="101" spans="1:38">
      <c r="A101" s="98" t="s">
        <v>246</v>
      </c>
      <c r="B101" s="73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-302</v>
      </c>
      <c r="F101" t="s">
        <v>194</v>
      </c>
      <c r="G101" s="105" t="s">
        <v>247</v>
      </c>
      <c r="H101" s="96">
        <v>300</v>
      </c>
      <c r="I101" s="97" t="str">
        <f>IF(G101="Buy",L101,K101)</f>
        <v>#N/A Real Time</v>
      </c>
      <c r="J101" s="19" t="e">
        <f>I101/S101</f>
        <v>#VALUE!</v>
      </c>
      <c r="K101" s="36" t="str" cm="1">
        <f t="array" ref="K101">_xll.BDP($B101&amp;" Index","bid")</f>
        <v>#N/A Real Time</v>
      </c>
      <c r="L101" s="36" t="str" cm="1">
        <f t="array" ref="L101">_xll.BDP($B101&amp;" Index","ask")</f>
        <v>#N/A Real Time</v>
      </c>
      <c r="M101" s="40" t="e">
        <f>(L101/K101-1)</f>
        <v>#VALUE!</v>
      </c>
      <c r="N101" s="36" cm="1">
        <f t="array" ref="N101">_xll.BDP(F101&amp;" Curncy","PX_LAST")</f>
        <v>1</v>
      </c>
      <c r="O101" s="165">
        <v>50</v>
      </c>
      <c r="P101" s="15" t="e">
        <f>IF(G101="Buy",((I101/N101)*H101*O101),((I101/N101)*-H101*O101))</f>
        <v>#VALUE!</v>
      </c>
      <c r="Q101" s="58" t="e">
        <f>P101/'Master P&amp;L'!$AD$5*10000</f>
        <v>#VALUE!</v>
      </c>
      <c r="R101" s="37" t="e" cm="1">
        <f t="array" ref="R101">_xll.BDP($C101&amp;" Index","EST_PE_NXT_YR")*(T101/S101)</f>
        <v>#VALUE!</v>
      </c>
      <c r="S101" s="36" t="str" cm="1">
        <f t="array" ref="S101">_xll.BDP(C101&amp;" Index","LAST_PRICE")</f>
        <v>#N/A Real Time</v>
      </c>
      <c r="T101" s="53" cm="1">
        <f t="array" ref="T101">_xll.BDP(B101&amp;" Index","OPT_STRIKE_PX")</f>
        <v>6200</v>
      </c>
      <c r="U101" s="40" t="e">
        <f>T101/S101-1</f>
        <v>#VALUE!</v>
      </c>
      <c r="V101" s="37" t="str" cm="1">
        <f t="array" ref="V101">_xll.BDP($B101&amp;" Index","ivol_mid")</f>
        <v>#N/A Field Not Applicable</v>
      </c>
      <c r="W101" s="38" t="str" cm="1">
        <f t="array" ref="W101">_xll.BDP(B101&amp;" Index","DELTA_MID_RT")</f>
        <v>#N/A Real Time</v>
      </c>
      <c r="X101" s="48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6" t="e" cm="1">
        <f t="array" ref="AA101">_xll.BDP($B101&amp;" Index","opt_theta")/I101</f>
        <v>#VALUE!</v>
      </c>
      <c r="AB101" s="36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8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8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-302</v>
      </c>
      <c r="F102" t="s">
        <v>194</v>
      </c>
      <c r="G102" s="105" t="s">
        <v>248</v>
      </c>
      <c r="H102" s="96">
        <f>H101</f>
        <v>300</v>
      </c>
      <c r="I102" s="97" t="str">
        <f>IF(G102="Buy",L102,K102)</f>
        <v>#N/A Real Time</v>
      </c>
      <c r="J102" s="19" t="e">
        <f>I102/S102</f>
        <v>#VALUE!</v>
      </c>
      <c r="K102" s="36" t="str" cm="1">
        <f t="array" ref="K102">_xll.BDP($B102&amp;" Index","bid")</f>
        <v>#N/A Real Time</v>
      </c>
      <c r="L102" s="36" t="str" cm="1">
        <f t="array" ref="L102">_xll.BDP($B102&amp;" Index","ask")</f>
        <v>#N/A Real Time</v>
      </c>
      <c r="M102" s="40" t="e">
        <f>(L102/K102-1)</f>
        <v>#VALUE!</v>
      </c>
      <c r="N102" s="36" cm="1">
        <f t="array" ref="N102">_xll.BDP(F102&amp;" Curncy","PX_LAST")</f>
        <v>1</v>
      </c>
      <c r="O102" s="165">
        <v>50</v>
      </c>
      <c r="P102" s="15" t="e">
        <f>IF(G102="Buy",((I102/N102)*H102*O102),((I102/N102)*-H102*O102))</f>
        <v>#VALUE!</v>
      </c>
      <c r="Q102" s="58" t="e">
        <f>P102/'Master P&amp;L'!$AD$5*10000</f>
        <v>#VALUE!</v>
      </c>
      <c r="R102" s="37" t="e" cm="1">
        <f t="array" ref="R102">_xll.BDP($C102&amp;" Index","EST_PE_NXT_YR")*(T102/S102)</f>
        <v>#VALUE!</v>
      </c>
      <c r="S102" s="36" t="str" cm="1">
        <f t="array" ref="S102">_xll.BDP(C102&amp;" Index","LAST_PRICE")</f>
        <v>#N/A Real Time</v>
      </c>
      <c r="T102" s="53" cm="1">
        <f t="array" ref="T102">_xll.BDP(B102&amp;" Index","OPT_STRIKE_PX")</f>
        <v>6300</v>
      </c>
      <c r="U102" s="40" t="e">
        <f>T102/S102-1</f>
        <v>#VALUE!</v>
      </c>
      <c r="V102" s="37" t="str" cm="1">
        <f t="array" ref="V102">_xll.BDP($B102&amp;" Index","ivol_mid")</f>
        <v>#N/A Field Not Applicable</v>
      </c>
      <c r="W102" s="38" t="str" cm="1">
        <f t="array" ref="W102">_xll.BDP(B102&amp;" Index","DELTA_MID_RT")</f>
        <v>#N/A Real Time</v>
      </c>
      <c r="X102" s="48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6" t="e" cm="1">
        <f t="array" ref="AA102">_xll.BDP($B102&amp;" Index","opt_theta")/I102</f>
        <v>#VALUE!</v>
      </c>
      <c r="AB102" s="36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8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100" t="s">
        <v>116</v>
      </c>
      <c r="I103" s="102" t="e">
        <f>I101-I102</f>
        <v>#VALUE!</v>
      </c>
      <c r="J103" s="100" t="s">
        <v>249</v>
      </c>
      <c r="K103" s="101" t="e">
        <f>K102/L101</f>
        <v>#VALUE!</v>
      </c>
      <c r="P103" s="100" t="s">
        <v>250</v>
      </c>
      <c r="Q103" s="108" t="e">
        <f>Q101+Q102</f>
        <v>#VALUE!</v>
      </c>
      <c r="S103" s="100" t="s">
        <v>251</v>
      </c>
      <c r="T103" s="102">
        <f>T102-T101</f>
        <v>100</v>
      </c>
      <c r="W103" s="100" t="s">
        <v>252</v>
      </c>
      <c r="X103" s="122" t="e">
        <f>X101+X102</f>
        <v>#VALUE!</v>
      </c>
      <c r="Y103" s="13" t="e">
        <f>Y101+Y102</f>
        <v>#VALUE!</v>
      </c>
      <c r="AC103" s="100" t="s">
        <v>229</v>
      </c>
      <c r="AD103" s="122" t="e">
        <f>AD101</f>
        <v>#VALUE!</v>
      </c>
    </row>
    <row r="104" spans="1:38">
      <c r="H104" s="100" t="s">
        <v>253</v>
      </c>
      <c r="I104" s="102" t="e">
        <f>(T103-I103)/I103</f>
        <v>#VALUE!</v>
      </c>
      <c r="J104" s="100" t="s">
        <v>145</v>
      </c>
      <c r="K104" s="109" t="e">
        <f>AVERAGE(K101:L101)-AVERAGE(K102:L102)</f>
        <v>#DIV/0!</v>
      </c>
      <c r="P104" s="100"/>
      <c r="Q104" s="108"/>
      <c r="S104" s="100"/>
      <c r="T104" s="102"/>
      <c r="W104" s="100"/>
      <c r="X104" s="122"/>
      <c r="Y104" s="13" t="e">
        <f>Y103/S101/O101</f>
        <v>#VALUE!</v>
      </c>
      <c r="AC104" s="100"/>
      <c r="AD104" s="104"/>
    </row>
    <row r="105" spans="1:38">
      <c r="K105" s="167" t="e">
        <f>K101-K102</f>
        <v>#VALUE!</v>
      </c>
      <c r="L105" s="167" t="e">
        <f>L101-L102</f>
        <v>#VALUE!</v>
      </c>
      <c r="X105"/>
      <c r="AL105"/>
    </row>
    <row r="106" spans="1:38">
      <c r="K106" s="64" t="e">
        <f>K99-K105</f>
        <v>#VALUE!</v>
      </c>
      <c r="L106" s="64" t="e">
        <f>L99-L105</f>
        <v>#VALUE!</v>
      </c>
      <c r="X106"/>
      <c r="AL106"/>
    </row>
    <row r="107" spans="1:38">
      <c r="B107" s="166" t="s">
        <v>265</v>
      </c>
      <c r="D107" s="166" t="str">
        <f>D108</f>
        <v>22/11/2024</v>
      </c>
      <c r="H107" s="166">
        <v>1</v>
      </c>
    </row>
    <row r="108" spans="1:38">
      <c r="A108" s="98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-431</v>
      </c>
      <c r="F108" t="str" cm="1">
        <f t="array" ref="F108">_xll.BDP(B108&amp;" Index","QUOTED_CURRENCY_REALTIME")</f>
        <v>#N/A Real Time</v>
      </c>
      <c r="G108" s="105" t="s">
        <v>247</v>
      </c>
      <c r="H108" s="96">
        <v>36</v>
      </c>
      <c r="I108" s="97" t="str">
        <f>IF(G108="Buy",L108,K108)</f>
        <v>#N/A Real Time</v>
      </c>
      <c r="J108" s="19" t="e">
        <f>I108/S108</f>
        <v>#VALUE!</v>
      </c>
      <c r="K108" s="36" t="str" cm="1">
        <f t="array" ref="K108">_xll.BDP($B108&amp;" Index","bid")</f>
        <v>#N/A Real Time</v>
      </c>
      <c r="L108" s="36" t="str" cm="1">
        <f t="array" ref="L108">_xll.BDP($B108&amp;" Index","ask")</f>
        <v>#N/A Real Time</v>
      </c>
      <c r="M108" s="40" t="e">
        <f>(L108/K108-1)</f>
        <v>#VALUE!</v>
      </c>
      <c r="N108" s="36" t="str">
        <f>_xll.BDP(F108&amp;" Curncy","PX_LAST")</f>
        <v>#N/A Real Time Curncy</v>
      </c>
      <c r="O108" s="165">
        <v>20</v>
      </c>
      <c r="P108" s="15" t="e">
        <f>IF(G108="Buy",((I108/N108)*H108*O108),((I108/N108)*-H108*O108))</f>
        <v>#VALUE!</v>
      </c>
      <c r="Q108" s="58" t="e">
        <f>P108/'Master P&amp;L'!$AD$5*10000</f>
        <v>#VALUE!</v>
      </c>
      <c r="R108" s="37" t="e" cm="1">
        <f t="array" ref="R108">_xll.BDP($C108&amp;" Index","EST_PE_NXT_YR")*(T108/S108)</f>
        <v>#VALUE!</v>
      </c>
      <c r="S108" s="36" t="str" cm="1">
        <f t="array" ref="S108">_xll.BDP(C108&amp;" Index","LAST_PRICE")</f>
        <v>#N/A Real Time</v>
      </c>
      <c r="T108" s="53" cm="1">
        <f t="array" ref="T108">_xll.BDP(B108&amp;" Index","OPT_STRIKE_PX")</f>
        <v>20500</v>
      </c>
      <c r="U108" s="40" t="e">
        <f>T108/S108-1</f>
        <v>#VALUE!</v>
      </c>
      <c r="V108" s="37" t="str" cm="1">
        <f t="array" ref="V108">_xll.BDP($B108&amp;" Index","ivol_mid")</f>
        <v>#N/A Field Not Applicable</v>
      </c>
      <c r="W108" s="38" t="str" cm="1">
        <f t="array" ref="W108">_xll.BDP(B108&amp;" Index","DELTA_MID_RT")</f>
        <v>#N/A Real Time</v>
      </c>
      <c r="X108" s="48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6" t="e" cm="1">
        <f t="array" ref="AA108">_xll.BDP($B108&amp;" Index","opt_theta")/I108</f>
        <v>#VALUE!</v>
      </c>
      <c r="AB108" s="36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8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8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-375</v>
      </c>
      <c r="F109" t="str" cm="1">
        <f t="array" ref="F109">_xll.BDP(B109&amp;" Index","QUOTED_CURRENCY_REALTIME")</f>
        <v>#N/A Real Time</v>
      </c>
      <c r="G109" s="105" t="s">
        <v>248</v>
      </c>
      <c r="H109" s="96">
        <f>H108/2</f>
        <v>18</v>
      </c>
      <c r="I109" s="97" t="str">
        <f>IF(G109="Buy",L109,K109)</f>
        <v>#N/A Real Time</v>
      </c>
      <c r="J109" s="19" t="e">
        <f>I109/S109</f>
        <v>#VALUE!</v>
      </c>
      <c r="K109" s="36" t="str" cm="1">
        <f t="array" ref="K109">_xll.BDP($B109&amp;" Index","bid")</f>
        <v>#N/A Real Time</v>
      </c>
      <c r="L109" s="36" t="str" cm="1">
        <f t="array" ref="L109">_xll.BDP($B109&amp;" Index","ask")</f>
        <v>#N/A Real Time</v>
      </c>
      <c r="M109" s="40" t="e">
        <f>(L109/K109-1)</f>
        <v>#VALUE!</v>
      </c>
      <c r="N109" s="36" t="str">
        <f>_xll.BDP(F109&amp;" Curncy","PX_LAST")</f>
        <v>#N/A Real Time Curncy</v>
      </c>
      <c r="O109" s="165">
        <v>20</v>
      </c>
      <c r="P109" s="15" t="e">
        <f>IF(G109="Buy",((I109/N109)*H109*O109),((I109/N109)*-H109*O109))</f>
        <v>#VALUE!</v>
      </c>
      <c r="Q109" s="58" t="e">
        <f>P109/'Master P&amp;L'!$AD$5*10000</f>
        <v>#VALUE!</v>
      </c>
      <c r="R109" s="37" t="e" cm="1">
        <f t="array" ref="R109">_xll.BDP($C109&amp;" Index","EST_PE_NXT_YR")*(T109/S109)</f>
        <v>#VALUE!</v>
      </c>
      <c r="S109" s="36" t="str" cm="1">
        <f t="array" ref="S109">_xll.BDP(C109&amp;" Index","LAST_PRICE")</f>
        <v>#N/A Real Time</v>
      </c>
      <c r="T109" s="53" cm="1">
        <f t="array" ref="T109">_xll.BDP(B109&amp;" Index","OPT_STRIKE_PX")</f>
        <v>22500</v>
      </c>
      <c r="U109" s="40" t="e">
        <f>T109/S109-1</f>
        <v>#VALUE!</v>
      </c>
      <c r="V109" s="37" t="str" cm="1">
        <f t="array" ref="V109">_xll.BDP($B109&amp;" Index","ivol_mid")</f>
        <v>#N/A Field Not Applicable</v>
      </c>
      <c r="W109" s="38" t="str" cm="1">
        <f t="array" ref="W109">_xll.BDP(B109&amp;" Index","DELTA_MID_RT")</f>
        <v>#N/A Real Time</v>
      </c>
      <c r="X109" s="48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6" t="e" cm="1">
        <f t="array" ref="AA109">_xll.BDP($B109&amp;" Index","opt_theta")/I109</f>
        <v>#VALUE!</v>
      </c>
      <c r="AB109" s="36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8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100" t="s">
        <v>116</v>
      </c>
      <c r="I110" s="102" t="e">
        <f>I108-I109</f>
        <v>#VALUE!</v>
      </c>
      <c r="J110" s="100" t="s">
        <v>249</v>
      </c>
      <c r="K110" s="101" t="e">
        <f>K109/L108</f>
        <v>#VALUE!</v>
      </c>
      <c r="P110" s="100" t="s">
        <v>250</v>
      </c>
      <c r="Q110" s="108" t="e">
        <f>Q108+Q109</f>
        <v>#VALUE!</v>
      </c>
      <c r="S110" s="100" t="s">
        <v>251</v>
      </c>
      <c r="T110" s="102">
        <f>T109-T108</f>
        <v>2000</v>
      </c>
      <c r="W110" s="100" t="s">
        <v>252</v>
      </c>
      <c r="X110" s="122" t="e">
        <f>X108+X109</f>
        <v>#VALUE!</v>
      </c>
      <c r="Y110" s="13" t="e">
        <f>Y108+Y109</f>
        <v>#VALUE!</v>
      </c>
      <c r="AC110" s="100" t="s">
        <v>229</v>
      </c>
      <c r="AD110" s="122" t="e">
        <f>AD108</f>
        <v>#VALUE!</v>
      </c>
    </row>
    <row r="111" spans="1:38">
      <c r="H111" s="100" t="s">
        <v>253</v>
      </c>
      <c r="I111" s="102" t="e">
        <f>(T110-I110)/I110</f>
        <v>#VALUE!</v>
      </c>
      <c r="J111" s="100" t="s">
        <v>145</v>
      </c>
      <c r="K111" s="109" t="e">
        <f>AVERAGE(K108:L108)-AVERAGE(K109:L109)</f>
        <v>#DIV/0!</v>
      </c>
      <c r="P111" s="100"/>
      <c r="Q111" s="108"/>
      <c r="S111" s="100"/>
      <c r="T111" s="102"/>
      <c r="W111" s="100"/>
      <c r="X111" s="122"/>
      <c r="Y111" s="13" t="e">
        <f>Y110/S108</f>
        <v>#VALUE!</v>
      </c>
      <c r="AC111" s="100"/>
      <c r="AD111" s="104"/>
    </row>
    <row r="114" spans="1:33">
      <c r="B114" s="166" t="s">
        <v>265</v>
      </c>
      <c r="D114" s="166" t="str">
        <f>D115</f>
        <v>23/05/2025</v>
      </c>
      <c r="H114" s="166">
        <v>1</v>
      </c>
    </row>
    <row r="115" spans="1:33">
      <c r="A115" s="98" t="s">
        <v>246</v>
      </c>
      <c r="B115" t="s">
        <v>1674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-249</v>
      </c>
      <c r="F115" t="str" cm="1">
        <f t="array" ref="F115">_xll.BDP(B115&amp;" Index","QUOTED_CURRENCY_REALTIME")</f>
        <v>#N/A Real Time</v>
      </c>
      <c r="G115" s="105" t="s">
        <v>247</v>
      </c>
      <c r="H115" s="96">
        <v>50</v>
      </c>
      <c r="I115" s="97" t="str">
        <f>IF(G115="Buy",L115,K115)</f>
        <v>#N/A Real Time</v>
      </c>
      <c r="J115" s="19" t="e">
        <f>I115/S115</f>
        <v>#VALUE!</v>
      </c>
      <c r="K115" s="36" t="str" cm="1">
        <f t="array" ref="K115">_xll.BDP($B115&amp;" Index","bid")</f>
        <v>#N/A Real Time</v>
      </c>
      <c r="L115" s="36" t="str" cm="1">
        <f t="array" ref="L115">_xll.BDP($B115&amp;" Index","ask")</f>
        <v>#N/A Real Time</v>
      </c>
      <c r="M115" s="40" t="e">
        <f>(L115/K115-1)</f>
        <v>#VALUE!</v>
      </c>
      <c r="N115" s="36" t="str">
        <f>_xll.BDP(F115&amp;" Curncy","PX_LAST")</f>
        <v>#N/A Real Time Curncy</v>
      </c>
      <c r="O115" s="165">
        <v>20</v>
      </c>
      <c r="P115" s="15" t="e">
        <f>IF(G115="Buy",((I115/N115)*H115*O115),((I115/N115)*-H115*O115))</f>
        <v>#VALUE!</v>
      </c>
      <c r="Q115" s="58" t="e">
        <f>P115/'Master P&amp;L'!$AD$5*10000</f>
        <v>#VALUE!</v>
      </c>
      <c r="R115" s="37" t="e" cm="1">
        <f t="array" ref="R115">_xll.BDP($C115&amp;" Index","EST_PE_NXT_YR")*(T115/S115)</f>
        <v>#VALUE!</v>
      </c>
      <c r="S115" s="36" t="str" cm="1">
        <f t="array" ref="S115">_xll.BDP(C115&amp;" Index","LAST_PRICE")</f>
        <v>#N/A Real Time</v>
      </c>
      <c r="T115" s="53" cm="1">
        <f t="array" ref="T115">_xll.BDP(B115&amp;" Index","OPT_STRIKE_PX")</f>
        <v>21300</v>
      </c>
      <c r="U115" s="40" t="e">
        <f>T115/S115-1</f>
        <v>#VALUE!</v>
      </c>
      <c r="V115" s="37" t="str" cm="1">
        <f t="array" ref="V115">_xll.BDP($B115&amp;" Index","ivol_mid")</f>
        <v>#N/A Field Not Applicable</v>
      </c>
      <c r="W115" s="38" t="str" cm="1">
        <f t="array" ref="W115">_xll.BDP(B115&amp;" Index","DELTA_MID_RT")</f>
        <v>#N/A Real Time</v>
      </c>
      <c r="X115" s="48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6" t="e" cm="1">
        <f t="array" ref="AA115">_xll.BDP($B115&amp;" Index","opt_theta")/I115</f>
        <v>#VALUE!</v>
      </c>
      <c r="AB115" s="36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8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8" t="s">
        <v>254</v>
      </c>
      <c r="B116" t="s">
        <v>1673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-249</v>
      </c>
      <c r="F116" t="str" cm="1">
        <f t="array" ref="F116">_xll.BDP(B116&amp;" Index","QUOTED_CURRENCY_REALTIME")</f>
        <v>#N/A Real Time</v>
      </c>
      <c r="G116" s="105" t="s">
        <v>248</v>
      </c>
      <c r="H116" s="96">
        <f>H115/H114</f>
        <v>50</v>
      </c>
      <c r="I116" s="97" t="str">
        <f>IF(G116="Buy",L116,K116)</f>
        <v>#N/A Real Time</v>
      </c>
      <c r="J116" s="19" t="e">
        <f>I116/S116</f>
        <v>#VALUE!</v>
      </c>
      <c r="K116" s="36" t="str" cm="1">
        <f t="array" ref="K116">_xll.BDP($B116&amp;" Index","bid")</f>
        <v>#N/A Real Time</v>
      </c>
      <c r="L116" s="36" t="str" cm="1">
        <f t="array" ref="L116">_xll.BDP($B116&amp;" Index","ask")</f>
        <v>#N/A Real Time</v>
      </c>
      <c r="M116" s="40" t="e">
        <f>(L116/K116-1)</f>
        <v>#VALUE!</v>
      </c>
      <c r="N116" s="36" t="str">
        <f>_xll.BDP(F116&amp;" Curncy","PX_LAST")</f>
        <v>#N/A Real Time Curncy</v>
      </c>
      <c r="O116" s="165">
        <v>20</v>
      </c>
      <c r="P116" s="15" t="e">
        <f>IF(G116="Buy",((I116/N116)*H116*O116),((I116/N116)*-H116*O116))</f>
        <v>#VALUE!</v>
      </c>
      <c r="Q116" s="58" t="e">
        <f>P116/'Master P&amp;L'!$AD$5*10000</f>
        <v>#VALUE!</v>
      </c>
      <c r="R116" s="37" t="e" cm="1">
        <f t="array" ref="R116">_xll.BDP($C116&amp;" Index","EST_PE_NXT_YR")*(T116/S116)</f>
        <v>#VALUE!</v>
      </c>
      <c r="S116" s="36" t="str" cm="1">
        <f t="array" ref="S116">_xll.BDP(C116&amp;" Index","LAST_PRICE")</f>
        <v>#N/A Real Time</v>
      </c>
      <c r="T116" s="53" cm="1">
        <f t="array" ref="T116">_xll.BDP(B116&amp;" Index","OPT_STRIKE_PX")</f>
        <v>21650</v>
      </c>
      <c r="U116" s="40" t="e">
        <f>T116/S116-1</f>
        <v>#VALUE!</v>
      </c>
      <c r="V116" s="37" t="str" cm="1">
        <f t="array" ref="V116">_xll.BDP($B116&amp;" Index","ivol_mid")</f>
        <v>#N/A Field Not Applicable</v>
      </c>
      <c r="W116" s="38" t="str" cm="1">
        <f t="array" ref="W116">_xll.BDP(B116&amp;" Index","DELTA_MID_RT")</f>
        <v>#N/A Real Time</v>
      </c>
      <c r="X116" s="48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6" t="e" cm="1">
        <f t="array" ref="AA116">_xll.BDP($B116&amp;" Index","opt_theta")/I116</f>
        <v>#VALUE!</v>
      </c>
      <c r="AB116" s="36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8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100" t="s">
        <v>116</v>
      </c>
      <c r="I117" s="102" t="e">
        <f>I115-I116</f>
        <v>#VALUE!</v>
      </c>
      <c r="J117" s="100" t="s">
        <v>249</v>
      </c>
      <c r="K117" s="101" t="e">
        <f>K116/L115</f>
        <v>#VALUE!</v>
      </c>
      <c r="P117" s="100" t="s">
        <v>250</v>
      </c>
      <c r="Q117" s="108" t="e">
        <f>Q115+Q116</f>
        <v>#VALUE!</v>
      </c>
      <c r="S117" s="100" t="s">
        <v>251</v>
      </c>
      <c r="T117" s="102">
        <f>T116-T115</f>
        <v>350</v>
      </c>
      <c r="W117" s="100" t="s">
        <v>252</v>
      </c>
      <c r="X117" s="122" t="e">
        <f>X115+X116</f>
        <v>#VALUE!</v>
      </c>
      <c r="Y117" s="13" t="e">
        <f>Y115+Y116</f>
        <v>#VALUE!</v>
      </c>
      <c r="AC117" s="100" t="s">
        <v>229</v>
      </c>
      <c r="AD117" s="122" t="e">
        <f>AD115</f>
        <v>#VALUE!</v>
      </c>
    </row>
    <row r="118" spans="1:33">
      <c r="H118" s="100" t="s">
        <v>253</v>
      </c>
      <c r="I118" s="102" t="e">
        <f>(T117-I117)/I117</f>
        <v>#VALUE!</v>
      </c>
      <c r="J118" s="100" t="s">
        <v>145</v>
      </c>
      <c r="K118" s="109" t="e">
        <f>AVERAGE(K115:L115)-AVERAGE(K116:L116)</f>
        <v>#DIV/0!</v>
      </c>
      <c r="P118" s="100"/>
      <c r="Q118" s="108"/>
      <c r="S118" s="100"/>
      <c r="T118" s="102"/>
      <c r="W118" s="100"/>
      <c r="X118" s="122"/>
      <c r="Y118" s="13" t="e">
        <f>Y117/S115</f>
        <v>#VALUE!</v>
      </c>
      <c r="AC118" s="100"/>
      <c r="AD118" s="104"/>
    </row>
    <row r="119" spans="1:33">
      <c r="I119">
        <f>150-52</f>
        <v>98</v>
      </c>
    </row>
    <row r="121" spans="1:33">
      <c r="B121" s="168" t="s">
        <v>268</v>
      </c>
      <c r="D121" s="168" t="str">
        <f>D122</f>
        <v>19/12/2024</v>
      </c>
      <c r="H121" s="168">
        <v>1</v>
      </c>
      <c r="O121" s="164"/>
      <c r="S121" s="64"/>
    </row>
    <row r="122" spans="1:33">
      <c r="A122" s="98" t="s">
        <v>246</v>
      </c>
      <c r="B122" s="132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-404</v>
      </c>
      <c r="F122" t="str" cm="1">
        <f t="array" ref="F122">_xll.BDP(B122&amp;" Index","QUOTED_CURRENCY_REALTIME")</f>
        <v>#N/A Real Time</v>
      </c>
      <c r="G122" s="105" t="s">
        <v>247</v>
      </c>
      <c r="H122" s="96">
        <v>35</v>
      </c>
      <c r="I122" s="97" t="str">
        <f>IF(G122="Buy",L122,K122)</f>
        <v>#N/A Real Time</v>
      </c>
      <c r="J122" s="19" t="e">
        <f>I122/S122</f>
        <v>#VALUE!</v>
      </c>
      <c r="K122" s="36" t="str" cm="1">
        <f t="array" ref="K122">_xll.BDP($B122&amp;" Index","bid")</f>
        <v>#N/A Real Time</v>
      </c>
      <c r="L122" s="36" t="str" cm="1">
        <f t="array" ref="L122">_xll.BDP($B122&amp;" Index","ask")</f>
        <v>#N/A Real Time</v>
      </c>
      <c r="M122" s="40" t="e">
        <f>(L122/K122-1)</f>
        <v>#VALUE!</v>
      </c>
      <c r="N122" s="36" t="str">
        <f>_xll.BDP(F122&amp;" Curncy","PX_LAST")</f>
        <v>#N/A Real Time Curncy</v>
      </c>
      <c r="O122" s="165">
        <v>50</v>
      </c>
      <c r="P122" s="15" t="e">
        <f>IF(G122="Buy",((I122/N122)*H122*O122),((I122/N122)*-H122*O122))</f>
        <v>#VALUE!</v>
      </c>
      <c r="Q122" s="58" t="e">
        <f>P122/'Master P&amp;L'!$AD$5*10000</f>
        <v>#VALUE!</v>
      </c>
      <c r="R122" s="37" t="e" cm="1">
        <f t="array" ref="R122">_xll.BDP($C122&amp;" Index","EST_PE_NXT_YR")*(T122/S122)</f>
        <v>#VALUE!</v>
      </c>
      <c r="S122" s="36" t="str" cm="1">
        <f t="array" ref="S122">_xll.BDP(C122&amp;" Index","LAST_PRICE")</f>
        <v>#N/A Real Time</v>
      </c>
      <c r="T122" s="53" cm="1">
        <f t="array" ref="T122">_xll.BDP(B122&amp;" Index","OPT_STRIKE_PX")</f>
        <v>2360</v>
      </c>
      <c r="U122" s="40" t="e">
        <f>T122/S122-1</f>
        <v>#VALUE!</v>
      </c>
      <c r="V122" s="37" t="str" cm="1">
        <f t="array" ref="V122">_xll.BDP($B122&amp;" Index","ivol_mid")</f>
        <v>#N/A Field Not Applicable</v>
      </c>
      <c r="W122" s="38" t="str" cm="1">
        <f t="array" ref="W122">_xll.BDP(B122&amp;" Index","DELTA_MID_RT")</f>
        <v>#N/A Real Time</v>
      </c>
      <c r="X122" s="48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6" t="e" cm="1">
        <f t="array" ref="AA122">_xll.BDP($B122&amp;" Index","opt_theta")/I122</f>
        <v>#VALUE!</v>
      </c>
      <c r="AB122" s="36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8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8" t="s">
        <v>246</v>
      </c>
      <c r="B123" s="132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-404</v>
      </c>
      <c r="F123" t="str" cm="1">
        <f t="array" ref="F123">_xll.BDP(B123&amp;" Index","QUOTED_CURRENCY_REALTIME")</f>
        <v>#N/A Real Time</v>
      </c>
      <c r="G123" s="105" t="s">
        <v>248</v>
      </c>
      <c r="H123" s="96">
        <f>H122/H121</f>
        <v>35</v>
      </c>
      <c r="I123" s="97" t="str">
        <f>IF(G123="Buy",L123,K123)</f>
        <v>#N/A Real Time</v>
      </c>
      <c r="J123" s="19" t="e">
        <f>I123/S123</f>
        <v>#VALUE!</v>
      </c>
      <c r="K123" s="36" t="str" cm="1">
        <f t="array" ref="K123">_xll.BDP($B123&amp;" Index","bid")</f>
        <v>#N/A Real Time</v>
      </c>
      <c r="L123" s="36" t="str" cm="1">
        <f t="array" ref="L123">_xll.BDP($B123&amp;" Index","ask")</f>
        <v>#N/A Real Time</v>
      </c>
      <c r="M123" s="40" t="e">
        <f>(L123/K123-1)</f>
        <v>#VALUE!</v>
      </c>
      <c r="N123" s="36" t="str">
        <f>_xll.BDP(F123&amp;" Curncy","PX_LAST")</f>
        <v>#N/A Real Time Curncy</v>
      </c>
      <c r="O123" s="165">
        <v>50</v>
      </c>
      <c r="P123" s="15" t="e">
        <f>IF(G123="Buy",((I123/N123)*H123*O123),((I123/N123)*-H123*O123))</f>
        <v>#VALUE!</v>
      </c>
      <c r="Q123" s="58" t="e">
        <f>P123/'Master P&amp;L'!$AD$5*10000</f>
        <v>#VALUE!</v>
      </c>
      <c r="R123" s="37" t="e" cm="1">
        <f t="array" ref="R123">_xll.BDP($C123&amp;" Index","EST_PE_NXT_YR")*(T123/S123)</f>
        <v>#VALUE!</v>
      </c>
      <c r="S123" s="36" t="str" cm="1">
        <f t="array" ref="S123">_xll.BDP(C123&amp;" Index","LAST_PRICE")</f>
        <v>#N/A Real Time</v>
      </c>
      <c r="T123" s="53" cm="1">
        <f t="array" ref="T123">_xll.BDP(B123&amp;" Index","OPT_STRIKE_PX")</f>
        <v>2400</v>
      </c>
      <c r="U123" s="40" t="e">
        <f>T123/S123-1</f>
        <v>#VALUE!</v>
      </c>
      <c r="V123" s="37" t="str" cm="1">
        <f t="array" ref="V123">_xll.BDP($B123&amp;" Index","ivol_mid")</f>
        <v>#N/A Field Not Applicable</v>
      </c>
      <c r="W123" s="38" t="str" cm="1">
        <f t="array" ref="W123">_xll.BDP(B123&amp;" Index","DELTA_MID_RT")</f>
        <v>#N/A Real Time</v>
      </c>
      <c r="X123" s="48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6" t="e" cm="1">
        <f t="array" ref="AA123">_xll.BDP($B123&amp;" Index","opt_theta")/I123</f>
        <v>#VALUE!</v>
      </c>
      <c r="AB123" s="36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8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100" t="s">
        <v>116</v>
      </c>
      <c r="I124" s="102" t="e">
        <f>I122-I123</f>
        <v>#VALUE!</v>
      </c>
      <c r="J124" s="100" t="s">
        <v>249</v>
      </c>
      <c r="K124" s="101" t="e">
        <f>K123/L122</f>
        <v>#VALUE!</v>
      </c>
      <c r="O124" s="164"/>
      <c r="P124" s="100" t="s">
        <v>250</v>
      </c>
      <c r="Q124" s="108" t="e">
        <f>Q122+Q123</f>
        <v>#VALUE!</v>
      </c>
      <c r="S124" s="100" t="s">
        <v>251</v>
      </c>
      <c r="T124" s="102">
        <f>T123-T122</f>
        <v>40</v>
      </c>
      <c r="W124" s="100" t="s">
        <v>252</v>
      </c>
      <c r="X124" s="122" t="e">
        <f>X122+X123</f>
        <v>#VALUE!</v>
      </c>
      <c r="Y124" s="13" t="e">
        <f>Y122+Y123</f>
        <v>#VALUE!</v>
      </c>
      <c r="AC124" s="100" t="s">
        <v>229</v>
      </c>
      <c r="AD124" s="122" t="e">
        <f>AD122</f>
        <v>#VALUE!</v>
      </c>
    </row>
    <row r="125" spans="1:33">
      <c r="H125" s="100" t="s">
        <v>253</v>
      </c>
      <c r="I125" s="102" t="e">
        <f>(T124-I124)/I124</f>
        <v>#VALUE!</v>
      </c>
      <c r="J125" s="100" t="s">
        <v>145</v>
      </c>
      <c r="K125" s="109" t="e">
        <f>AVERAGE(K122:L122)-AVERAGE(K123:L123)</f>
        <v>#DIV/0!</v>
      </c>
      <c r="O125" s="164"/>
      <c r="P125" s="100"/>
      <c r="Q125" s="108"/>
      <c r="S125" s="100"/>
      <c r="T125" s="102"/>
      <c r="W125" s="100"/>
      <c r="X125" s="122"/>
      <c r="Y125" s="13" t="e">
        <f>Y124/S122</f>
        <v>#VALUE!</v>
      </c>
      <c r="AC125" s="100"/>
      <c r="AD125" s="104"/>
    </row>
    <row r="126" spans="1:33">
      <c r="K126" s="167" t="e">
        <f>K122-K123</f>
        <v>#VALUE!</v>
      </c>
      <c r="L126" s="167" t="e">
        <f>L122-L123</f>
        <v>#VALUE!</v>
      </c>
      <c r="O126" s="164"/>
    </row>
    <row r="128" spans="1:33">
      <c r="B128" s="168" t="s">
        <v>268</v>
      </c>
      <c r="D128" s="168" t="str">
        <f>D129</f>
        <v>23/12/2024</v>
      </c>
      <c r="H128" s="168">
        <v>1</v>
      </c>
      <c r="O128" s="164"/>
      <c r="S128" s="64"/>
    </row>
    <row r="129" spans="1:33">
      <c r="A129" s="98" t="s">
        <v>246</v>
      </c>
      <c r="B129" s="132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-400</v>
      </c>
      <c r="F129" t="str" cm="1">
        <f t="array" ref="F129">_xll.BDP(B129&amp;" Index","QUOTED_CURRENCY_REALTIME")</f>
        <v>#N/A Real Time</v>
      </c>
      <c r="G129" s="105" t="s">
        <v>247</v>
      </c>
      <c r="H129" s="96">
        <v>10</v>
      </c>
      <c r="I129" s="97" t="str">
        <f>IF(G129="Buy",L129,K129)</f>
        <v>#N/A Real Time</v>
      </c>
      <c r="J129" s="19" t="e">
        <f>I129/S129</f>
        <v>#VALUE!</v>
      </c>
      <c r="K129" s="36" t="str" cm="1">
        <f t="array" ref="K129">_xll.BDP($B129&amp;" Index","bid")</f>
        <v>#N/A Real Time</v>
      </c>
      <c r="L129" s="36" t="str" cm="1">
        <f t="array" ref="L129">_xll.BDP($B129&amp;" Index","ask")</f>
        <v>#N/A Real Time</v>
      </c>
      <c r="M129" s="40" t="e">
        <f>(L129/K129-1)</f>
        <v>#VALUE!</v>
      </c>
      <c r="N129" s="36" t="str">
        <f>_xll.BDP(F129&amp;" Curncy","PX_LAST")</f>
        <v>#N/A Real Time Curncy</v>
      </c>
      <c r="O129" s="165">
        <v>50</v>
      </c>
      <c r="P129" s="15" t="e">
        <f>IF(G129="Buy",((I129/N129)*H129*O129),((I129/N129)*-H129*O129))</f>
        <v>#VALUE!</v>
      </c>
      <c r="Q129" s="58" t="e">
        <f>P129/'Master P&amp;L'!$AD$5*10000</f>
        <v>#VALUE!</v>
      </c>
      <c r="R129" s="37" t="e" cm="1">
        <f t="array" ref="R129">_xll.BDP($C129&amp;" Index","EST_PE_NXT_YR")*(T129/S129)</f>
        <v>#VALUE!</v>
      </c>
      <c r="S129" s="36" t="str" cm="1">
        <f t="array" ref="S129">_xll.BDP(C129&amp;" Index","LAST_PRICE")</f>
        <v>#N/A Real Time</v>
      </c>
      <c r="T129" s="53" cm="1">
        <f t="array" ref="T129">_xll.BDP(B129&amp;" Index","OPT_STRIKE_PX")</f>
        <v>2390</v>
      </c>
      <c r="U129" s="40" t="e">
        <f>T129/S129-1</f>
        <v>#VALUE!</v>
      </c>
      <c r="V129" s="37" t="str" cm="1">
        <f t="array" ref="V129">_xll.BDP($B129&amp;" Index","ivol_mid")</f>
        <v>#N/A Field Not Applicable</v>
      </c>
      <c r="W129" s="38" t="str" cm="1">
        <f t="array" ref="W129">_xll.BDP(B129&amp;" Index","DELTA_MID_RT")</f>
        <v>#N/A Real Time</v>
      </c>
      <c r="X129" s="48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6" t="e" cm="1">
        <f t="array" ref="AA129">_xll.BDP($B129&amp;" Index","opt_theta")/I129</f>
        <v>#VALUE!</v>
      </c>
      <c r="AB129" s="36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8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8"/>
      <c r="B130" s="132"/>
      <c r="G130" s="105"/>
      <c r="H130" s="96"/>
      <c r="I130" s="97"/>
      <c r="J130" s="19"/>
      <c r="K130" s="36"/>
      <c r="L130" s="36"/>
      <c r="M130" s="40"/>
      <c r="N130" s="36"/>
      <c r="O130" s="165"/>
      <c r="P130" s="15"/>
      <c r="Q130" s="58"/>
      <c r="R130" s="37"/>
      <c r="S130" s="36"/>
      <c r="T130" s="53"/>
      <c r="U130" s="40"/>
      <c r="V130" s="37"/>
      <c r="W130" s="38"/>
      <c r="X130" s="48"/>
      <c r="Y130" s="15"/>
      <c r="Z130" s="15"/>
      <c r="AA130" s="126"/>
      <c r="AB130" s="36"/>
      <c r="AC130" s="15"/>
      <c r="AD130" s="48"/>
    </row>
    <row r="131" spans="1:33">
      <c r="H131" s="100" t="s">
        <v>116</v>
      </c>
      <c r="I131" s="102" t="e">
        <f>I129-I130</f>
        <v>#VALUE!</v>
      </c>
      <c r="J131" s="100" t="s">
        <v>249</v>
      </c>
      <c r="K131" s="101" t="e">
        <f>K130/L129</f>
        <v>#VALUE!</v>
      </c>
      <c r="O131" s="164"/>
      <c r="P131" s="100" t="s">
        <v>250</v>
      </c>
      <c r="Q131" s="108" t="e">
        <f>Q129+Q130</f>
        <v>#VALUE!</v>
      </c>
      <c r="S131" s="100" t="s">
        <v>251</v>
      </c>
      <c r="T131" s="102">
        <f>T130-T129</f>
        <v>-2390</v>
      </c>
      <c r="W131" s="100" t="s">
        <v>252</v>
      </c>
      <c r="X131" s="122" t="e">
        <f>X129+X130</f>
        <v>#VALUE!</v>
      </c>
      <c r="Y131" s="13" t="e">
        <f>Y129+Y130</f>
        <v>#VALUE!</v>
      </c>
      <c r="AC131" s="100" t="s">
        <v>229</v>
      </c>
      <c r="AD131" s="122" t="e">
        <f>AD129</f>
        <v>#VALUE!</v>
      </c>
    </row>
    <row r="132" spans="1:33">
      <c r="H132" s="100" t="s">
        <v>253</v>
      </c>
      <c r="I132" s="102" t="e">
        <f>(T131-I131)/I131</f>
        <v>#VALUE!</v>
      </c>
      <c r="J132" s="100" t="s">
        <v>145</v>
      </c>
      <c r="K132" s="109" t="e">
        <f>AVERAGE(K129:L129)-AVERAGE(K130:L130)</f>
        <v>#DIV/0!</v>
      </c>
      <c r="O132" s="164"/>
      <c r="P132" s="100"/>
      <c r="Q132" s="108"/>
      <c r="S132" s="100"/>
      <c r="T132" s="102"/>
      <c r="W132" s="100"/>
      <c r="X132" s="122"/>
      <c r="Y132" s="13" t="e">
        <f>Y131/S129</f>
        <v>#VALUE!</v>
      </c>
      <c r="AC132" s="100"/>
      <c r="AD132" s="104"/>
    </row>
    <row r="133" spans="1:33">
      <c r="K133" s="167" t="e">
        <f>K129-K130</f>
        <v>#VALUE!</v>
      </c>
      <c r="L133" s="167" t="e">
        <f>L129-L130</f>
        <v>#VALUE!</v>
      </c>
      <c r="O133" s="164"/>
    </row>
    <row r="135" spans="1:33">
      <c r="H135">
        <v>0.5</v>
      </c>
      <c r="K135" t="e">
        <f>K137/L138</f>
        <v>#VALUE!</v>
      </c>
    </row>
    <row r="136" spans="1:33">
      <c r="A136" s="98" t="s">
        <v>256</v>
      </c>
      <c r="B136" s="59" t="s">
        <v>1732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-214</v>
      </c>
      <c r="F136" t="str" cm="1">
        <f t="array" ref="F136">_xll.BDP(B136&amp;" Index","QUOTED_CURRENCY_REALTIME")</f>
        <v>#N/A Real Time</v>
      </c>
      <c r="G136" s="105" t="s">
        <v>248</v>
      </c>
      <c r="H136" s="96">
        <f>H135*H137</f>
        <v>75</v>
      </c>
      <c r="I136" s="97" t="str">
        <f>IF(G136="Buy",L136,K136)</f>
        <v>#N/A Real Time</v>
      </c>
      <c r="J136" s="19" t="e">
        <f>I136/S136</f>
        <v>#VALUE!</v>
      </c>
      <c r="K136" s="36" t="str" cm="1">
        <f t="array" ref="K136">_xll.BDP($B136&amp;" Index","bid")</f>
        <v>#N/A Real Time</v>
      </c>
      <c r="L136" s="36" t="str" cm="1">
        <f t="array" ref="L136">_xll.BDP($B136&amp;" Index","ask")</f>
        <v>#N/A Real Time</v>
      </c>
      <c r="M136" s="40" t="e">
        <f>(L136/K136-1)</f>
        <v>#VALUE!</v>
      </c>
      <c r="N136" s="36" t="str">
        <f>_xll.BDP(F136&amp;" Curncy","PX_LAST")</f>
        <v>#N/A Real Time Curncy</v>
      </c>
      <c r="O136" s="162">
        <v>50</v>
      </c>
      <c r="P136" s="15" t="e">
        <f>IF(G136="Buy",((I136/N136)*H136*O136),((I136/N136)*-H136*O136))</f>
        <v>#VALUE!</v>
      </c>
      <c r="Q136" s="58" t="e">
        <f>P136/'Master P&amp;L'!$AD$5*10000</f>
        <v>#VALUE!</v>
      </c>
      <c r="R136" s="37" t="e" cm="1">
        <f t="array" ref="R136">_xll.BDP($C136&amp;" Index","EST_PE_NXT_YR")*(T136/S136)</f>
        <v>#VALUE!</v>
      </c>
      <c r="S136" s="36" t="str" cm="1">
        <f t="array" ref="S136">_xll.BDP(C136&amp;" Index","LAST_PRICE")</f>
        <v>#N/A Real Time</v>
      </c>
      <c r="T136" s="53" cm="1">
        <f t="array" ref="T136">_xll.BDP(B136&amp;" Index","OPT_STRIKE_PX")</f>
        <v>6300</v>
      </c>
      <c r="U136" s="40" t="e">
        <f>T136/S136-1</f>
        <v>#VALUE!</v>
      </c>
      <c r="V136" s="37" t="str" cm="1">
        <f t="array" ref="V136">_xll.BDP($B136&amp;" Index","ivol_mid")</f>
        <v>#N/A Field Not Applicable</v>
      </c>
      <c r="W136" s="38" t="str" cm="1">
        <f t="array" ref="W136">_xll.BDP(B136&amp;" Index","DELTA_MID_RT")</f>
        <v>#N/A Real Time</v>
      </c>
      <c r="X136" s="48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6" t="e" cm="1">
        <f t="array" ref="AA136">_xll.BDP($B136&amp;" Index","opt_theta")/I136</f>
        <v>#VALUE!</v>
      </c>
      <c r="AB136" s="36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8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8" t="s">
        <v>256</v>
      </c>
      <c r="B137" s="59" t="s">
        <v>1735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-214</v>
      </c>
      <c r="F137" t="str" cm="1">
        <f t="array" ref="F137">_xll.BDP(B137&amp;" Index","QUOTED_CURRENCY_REALTIME")</f>
        <v>#N/A Real Time</v>
      </c>
      <c r="G137" s="105" t="s">
        <v>247</v>
      </c>
      <c r="H137" s="96">
        <v>150</v>
      </c>
      <c r="I137" s="97" t="str">
        <f>IF(G137="Buy",L137,K137)</f>
        <v>#N/A Real Time</v>
      </c>
      <c r="J137" s="19" t="e">
        <f>I137/S137</f>
        <v>#VALUE!</v>
      </c>
      <c r="K137" s="36" t="str" cm="1">
        <f t="array" ref="K137">_xll.BDP($B137&amp;" Index","bid")</f>
        <v>#N/A Real Time</v>
      </c>
      <c r="L137" s="36" t="str" cm="1">
        <f t="array" ref="L137">_xll.BDP($B137&amp;" Index","ask")</f>
        <v>#N/A Real Time</v>
      </c>
      <c r="M137" s="40" t="e">
        <f>(L137/K137-1)</f>
        <v>#VALUE!</v>
      </c>
      <c r="N137" s="36" t="str">
        <f>_xll.BDP(F137&amp;" Curncy","PX_LAST")</f>
        <v>#N/A Real Time Curncy</v>
      </c>
      <c r="O137" s="162">
        <v>50</v>
      </c>
      <c r="P137" s="15" t="e">
        <f>IF(G137="Buy",((I137/N137)*H137*O137),((I137/N137)*-H137*O137))</f>
        <v>#VALUE!</v>
      </c>
      <c r="Q137" s="58" t="e">
        <f>P137/'Master P&amp;L'!$AD$5*10000</f>
        <v>#VALUE!</v>
      </c>
      <c r="R137" s="37" t="e" cm="1">
        <f t="array" ref="R137">_xll.BDP($C137&amp;" Index","EST_PE_NXT_YR")*(T137/S137)</f>
        <v>#VALUE!</v>
      </c>
      <c r="S137" s="36" t="str" cm="1">
        <f t="array" ref="S137">_xll.BDP(C137&amp;" Index","LAST_PRICE")</f>
        <v>#N/A Real Time</v>
      </c>
      <c r="T137" s="53" cm="1">
        <f t="array" ref="T137">_xll.BDP(B137&amp;" Index","OPT_STRIKE_PX")</f>
        <v>6025</v>
      </c>
      <c r="U137" s="40" t="e">
        <f>T137/S137-1</f>
        <v>#VALUE!</v>
      </c>
      <c r="V137" s="37" t="str" cm="1">
        <f t="array" ref="V137">_xll.BDP($B137&amp;" Index","ivol_mid")</f>
        <v>#N/A Field Not Applicable</v>
      </c>
      <c r="W137" s="38" t="str" cm="1">
        <f t="array" ref="W137">_xll.BDP(B137&amp;" Index","DELTA_MID_RT")</f>
        <v>#N/A Real Time</v>
      </c>
      <c r="X137" s="48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6" t="e" cm="1">
        <f t="array" ref="AA137">_xll.BDP($B137&amp;" Index","opt_theta")/I137</f>
        <v>#VALUE!</v>
      </c>
      <c r="AB137" s="36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8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8" t="s">
        <v>256</v>
      </c>
      <c r="B138" s="59" t="s">
        <v>1731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-214</v>
      </c>
      <c r="F138" t="str" cm="1">
        <f t="array" ref="F138">_xll.BDP(B138&amp;" Index","QUOTED_CURRENCY_REALTIME")</f>
        <v>#N/A Real Time</v>
      </c>
      <c r="G138" s="105" t="s">
        <v>248</v>
      </c>
      <c r="H138" s="96">
        <f>H137</f>
        <v>150</v>
      </c>
      <c r="I138" s="97" t="str">
        <f>IF(G138="Buy",L138,K138)</f>
        <v>#N/A Real Time</v>
      </c>
      <c r="J138" s="19" t="e">
        <f>I138/S138</f>
        <v>#VALUE!</v>
      </c>
      <c r="K138" s="36" t="str" cm="1">
        <f t="array" ref="K138">_xll.BDP($B138&amp;" Index","bid")</f>
        <v>#N/A Real Time</v>
      </c>
      <c r="L138" s="36" t="str" cm="1">
        <f t="array" ref="L138">_xll.BDP($B138&amp;" Index","ask")</f>
        <v>#N/A Real Time</v>
      </c>
      <c r="M138" s="40" t="e">
        <f>(L138/K138-1)</f>
        <v>#VALUE!</v>
      </c>
      <c r="N138" s="36" t="str">
        <f>_xll.BDP(F138&amp;" Curncy","PX_LAST")</f>
        <v>#N/A Real Time Curncy</v>
      </c>
      <c r="O138" s="162">
        <v>50</v>
      </c>
      <c r="P138" s="15" t="e">
        <f>IF(G138="Buy",((I138/N138)*H138*O138),((I138/N138)*-H138*O138))</f>
        <v>#VALUE!</v>
      </c>
      <c r="Q138" s="58" t="e">
        <f>P138/'Master P&amp;L'!$AD$5*10000</f>
        <v>#VALUE!</v>
      </c>
      <c r="R138" s="37" t="e" cm="1">
        <f t="array" ref="R138">_xll.BDP($C138&amp;" Index","EST_PE_NXT_YR")*(T138/S138)</f>
        <v>#VALUE!</v>
      </c>
      <c r="S138" s="36" t="str" cm="1">
        <f t="array" ref="S138">_xll.BDP(C138&amp;" Index","LAST_PRICE")</f>
        <v>#N/A Real Time</v>
      </c>
      <c r="T138" s="53" cm="1">
        <f t="array" ref="T138">_xll.BDP(B138&amp;" Index","OPT_STRIKE_PX")</f>
        <v>5800</v>
      </c>
      <c r="U138" s="40" t="e">
        <f>T138/S138-1</f>
        <v>#VALUE!</v>
      </c>
      <c r="V138" s="37" t="str" cm="1">
        <f t="array" ref="V138">_xll.BDP($B138&amp;" Index","ivol_mid")</f>
        <v>#N/A Field Not Applicable</v>
      </c>
      <c r="W138" s="38" t="str" cm="1">
        <f t="array" ref="W138">_xll.BDP(B138&amp;" Index","DELTA_MID_RT")</f>
        <v>#N/A Real Time</v>
      </c>
      <c r="X138" s="48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6" t="e" cm="1">
        <f t="array" ref="AA138">_xll.BDP($B138&amp;" Index","opt_theta")/I138</f>
        <v>#VALUE!</v>
      </c>
      <c r="AB138" s="36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8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100" t="s">
        <v>116</v>
      </c>
      <c r="I139" s="102" t="e">
        <f>I137-I136-I138</f>
        <v>#VALUE!</v>
      </c>
      <c r="J139" s="100" t="s">
        <v>249</v>
      </c>
      <c r="K139" s="101" t="e">
        <f>K138/L137</f>
        <v>#VALUE!</v>
      </c>
      <c r="P139" s="130" t="e">
        <f>P137+P138+P136</f>
        <v>#VALUE!</v>
      </c>
      <c r="Q139" s="58" t="e">
        <f>P139/'Master P&amp;L'!$AD$5*10000</f>
        <v>#VALUE!</v>
      </c>
      <c r="S139" s="100" t="s">
        <v>251</v>
      </c>
      <c r="T139" s="102">
        <f>T137-T138</f>
        <v>225</v>
      </c>
      <c r="W139" s="100" t="s">
        <v>252</v>
      </c>
      <c r="X139" s="122" t="e">
        <f>X137+X138+X136</f>
        <v>#VALUE!</v>
      </c>
      <c r="AC139" s="100" t="s">
        <v>229</v>
      </c>
      <c r="AD139" s="122" t="e">
        <f>AD137</f>
        <v>#VALUE!</v>
      </c>
    </row>
    <row r="140" spans="1:33">
      <c r="H140" s="100" t="s">
        <v>253</v>
      </c>
      <c r="I140" s="102" t="e">
        <f>(T139-I139)/I139</f>
        <v>#VALUE!</v>
      </c>
      <c r="J140" s="100" t="s">
        <v>145</v>
      </c>
      <c r="K140" s="109" t="e">
        <f>-AVERAGE(K136:L136)+AVERAGE(K137:L137)-AVERAGE(K138:L138)</f>
        <v>#DIV/0!</v>
      </c>
      <c r="P140" s="100"/>
      <c r="Q140" s="108"/>
      <c r="S140" s="100"/>
      <c r="T140" s="102"/>
      <c r="W140" s="100"/>
      <c r="X140" s="122"/>
      <c r="Y140" s="13" t="e">
        <f>(Y136+Y137+Y138)/S137</f>
        <v>#VALUE!</v>
      </c>
      <c r="AC140" s="100"/>
      <c r="AD140" s="104"/>
    </row>
    <row r="141" spans="1:33">
      <c r="K141" s="64" t="e">
        <f>K137-K138</f>
        <v>#VALUE!</v>
      </c>
      <c r="L141" s="64" t="e">
        <f>L137-L138</f>
        <v>#VALUE!</v>
      </c>
    </row>
    <row r="142" spans="1:33">
      <c r="H142">
        <v>1</v>
      </c>
    </row>
    <row r="144" spans="1:33">
      <c r="A144" s="98" t="s">
        <v>256</v>
      </c>
      <c r="B144" s="321" t="s">
        <v>1898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-130</v>
      </c>
      <c r="F144" t="str" cm="1">
        <f t="array" ref="F144">_xll.BDP(B144&amp;" Index","QUOTED_CURRENCY_REALTIME")</f>
        <v>#N/A Real Time</v>
      </c>
      <c r="G144" s="105" t="s">
        <v>247</v>
      </c>
      <c r="H144" s="96">
        <v>175</v>
      </c>
      <c r="I144" s="97" t="str">
        <f>IF(G144="Buy",L144,K144)</f>
        <v>#N/A Real Time</v>
      </c>
      <c r="J144" s="19" t="e">
        <f>I144/S144</f>
        <v>#VALUE!</v>
      </c>
      <c r="K144" s="36" t="str" cm="1">
        <f t="array" ref="K144">_xll.BDP($B144&amp;" Index","bid")</f>
        <v>#N/A Real Time</v>
      </c>
      <c r="L144" s="36" t="str" cm="1">
        <f t="array" ref="L144">_xll.BDP($B144&amp;" Index","ask")</f>
        <v>#N/A Real Time</v>
      </c>
      <c r="M144" s="40" t="e">
        <f>(L144/K144-1)</f>
        <v>#VALUE!</v>
      </c>
      <c r="N144" s="36" t="str" cm="1">
        <f t="array" ref="N144">_xll.BDP(F144&amp;" Curncy","PX_LAST")</f>
        <v>#N/A Real Time Curncy</v>
      </c>
      <c r="O144" s="162">
        <v>50</v>
      </c>
      <c r="P144" s="15" t="e">
        <f>IF(G144="Buy",((I144/N144)*H144*O144),((I144/N144)*-H144*O144))</f>
        <v>#VALUE!</v>
      </c>
      <c r="Q144" s="58" t="e">
        <f>P144/'Master P&amp;L'!$AD$5*10000</f>
        <v>#VALUE!</v>
      </c>
      <c r="R144" s="37" t="e" cm="1">
        <f t="array" ref="R144">_xll.BDP($C144&amp;" Index","EST_PE_NXT_YR")*(T144/S144)</f>
        <v>#VALUE!</v>
      </c>
      <c r="S144" s="36" t="str" cm="1">
        <f t="array" ref="S144">_xll.BDP(C144&amp;" Index","LAST_PRICE")</f>
        <v>#N/A Real Time</v>
      </c>
      <c r="T144" s="53" cm="1">
        <f t="array" ref="T144">_xll.BDP(B144&amp;" Index","OPT_STRIKE_PX")</f>
        <v>2425</v>
      </c>
      <c r="U144" s="40" t="e">
        <f>T144/S144-1</f>
        <v>#VALUE!</v>
      </c>
      <c r="V144" s="37" t="str" cm="1">
        <f t="array" ref="V144">_xll.BDP($B144&amp;" Index","ivol_mid")</f>
        <v>#N/A Field Not Applicable</v>
      </c>
      <c r="W144" s="38" t="str" cm="1">
        <f t="array" ref="W144">_xll.BDP(B144&amp;" Index","DELTA_MID_RT")</f>
        <v>#N/A Real Time</v>
      </c>
      <c r="X144" s="48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6" t="e" cm="1">
        <f t="array" ref="AA144">_xll.BDP($B144&amp;" Index","opt_theta")/I144</f>
        <v>#VALUE!</v>
      </c>
      <c r="AB144" s="36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8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8" t="s">
        <v>256</v>
      </c>
      <c r="B145" s="321" t="s">
        <v>1899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-130</v>
      </c>
      <c r="F145" t="str" cm="1">
        <f t="array" ref="F145">_xll.BDP(B145&amp;" Index","QUOTED_CURRENCY_REALTIME")</f>
        <v>#N/A Real Time</v>
      </c>
      <c r="G145" s="105" t="s">
        <v>248</v>
      </c>
      <c r="H145" s="96">
        <f>H144</f>
        <v>175</v>
      </c>
      <c r="I145" s="97" t="str">
        <f>IF(G145="Buy",L145,K145)</f>
        <v>#N/A Real Time</v>
      </c>
      <c r="J145" s="19" t="e">
        <f>I145/S145</f>
        <v>#VALUE!</v>
      </c>
      <c r="K145" s="36" t="str" cm="1">
        <f t="array" ref="K145">_xll.BDP($B145&amp;" Index","bid")</f>
        <v>#N/A Real Time</v>
      </c>
      <c r="L145" s="36" t="str" cm="1">
        <f t="array" ref="L145">_xll.BDP($B145&amp;" Index","ask")</f>
        <v>#N/A Real Time</v>
      </c>
      <c r="M145" s="40" t="e">
        <f>(L145/K145-1)</f>
        <v>#VALUE!</v>
      </c>
      <c r="N145" s="36" t="str">
        <f>_xll.BDP(F145&amp;" Curncy","PX_LAST")</f>
        <v>#N/A Real Time Curncy</v>
      </c>
      <c r="O145" s="162">
        <v>50</v>
      </c>
      <c r="P145" s="15" t="e">
        <f>IF(G145="Buy",((I145/N145)*H145*O145),((I145/N145)*-H145*O145))</f>
        <v>#VALUE!</v>
      </c>
      <c r="Q145" s="58" t="e">
        <f>P145/'Master P&amp;L'!$AD$5*10000</f>
        <v>#VALUE!</v>
      </c>
      <c r="R145" s="37" t="e" cm="1">
        <f t="array" ref="R145">_xll.BDP($C145&amp;" Index","EST_PE_NXT_YR")*(T145/S145)</f>
        <v>#VALUE!</v>
      </c>
      <c r="S145" s="36" t="str" cm="1">
        <f t="array" ref="S145">_xll.BDP(C145&amp;" Index","LAST_PRICE")</f>
        <v>#N/A Real Time</v>
      </c>
      <c r="T145" s="53" cm="1">
        <f t="array" ref="T145">_xll.BDP(B145&amp;" Index","OPT_STRIKE_PX")</f>
        <v>2500</v>
      </c>
      <c r="U145" s="40" t="e">
        <f>T145/S145-1</f>
        <v>#VALUE!</v>
      </c>
      <c r="V145" s="37" t="str" cm="1">
        <f t="array" ref="V145">_xll.BDP($B145&amp;" Index","ivol_mid")</f>
        <v>#N/A Field Not Applicable</v>
      </c>
      <c r="W145" s="38" t="str" cm="1">
        <f t="array" ref="W145">_xll.BDP(B145&amp;" Index","DELTA_MID_RT")</f>
        <v>#N/A Real Time</v>
      </c>
      <c r="X145" s="48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6" t="e" cm="1">
        <f t="array" ref="AA145">_xll.BDP($B145&amp;" Index","opt_theta")/I145</f>
        <v>#VALUE!</v>
      </c>
      <c r="AB145" s="36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8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100" t="s">
        <v>116</v>
      </c>
      <c r="I146" s="102" t="e">
        <f>I144-I145</f>
        <v>#VALUE!</v>
      </c>
      <c r="J146" s="100" t="s">
        <v>249</v>
      </c>
      <c r="K146" s="101" t="e">
        <f>K145/L144</f>
        <v>#VALUE!</v>
      </c>
      <c r="P146" s="100" t="s">
        <v>250</v>
      </c>
      <c r="Q146" s="108" t="e">
        <f>Q144+Q145</f>
        <v>#VALUE!</v>
      </c>
      <c r="S146" s="100" t="s">
        <v>251</v>
      </c>
      <c r="T146" s="102">
        <f>T145-T144</f>
        <v>75</v>
      </c>
      <c r="W146" s="100" t="s">
        <v>252</v>
      </c>
      <c r="X146" s="122" t="e">
        <f>X144+X145</f>
        <v>#VALUE!</v>
      </c>
      <c r="AC146" s="100" t="s">
        <v>229</v>
      </c>
      <c r="AD146" s="122" t="e">
        <f>AD144</f>
        <v>#VALUE!</v>
      </c>
    </row>
    <row r="147" spans="1:33">
      <c r="H147" s="100" t="s">
        <v>253</v>
      </c>
      <c r="I147" s="102" t="e">
        <f>(T146-I146)/I146</f>
        <v>#VALUE!</v>
      </c>
      <c r="J147" s="100" t="s">
        <v>145</v>
      </c>
      <c r="K147" s="109" t="e">
        <f>AVERAGE(K144:L144)-AVERAGE(K145:L145)</f>
        <v>#DIV/0!</v>
      </c>
      <c r="P147" s="100"/>
      <c r="Q147" s="108"/>
      <c r="S147" s="100"/>
      <c r="T147" s="102"/>
      <c r="W147" s="100"/>
      <c r="X147" s="122"/>
      <c r="Y147" s="276" t="e">
        <f>(Y144+Y145)/S144/O144</f>
        <v>#VALUE!</v>
      </c>
      <c r="AC147" s="100"/>
      <c r="AD147" s="104"/>
    </row>
    <row r="148" spans="1:33">
      <c r="K148" s="64" t="e">
        <f>K144-K145</f>
        <v>#VALUE!</v>
      </c>
      <c r="L148" s="64" t="e">
        <f>L144-L145</f>
        <v>#VALUE!</v>
      </c>
      <c r="Q148" s="50" t="e">
        <f>Q139+Q146</f>
        <v>#VALUE!</v>
      </c>
    </row>
    <row r="149" spans="1:33">
      <c r="K149" s="64" t="e">
        <f>K141-K148</f>
        <v>#VALUE!</v>
      </c>
      <c r="L149" s="64" t="e">
        <f>L141-L148</f>
        <v>#VALUE!</v>
      </c>
    </row>
    <row r="152" spans="1:33">
      <c r="H152" s="337">
        <v>25</v>
      </c>
      <c r="I152" s="337">
        <v>250</v>
      </c>
      <c r="Z152">
        <f>Z153/P153</f>
        <v>-9.0353010471204184E-2</v>
      </c>
    </row>
    <row r="153" spans="1:33">
      <c r="A153" s="98"/>
      <c r="B153" s="321" t="s">
        <v>2372</v>
      </c>
      <c r="C153" t="str" cm="1">
        <f t="array" ref="C153">_xll.BDP(B153&amp;" Index","OPT_UNDL_TICKER")</f>
        <v>1OH6</v>
      </c>
      <c r="D153" t="str" cm="1">
        <f t="array" ref="D153">_xll.BDP($B153&amp;" Index","mifid_Maturity_date")</f>
        <v>06/02/2026</v>
      </c>
      <c r="E153" cm="1">
        <f t="array" ref="E153">_xll.BDP($B153&amp;" Index","opt_days_expire")</f>
        <v>10</v>
      </c>
      <c r="F153" t="str" cm="1">
        <f t="array" ref="F153">_xll.BDP(B153&amp;" Index","QUOTED_CURRENCY_REALTIME")</f>
        <v>USD</v>
      </c>
      <c r="G153" s="105" t="s">
        <v>247</v>
      </c>
      <c r="H153" s="96">
        <v>15</v>
      </c>
      <c r="I153" s="97">
        <v>191</v>
      </c>
      <c r="J153" s="19">
        <f>I153/S153</f>
        <v>7.3230580476957288E-3</v>
      </c>
      <c r="K153" s="36" cm="1">
        <f t="array" ref="K153">_xll.BDP($B153&amp;" Index","bid")</f>
        <v>370</v>
      </c>
      <c r="L153" s="36" cm="1">
        <f t="array" ref="L153">_xll.BDP($B153&amp;" Index","ask")</f>
        <v>374.5</v>
      </c>
      <c r="M153" s="40">
        <f>(L153/K153-1)</f>
        <v>1.2162162162162149E-2</v>
      </c>
      <c r="N153" s="36" cm="1">
        <f t="array" ref="N153">_xll.BDP(F153&amp;" Curncy","PX_LAST")</f>
        <v>1</v>
      </c>
      <c r="O153" s="162">
        <v>20</v>
      </c>
      <c r="P153" s="15">
        <f>IF(G153="Buy",((I153/N153)*H153*O153),((I153/N153)*-H153*O153))</f>
        <v>57300</v>
      </c>
      <c r="Q153" s="58">
        <f>P153/'Master P&amp;L'!$AD$5*10000</f>
        <v>0.25511623044703058</v>
      </c>
      <c r="R153" s="37" t="e" cm="1">
        <f t="array" ref="R153">_xll.BDP($C153&amp;" Index","EST_PE_NXT_YR")*(T153/S153)</f>
        <v>#VALUE!</v>
      </c>
      <c r="S153" s="36" cm="1">
        <f t="array" ref="S153">_xll.BDP(C153&amp;" Index","LAST_PRICE")</f>
        <v>26082</v>
      </c>
      <c r="T153" s="53" cm="1">
        <f t="array" ref="T153">_xll.BDP(B153&amp;" Index","OPT_STRIKE_PX")</f>
        <v>26000</v>
      </c>
      <c r="U153" s="40">
        <f>T153/S153-1</f>
        <v>-3.1439306801626099E-3</v>
      </c>
      <c r="V153" s="37" cm="1">
        <f t="array" ref="V153">_xll.BDP($B153&amp;" Index","ivol_mid")</f>
        <v>19.856254</v>
      </c>
      <c r="W153" s="38" cm="1">
        <f t="array" ref="W153">_xll.BDP(B153&amp;" Index","DELTA_MID_RT")</f>
        <v>0.54489040374755859</v>
      </c>
      <c r="X153" s="48">
        <f>Y153/'Master P&amp;L'!$AE$5</f>
        <v>1.8982559595383606E-3</v>
      </c>
      <c r="Y153" s="15">
        <f>IF(G153="Sell", S153*W153*-H153*O153/N153, S153*W153*H153*O153/N153)</f>
        <v>4263549.453163147</v>
      </c>
      <c r="Z153" s="15" cm="1">
        <f t="array" ref="Z153">_xll.BDP($B153&amp;" Index","opt_theta")*H153*O153/N153</f>
        <v>-5177.2275</v>
      </c>
      <c r="AA153" s="126" cm="1">
        <f t="array" ref="AA153">_xll.BDP($B153&amp;" Index","opt_theta")/I153</f>
        <v>-9.0353010471204198E-2</v>
      </c>
      <c r="AB153" s="36" t="str" cm="1">
        <f t="array" ref="AB153">_xll.BDP($C153&amp;" Index","EXPECTED_REPORT_DT")</f>
        <v>#N/A Field Not Applicable</v>
      </c>
      <c r="AC153" s="15">
        <f>S153*H153*O153/N153</f>
        <v>7824600</v>
      </c>
      <c r="AD153" s="48">
        <f>AC153/'Master P&amp;L'!$AE$5</f>
        <v>3.4837390170258907E-3</v>
      </c>
      <c r="AG153" t="str">
        <f>B153&amp;" -&gt; Buy to open "&amp;H153&amp;"x"</f>
        <v>1OG6C 26000 -&gt; Buy to open 15x</v>
      </c>
    </row>
    <row r="154" spans="1:33">
      <c r="A154" s="98"/>
      <c r="B154" s="321" t="s">
        <v>2372</v>
      </c>
      <c r="C154" t="str" cm="1">
        <f t="array" ref="C154">_xll.BDP(B154&amp;" Index","OPT_UNDL_TICKER")</f>
        <v>1OH6</v>
      </c>
      <c r="D154" t="str" cm="1">
        <f t="array" ref="D154">_xll.BDP($B154&amp;" Index","mifid_Maturity_date")</f>
        <v>06/02/2026</v>
      </c>
      <c r="E154" cm="1">
        <f t="array" ref="E154">_xll.BDP($B154&amp;" Index","opt_days_expire")</f>
        <v>10</v>
      </c>
      <c r="F154" t="str" cm="1">
        <f t="array" ref="F154">_xll.BDP(B154&amp;" Index","QUOTED_CURRENCY_REALTIME")</f>
        <v>USD</v>
      </c>
      <c r="G154" s="105" t="s">
        <v>248</v>
      </c>
      <c r="H154" s="96">
        <v>40</v>
      </c>
      <c r="I154" s="97">
        <f>IF(G154="Buy",L154,K154)</f>
        <v>370</v>
      </c>
      <c r="J154" s="19">
        <f>I154/S154</f>
        <v>1.4186028678782303E-2</v>
      </c>
      <c r="K154" s="36" cm="1">
        <f t="array" ref="K154">_xll.BDP($B154&amp;" Index","bid")</f>
        <v>370</v>
      </c>
      <c r="L154" s="36" cm="1">
        <f t="array" ref="L154">_xll.BDP($B154&amp;" Index","ask")</f>
        <v>374.5</v>
      </c>
      <c r="M154" s="40">
        <f>(L154/K154-1)</f>
        <v>1.2162162162162149E-2</v>
      </c>
      <c r="N154" s="36" cm="1">
        <f t="array" ref="N154">_xll.BDP(F154&amp;" Curncy","PX_LAST")</f>
        <v>1</v>
      </c>
      <c r="O154" s="162">
        <v>20</v>
      </c>
      <c r="P154" s="15">
        <f>IF(G154="Buy",((I154/N154)*H154*O154),((I154/N154)*-H154*O154))</f>
        <v>-296000</v>
      </c>
      <c r="Q154" s="58">
        <f>P154/'Master P&amp;L'!$AD$5*10000</f>
        <v>-1.3178779094645909</v>
      </c>
      <c r="R154" s="37" t="e" cm="1">
        <f t="array" ref="R154">_xll.BDP($C154&amp;" Index","EST_PE_NXT_YR")*(T154/S154)</f>
        <v>#VALUE!</v>
      </c>
      <c r="S154" s="36" cm="1">
        <f t="array" ref="S154">_xll.BDP(C154&amp;" Index","LAST_PRICE")</f>
        <v>26082</v>
      </c>
      <c r="T154" s="53" cm="1">
        <f t="array" ref="T154">_xll.BDP(B154&amp;" Index","OPT_STRIKE_PX")</f>
        <v>26000</v>
      </c>
      <c r="U154" s="40">
        <f>T154/S154-1</f>
        <v>-3.1439306801626099E-3</v>
      </c>
      <c r="V154" s="37" cm="1">
        <f t="array" ref="V154">_xll.BDP($B154&amp;" Index","ivol_mid")</f>
        <v>19.856254</v>
      </c>
      <c r="W154" s="38" cm="1">
        <f t="array" ref="W154">_xll.BDP(B154&amp;" Index","DELTA_MID_RT")</f>
        <v>0.54489040374755859</v>
      </c>
      <c r="X154" s="48">
        <f>Y154/'Master P&amp;L'!$AE$5</f>
        <v>-5.0620158921022953E-3</v>
      </c>
      <c r="Y154" s="15">
        <f>IF(G154="Sell", S154*W154*-H154*O154/N154, S154*W154*H154*O154/N154)</f>
        <v>-11369465.208435059</v>
      </c>
      <c r="Z154" s="15" cm="1">
        <f t="array" ref="Z154">_xll.BDP($B154&amp;" Index","opt_theta")*H154*O154/N154</f>
        <v>-13805.94</v>
      </c>
      <c r="AA154" s="126" cm="1">
        <f t="array" ref="AA154">_xll.BDP($B154&amp;" Index","opt_theta")/I154</f>
        <v>-4.6641689189189192E-2</v>
      </c>
      <c r="AB154" s="36" t="str" cm="1">
        <f t="array" ref="AB154">_xll.BDP($C154&amp;" Index","EXPECTED_REPORT_DT")</f>
        <v>#N/A Field Not Applicable</v>
      </c>
      <c r="AC154" s="15">
        <f>S154*H154*O154/N154</f>
        <v>20865600</v>
      </c>
      <c r="AD154" s="48">
        <f>AC154/'Master P&amp;L'!$AE$5</f>
        <v>9.2899707120690424E-3</v>
      </c>
      <c r="AG154" t="str">
        <f>B154&amp;" -&gt; Buy to open "&amp;H154&amp;"x"</f>
        <v>1OG6C 26000 -&gt; Buy to open 40x</v>
      </c>
    </row>
    <row r="155" spans="1:33">
      <c r="H155" s="100" t="s">
        <v>116</v>
      </c>
      <c r="I155" s="102">
        <f>I153-I154</f>
        <v>-179</v>
      </c>
      <c r="J155" s="100" t="s">
        <v>249</v>
      </c>
      <c r="K155" s="101">
        <f>K154/L153</f>
        <v>0.98798397863818421</v>
      </c>
      <c r="O155" s="164"/>
      <c r="P155" s="100" t="s">
        <v>250</v>
      </c>
      <c r="Q155" s="108">
        <f>Q153+Q154</f>
        <v>-1.0627616790175605</v>
      </c>
      <c r="S155" s="100" t="s">
        <v>251</v>
      </c>
      <c r="T155" s="102">
        <f>T154-T153</f>
        <v>0</v>
      </c>
      <c r="W155" s="100" t="s">
        <v>252</v>
      </c>
      <c r="X155" s="122">
        <f>X153+X154</f>
        <v>-3.1637599325639344E-3</v>
      </c>
      <c r="Y155" s="13">
        <f>Y153+Y154</f>
        <v>-7105915.7552719116</v>
      </c>
      <c r="AC155" s="100" t="s">
        <v>229</v>
      </c>
      <c r="AD155" s="122">
        <f>AD153</f>
        <v>3.4837390170258907E-3</v>
      </c>
    </row>
    <row r="156" spans="1:33">
      <c r="H156" s="100" t="s">
        <v>253</v>
      </c>
      <c r="I156" s="102">
        <f>(T155-I155)/I155</f>
        <v>-1</v>
      </c>
      <c r="J156" s="100" t="s">
        <v>145</v>
      </c>
      <c r="K156" s="109">
        <f>AVERAGE(K153:L153)-AVERAGE(K154:L154)</f>
        <v>0</v>
      </c>
      <c r="O156" s="164"/>
      <c r="P156" s="100"/>
      <c r="Q156" s="108"/>
      <c r="S156" s="100"/>
      <c r="T156" s="102"/>
      <c r="W156" s="100"/>
      <c r="X156" s="122"/>
      <c r="Y156" s="13">
        <f>Y155/S153</f>
        <v>-272.4452018737793</v>
      </c>
      <c r="AC156" s="100"/>
      <c r="AD156" s="104"/>
    </row>
    <row r="157" spans="1:33">
      <c r="K157" s="64">
        <f>K153-K154</f>
        <v>0</v>
      </c>
      <c r="L157" s="64">
        <f>L153-L154</f>
        <v>0</v>
      </c>
      <c r="W157" s="50"/>
    </row>
    <row r="159" spans="1:33">
      <c r="H159" s="96"/>
      <c r="I159" s="97"/>
      <c r="J159" s="19"/>
      <c r="K159" s="36"/>
      <c r="L159" s="36"/>
      <c r="M159" s="40"/>
      <c r="N159" s="36"/>
      <c r="O159" s="162"/>
      <c r="P159" s="15"/>
      <c r="Q159" s="58"/>
      <c r="R159" s="37"/>
      <c r="S159" s="36"/>
      <c r="T159" s="53"/>
      <c r="U159" s="40"/>
      <c r="V159" s="37"/>
      <c r="W159" s="38"/>
      <c r="X159" s="48"/>
      <c r="Y159" s="15"/>
      <c r="Z159" s="15"/>
      <c r="AA159" s="126"/>
      <c r="AB159" s="36"/>
      <c r="AC159" s="15"/>
      <c r="AD159" s="48"/>
    </row>
    <row r="160" spans="1:33">
      <c r="A160" s="98"/>
      <c r="B160" s="384" t="s">
        <v>2128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5" t="s">
        <v>247</v>
      </c>
      <c r="H160" s="96">
        <v>100</v>
      </c>
      <c r="I160" s="97" t="str">
        <f>IF(G160="Buy",L160,K160)</f>
        <v>#N/A Real Time</v>
      </c>
      <c r="J160" s="19" t="e">
        <f>I160/S160</f>
        <v>#VALUE!</v>
      </c>
      <c r="K160" s="36" t="str" cm="1">
        <f t="array" ref="K160">_xll.BDP($B160&amp;" Index","bid")</f>
        <v>#N/A Real Time</v>
      </c>
      <c r="L160" s="36" t="str" cm="1">
        <f t="array" ref="L160">_xll.BDP($B160&amp;" Index","ask")</f>
        <v>#N/A Real Time</v>
      </c>
      <c r="M160" s="40" t="e">
        <f>(L160/K160-1)</f>
        <v>#VALUE!</v>
      </c>
      <c r="N160" s="36" cm="1">
        <f t="array" ref="N160">_xll.BDP(F160&amp;" Curncy","PX_LAST")</f>
        <v>1</v>
      </c>
      <c r="O160" s="162">
        <v>100</v>
      </c>
      <c r="P160" s="15" t="e">
        <f>IF(G160="Buy",((I160/N160)*H160*O160),((I160/N160)*-H160*O160))</f>
        <v>#VALUE!</v>
      </c>
      <c r="Q160" s="58" t="e">
        <f>P160/'Master P&amp;L'!$AD$5*10000</f>
        <v>#VALUE!</v>
      </c>
      <c r="R160" s="37" t="e" cm="1">
        <f t="array" ref="R160">_xll.BDP($C160&amp;" Index","EST_PE_NXT_YR")*(T160/S160)</f>
        <v>#VALUE!</v>
      </c>
      <c r="S160" s="36" cm="1">
        <f t="array" ref="S160">_xll.BDP(C160&amp;" Index","LAST_PRICE")</f>
        <v>6978.56</v>
      </c>
      <c r="T160" s="53" cm="1">
        <f t="array" ref="T160">_xll.BDP(B160&amp;" Index","OPT_STRIKE_PX")</f>
        <v>6950</v>
      </c>
      <c r="U160" s="40">
        <f>T160/S160-1</f>
        <v>-4.0925348495964853E-3</v>
      </c>
      <c r="V160" s="37" t="str" cm="1">
        <f t="array" ref="V160">_xll.BDP($B160&amp;" Index","ivol_mid")</f>
        <v>#N/A N/A</v>
      </c>
      <c r="W160" s="38" t="str" cm="1">
        <f t="array" ref="W160">_xll.BDP(B160&amp;" Index","DELTA_MID_RT")</f>
        <v>#N/A Real Time</v>
      </c>
      <c r="X160" s="48" t="e">
        <f>Y160/'Master P&amp;L'!$AE$5</f>
        <v>#VALUE!</v>
      </c>
      <c r="Y160" s="15" t="e">
        <f>IF(G160="Sell", S160*W160*-H160*O160/N160, S160*W160*H160*O160/N160)</f>
        <v>#VALUE!</v>
      </c>
      <c r="Z160" s="15" t="e" cm="1">
        <f t="array" ref="Z160">_xll.BDP($B160&amp;" Index","opt_theta")*H160*O160/N160</f>
        <v>#VALUE!</v>
      </c>
      <c r="AA160" s="126" t="e" cm="1">
        <f t="array" ref="AA160">_xll.BDP($B160&amp;" Index","opt_theta")/I160</f>
        <v>#VALUE!</v>
      </c>
      <c r="AB160" s="36" t="str" cm="1">
        <f t="array" ref="AB160">_xll.BDP($C160&amp;" Index","EXPECTED_REPORT_DT")</f>
        <v>#N/A Field Not Applicable</v>
      </c>
      <c r="AC160" s="15">
        <f>S160*H160*O160/N160</f>
        <v>69785600</v>
      </c>
      <c r="AD160" s="48">
        <f>AC160/'Master P&amp;L'!$AE$5</f>
        <v>3.1070574540112212E-2</v>
      </c>
      <c r="AG160" t="str">
        <f>B160&amp;" -&gt; Buy to open "&amp;H160&amp;"x"</f>
        <v>SPXW US 12/31/25 C6950 -&gt; Buy to open 100x</v>
      </c>
    </row>
    <row r="161" spans="1:37">
      <c r="A161" s="98"/>
      <c r="B161" s="384"/>
      <c r="G161" s="105"/>
      <c r="H161" s="96"/>
      <c r="I161" s="97"/>
      <c r="J161" s="19"/>
      <c r="K161" s="36"/>
      <c r="L161" s="36"/>
      <c r="M161" s="40"/>
      <c r="N161" s="36"/>
      <c r="O161" s="162"/>
      <c r="P161" s="15"/>
      <c r="Q161" s="58"/>
      <c r="R161" s="37"/>
      <c r="S161" s="36"/>
      <c r="T161" s="53"/>
      <c r="U161" s="40"/>
      <c r="V161" s="37"/>
      <c r="W161" s="38"/>
      <c r="X161" s="48"/>
      <c r="Y161" s="15"/>
      <c r="Z161" s="15"/>
      <c r="AA161" s="126"/>
      <c r="AB161" s="36"/>
      <c r="AC161" s="15"/>
      <c r="AD161" s="48"/>
    </row>
    <row r="162" spans="1:37">
      <c r="H162" s="100" t="s">
        <v>116</v>
      </c>
      <c r="I162" s="102" t="e">
        <f>I160-I161</f>
        <v>#VALUE!</v>
      </c>
      <c r="J162" s="100" t="s">
        <v>249</v>
      </c>
      <c r="K162" s="101" t="e">
        <f>K161/L160</f>
        <v>#VALUE!</v>
      </c>
      <c r="O162" s="164"/>
      <c r="P162" s="100" t="s">
        <v>250</v>
      </c>
      <c r="Q162" s="108" t="e">
        <f>Q160+Q161</f>
        <v>#VALUE!</v>
      </c>
      <c r="S162" s="100" t="s">
        <v>251</v>
      </c>
      <c r="T162" s="102">
        <f>T161-T160</f>
        <v>-6950</v>
      </c>
      <c r="W162" s="100" t="s">
        <v>252</v>
      </c>
      <c r="X162" s="122" t="e">
        <f>X160+X161</f>
        <v>#VALUE!</v>
      </c>
      <c r="Y162" s="13" t="e">
        <f>Y160+Y161</f>
        <v>#VALUE!</v>
      </c>
      <c r="AC162" s="100" t="s">
        <v>229</v>
      </c>
      <c r="AD162" s="122">
        <f>AD160</f>
        <v>3.1070574540112212E-2</v>
      </c>
    </row>
    <row r="163" spans="1:37">
      <c r="H163" s="100" t="s">
        <v>253</v>
      </c>
      <c r="I163" s="102" t="e">
        <f>(T162-I162)/I162</f>
        <v>#VALUE!</v>
      </c>
      <c r="J163" s="100" t="s">
        <v>145</v>
      </c>
      <c r="K163" s="109" t="e">
        <f>AVERAGE(K160:L160)-AVERAGE(K161:L161)</f>
        <v>#DIV/0!</v>
      </c>
      <c r="O163" s="164"/>
      <c r="P163" s="100"/>
      <c r="Q163" s="108"/>
      <c r="S163" s="100"/>
      <c r="T163" s="102"/>
      <c r="W163" s="100"/>
      <c r="X163" s="122"/>
      <c r="Y163" s="13" t="e">
        <f>Y162/S160</f>
        <v>#VALUE!</v>
      </c>
      <c r="AC163" s="100"/>
      <c r="AD163" s="104"/>
    </row>
    <row r="164" spans="1:37">
      <c r="K164" s="64" t="e">
        <f>K160-K161</f>
        <v>#VALUE!</v>
      </c>
      <c r="L164" s="64" t="e">
        <f>L160-L161</f>
        <v>#VALUE!</v>
      </c>
    </row>
    <row r="165" spans="1:37">
      <c r="Q165" t="e">
        <f>Q162/Q155</f>
        <v>#VALUE!</v>
      </c>
    </row>
    <row r="166" spans="1:37">
      <c r="H166" s="18"/>
      <c r="K166" s="64" t="e">
        <f>K157-K164</f>
        <v>#VALUE!</v>
      </c>
      <c r="L166" s="64" t="e">
        <f>L157-L164</f>
        <v>#VALUE!</v>
      </c>
    </row>
    <row r="167" spans="1:37">
      <c r="I167" s="64">
        <f>I170-I171</f>
        <v>27.5</v>
      </c>
    </row>
    <row r="168" spans="1:37">
      <c r="A168">
        <v>300</v>
      </c>
      <c r="H168" s="276">
        <v>1</v>
      </c>
      <c r="I168" s="64">
        <f>I170-I171</f>
        <v>27.5</v>
      </c>
      <c r="K168" s="129"/>
    </row>
    <row r="169" spans="1:37">
      <c r="A169" s="237">
        <v>1</v>
      </c>
      <c r="B169" s="384" t="s">
        <v>2067</v>
      </c>
      <c r="C169" t="str" cm="1">
        <f t="array" ref="C169">_xll.BDP(B169&amp;" Equity","OPT_UNDL_TICKER")</f>
        <v>META US</v>
      </c>
      <c r="D169" s="64">
        <f>A169*AVERAGE(K169:L169)</f>
        <v>20.65</v>
      </c>
      <c r="E169" cm="1">
        <f t="array" ref="E169">_xll.BDP($B169&amp;" Index","opt_days_expire")</f>
        <v>80</v>
      </c>
      <c r="F169" t="str" cm="1">
        <f t="array" ref="F169">_xll.BDP(B169&amp;" Equity","QUOTED_CURRENCY_REALTIME")</f>
        <v>USD</v>
      </c>
      <c r="G169" s="105" t="s">
        <v>248</v>
      </c>
      <c r="H169" s="131">
        <f>H170</f>
        <v>40</v>
      </c>
      <c r="I169" s="97">
        <f>IF(G169="Buy",L169,K169)</f>
        <v>20.55</v>
      </c>
      <c r="J169" s="19">
        <f>I169/S169</f>
        <v>3.0536279477539861E-2</v>
      </c>
      <c r="K169" s="36" cm="1">
        <f t="array" ref="K169">_xll.BDP($B169&amp;" Equity","bid")</f>
        <v>20.55</v>
      </c>
      <c r="L169" s="36" cm="1">
        <f t="array" ref="L169">_xll.BDP($B169&amp;" Equity","ask")</f>
        <v>20.75</v>
      </c>
      <c r="M169" s="40">
        <f>(L169/K169-1)</f>
        <v>9.7323600973235891E-3</v>
      </c>
      <c r="N169" s="36" cm="1">
        <f t="array" ref="N169">_xll.BDP(F169&amp;" Curncy","PX_LAST")</f>
        <v>1</v>
      </c>
      <c r="O169" s="162" cm="1">
        <f t="array" ref="O169">_xll.BDP(B169&amp;" Equity","OPT_MULTIPLIER")</f>
        <v>100</v>
      </c>
      <c r="P169" s="15">
        <f>IF(G169="Buy",((I169/N169)*H169*O169),((I169/N169)*-H169*O169))</f>
        <v>-82200</v>
      </c>
      <c r="Q169" s="58">
        <f>P169/'Master P&amp;L'!$AD$5*10000</f>
        <v>-0.36597825729050459</v>
      </c>
      <c r="R169" s="37" cm="1">
        <f t="array" ref="R169">_xll.BDP($C169&amp;" Equity","EST_PE_NXT_YR")*(T169/S169)</f>
        <v>22.344698531095521</v>
      </c>
      <c r="S169" s="36" cm="1">
        <f t="array" ref="S169">_xll.BDP(C169&amp;" Equity","LAST_PRICE")</f>
        <v>672.97</v>
      </c>
      <c r="T169" s="53" cm="1">
        <f t="array" ref="T169">_xll.BDP(B169&amp;" Equity","OPT_STRIKE_PX")</f>
        <v>750</v>
      </c>
      <c r="U169" s="40">
        <f>T169/S169-1</f>
        <v>0.11446275465473943</v>
      </c>
      <c r="V169" s="37" cm="1">
        <f t="array" ref="V169">_xll.BDP($B169&amp;" Equity","ivol_mid")</f>
        <v>36.216329999999999</v>
      </c>
      <c r="W169" s="38" cm="1">
        <f t="array" ref="W169">_xll.BDP(B169&amp;" Equity","DELTA_MID_RT")</f>
        <v>0.30723142623901367</v>
      </c>
      <c r="X169" s="48">
        <f>Y169/'Master P&amp;L'!$AE$5</f>
        <v>-3.6821781789930455E-4</v>
      </c>
      <c r="Y169" s="15">
        <f>IF(G169="Sell", S169*W169*-H169*O169/N169, S169*W169*H169*O169/N169)</f>
        <v>-827030.13166427612</v>
      </c>
      <c r="Z169" s="15" cm="1">
        <f t="array" ref="Z169">_xll.BDP($B169&amp;" Equity","opt_theta")*H169*O169/N169</f>
        <v>-995.4079999999999</v>
      </c>
      <c r="AA169" s="19" cm="1">
        <f t="array" ref="AA169">_xll.BDP($B169&amp;" Equity","opt_theta")/I169</f>
        <v>-1.2109586374695863E-2</v>
      </c>
      <c r="AB169" s="36" t="str" cm="1">
        <f t="array" ref="AB169">_xll.BDP($C169&amp;" Equity","EXPECTED_REPORT_DT")</f>
        <v>28/01/2026</v>
      </c>
      <c r="AC169" s="15">
        <f>S169*H169*O169/N169</f>
        <v>2691880.0000000005</v>
      </c>
      <c r="AD169" s="19">
        <f>AC169/'Master P&amp;L'!$AE$5</f>
        <v>1.1985031036924132E-3</v>
      </c>
      <c r="AE169" t="str">
        <f>B169  &amp; " - Buy to open " &amp;  "-" &amp; H169 &amp;"x"</f>
        <v>META US 04/17/26 C750 - Buy to open -40x</v>
      </c>
      <c r="AK169" s="59" t="s">
        <v>273</v>
      </c>
    </row>
    <row r="170" spans="1:37">
      <c r="A170" s="237">
        <v>2</v>
      </c>
      <c r="B170" s="384" t="s">
        <v>2068</v>
      </c>
      <c r="C170" t="str" cm="1">
        <f t="array" ref="C170">_xll.BDP(B170&amp;" Equity","OPT_UNDL_TICKER")</f>
        <v>META US</v>
      </c>
      <c r="D170" s="64">
        <f>A170*AVERAGE(K170:L170)</f>
        <v>81.599999999999994</v>
      </c>
      <c r="E170" cm="1">
        <f t="array" ref="E170">_xll.BDP($B170&amp;" Index","opt_days_expire")</f>
        <v>80</v>
      </c>
      <c r="F170" t="str" cm="1">
        <f t="array" ref="F170">_xll.BDP(B170&amp;" Equity","QUOTED_CURRENCY_REALTIME")</f>
        <v>USD</v>
      </c>
      <c r="G170" s="105" t="s">
        <v>247</v>
      </c>
      <c r="H170" s="131">
        <v>40</v>
      </c>
      <c r="I170" s="97">
        <f>IF(G170="Buy",L170,K170)</f>
        <v>40.9</v>
      </c>
      <c r="J170" s="19">
        <f>I170/S170</f>
        <v>6.0775368887171784E-2</v>
      </c>
      <c r="K170" s="36" cm="1">
        <f t="array" ref="K170">_xll.BDP($B170&amp;" Equity","bid")</f>
        <v>40.700000000000003</v>
      </c>
      <c r="L170" s="36" cm="1">
        <f t="array" ref="L170">_xll.BDP($B170&amp;" Equity","ask")</f>
        <v>40.9</v>
      </c>
      <c r="M170" s="40">
        <f>(L170/K170-1)</f>
        <v>4.9140049140048436E-3</v>
      </c>
      <c r="N170" s="36" cm="1">
        <f t="array" ref="N170">_xll.BDP(F170&amp;" Curncy","PX_LAST")</f>
        <v>1</v>
      </c>
      <c r="O170" s="162" cm="1">
        <f t="array" ref="O170">_xll.BDP(B170&amp;" Equity","OPT_MULTIPLIER")</f>
        <v>100</v>
      </c>
      <c r="P170" s="15">
        <f>IF(G170="Buy",((I170/N170)*H170*O170),((I170/N170)*-H170*O170))</f>
        <v>163600</v>
      </c>
      <c r="Q170" s="58">
        <f>P170/'Master P&amp;L'!$AD$5*10000</f>
        <v>0.7283946823932671</v>
      </c>
      <c r="R170" s="37" cm="1">
        <f t="array" ref="R170">_xll.BDP($C170&amp;" Equity","EST_PE_NXT_YR")*(T170/S170)</f>
        <v>20.557122648607876</v>
      </c>
      <c r="S170" s="36" cm="1">
        <f t="array" ref="S170">_xll.BDP(C170&amp;" Equity","LAST_PRICE")</f>
        <v>672.97</v>
      </c>
      <c r="T170" s="53" cm="1">
        <f t="array" ref="T170">_xll.BDP(B170&amp;" Equity","OPT_STRIKE_PX")</f>
        <v>690</v>
      </c>
      <c r="U170" s="40">
        <f>T170/S170-1</f>
        <v>2.5305734282360159E-2</v>
      </c>
      <c r="V170" s="37" cm="1">
        <f t="array" ref="V170">_xll.BDP($B170&amp;" Equity","ivol_mid")</f>
        <v>36.415280000000003</v>
      </c>
      <c r="W170" s="38" cm="1">
        <f t="array" ref="W170">_xll.BDP(B170&amp;" Equity","DELTA_MID_RT")</f>
        <v>0.49484530091285706</v>
      </c>
      <c r="X170" s="48">
        <f>Y170/'Master P&amp;L'!$AE$5</f>
        <v>5.9307362899166524E-4</v>
      </c>
      <c r="Y170" s="15">
        <f>IF(G170="Sell", S170*W170*-H170*O170/N170, S170*W170*H170*O170/N170)</f>
        <v>1332064.1686213017</v>
      </c>
      <c r="Z170" s="15" cm="1">
        <f t="array" ref="Z170">_xll.BDP($B170&amp;" Equity","opt_theta")*H170*O170/N170</f>
        <v>-1123.692</v>
      </c>
      <c r="AA170" s="19" cm="1">
        <f t="array" ref="AA170">_xll.BDP($B170&amp;" Equity","opt_theta")/I170</f>
        <v>-6.8685330073349629E-3</v>
      </c>
      <c r="AB170" s="36" t="str" cm="1">
        <f t="array" ref="AB170">_xll.BDP($C170&amp;" Equity","EXPECTED_REPORT_DT")</f>
        <v>28/01/2026</v>
      </c>
      <c r="AC170" s="15">
        <f>S170*H170*O170/N170</f>
        <v>2691880.0000000005</v>
      </c>
      <c r="AD170" s="48">
        <f>AC170/'Master P&amp;L'!$AE$5</f>
        <v>1.1985031036924132E-3</v>
      </c>
      <c r="AE170" t="str">
        <f>B170&amp;" -&gt; Buy to open "&amp;H170&amp;"x"</f>
        <v>META US 04/17/26 C690 -&gt; Buy to open 40x</v>
      </c>
      <c r="AK170" t="s">
        <v>274</v>
      </c>
    </row>
    <row r="171" spans="1:37">
      <c r="A171" s="237">
        <v>2</v>
      </c>
      <c r="B171" s="384" t="s">
        <v>2069</v>
      </c>
      <c r="C171" t="str" cm="1">
        <f t="array" ref="C171">_xll.BDP(B171&amp;" Equity","OPT_UNDL_TICKER")</f>
        <v>META US</v>
      </c>
      <c r="D171" s="64">
        <f>A171*AVERAGE(K171:L171)</f>
        <v>27</v>
      </c>
      <c r="E171" cm="1">
        <f t="array" ref="E171">_xll.BDP($B171&amp;" Index","opt_days_expire")</f>
        <v>80</v>
      </c>
      <c r="F171" t="str" cm="1">
        <f t="array" ref="F171">_xll.BDP(B171&amp;" Equity","QUOTED_CURRENCY_REALTIME")</f>
        <v>USD</v>
      </c>
      <c r="G171" s="105" t="s">
        <v>248</v>
      </c>
      <c r="H171" s="131">
        <f>H170</f>
        <v>40</v>
      </c>
      <c r="I171" s="97">
        <f>IF(G171="Buy",L171,K171)</f>
        <v>13.4</v>
      </c>
      <c r="J171" s="19">
        <f>I171/S171</f>
        <v>1.9911734549831344E-2</v>
      </c>
      <c r="K171" s="36" cm="1">
        <f t="array" ref="K171">_xll.BDP($B171&amp;" Equity","bid")</f>
        <v>13.4</v>
      </c>
      <c r="L171" s="36" cm="1">
        <f t="array" ref="L171">_xll.BDP($B171&amp;" Equity","ask")</f>
        <v>13.6</v>
      </c>
      <c r="M171" s="40">
        <f>(L171/K171-1)</f>
        <v>1.4925373134328401E-2</v>
      </c>
      <c r="N171" s="36" cm="1">
        <f t="array" ref="N171">_xll.BDP(F171&amp;" Curncy","PX_LAST")</f>
        <v>1</v>
      </c>
      <c r="O171" s="162" cm="1">
        <f t="array" ref="O171">_xll.BDP(B171&amp;" Equity","OPT_MULTIPLIER")</f>
        <v>100</v>
      </c>
      <c r="P171" s="15">
        <f>IF(G171="Buy",((I171/N171)*H171*O171),((I171/N171)*-H171*O171))</f>
        <v>-53600</v>
      </c>
      <c r="Q171" s="58">
        <f>P171/'Master P&amp;L'!$AD$5*10000</f>
        <v>-0.23864275657872319</v>
      </c>
      <c r="R171" s="37" cm="1">
        <f t="array" ref="R171">_xll.BDP($C171&amp;" Equity","EST_PE_NXT_YR")*(T171/S171)</f>
        <v>17.577829511128474</v>
      </c>
      <c r="S171" s="36" cm="1">
        <f t="array" ref="S171">_xll.BDP(C171&amp;" Equity","LAST_PRICE")</f>
        <v>672.97</v>
      </c>
      <c r="T171" s="53" cm="1">
        <f t="array" ref="T171">_xll.BDP(B171&amp;" Equity","OPT_STRIKE_PX")</f>
        <v>590</v>
      </c>
      <c r="U171" s="40">
        <f>T171/S171-1</f>
        <v>-0.12328929967160496</v>
      </c>
      <c r="V171" s="37" cm="1">
        <f t="array" ref="V171">_xll.BDP(B171&amp;" Equity","ivol_mid")</f>
        <v>37.5869</v>
      </c>
      <c r="W171" s="38" cm="1">
        <f t="array" ref="W171">_xll.BDP(B171&amp;" Equity","DELTA_MID_RT")</f>
        <v>-0.18977326154708862</v>
      </c>
      <c r="X171" s="48">
        <f>Y171/'Master P&amp;L'!$AE$5</f>
        <v>2.2744384296201781E-4</v>
      </c>
      <c r="Y171" s="15">
        <f>IF(G171="Sell", S171*W171*-H171*O171/N171, S171*W171*H171*O171/N171)</f>
        <v>510846.84729337698</v>
      </c>
      <c r="Z171" s="15" cm="1">
        <f t="array" ref="Z171">_xll.BDP($B171&amp;" Equity","opt_theta")*H171*O171/N171</f>
        <v>-791.82799999999997</v>
      </c>
      <c r="AA171" s="19" cm="1">
        <f t="array" ref="AA171">_xll.BDP($B171&amp;" Equity","opt_theta")/I171</f>
        <v>-1.4772910447761193E-2</v>
      </c>
      <c r="AB171" s="36" t="str" cm="1">
        <f t="array" ref="AB171">_xll.BDP($C171&amp;" Equity","EXPECTED_REPORT_DT")</f>
        <v>28/01/2026</v>
      </c>
      <c r="AC171" s="15">
        <f>S171*H171*O171/N171</f>
        <v>2691880.0000000005</v>
      </c>
      <c r="AD171" s="19">
        <f>AC171/'Master P&amp;L'!$AE$5</f>
        <v>1.1985031036924132E-3</v>
      </c>
      <c r="AE171" t="str">
        <f>B171  &amp; " -&gt; Sell to open " &amp;   H171 &amp;"x"</f>
        <v>META US 04/17/26 P590 -&gt; Sell to open 40x</v>
      </c>
      <c r="AK171" t="s">
        <v>275</v>
      </c>
    </row>
    <row r="172" spans="1:37">
      <c r="H172" s="100" t="s">
        <v>116</v>
      </c>
      <c r="I172" s="102">
        <f>I170-I169-I171</f>
        <v>6.9499999999999975</v>
      </c>
      <c r="J172" s="100" t="s">
        <v>249</v>
      </c>
      <c r="K172" s="101">
        <f>K171/L170</f>
        <v>0.32762836185819072</v>
      </c>
      <c r="P172" s="130">
        <f>P170+P171+P169</f>
        <v>27800</v>
      </c>
      <c r="Q172" s="58">
        <f>P172/'Master P&amp;L'!$AD$5*10000</f>
        <v>0.12377366852403927</v>
      </c>
      <c r="S172" s="100" t="s">
        <v>251</v>
      </c>
      <c r="T172" s="102"/>
      <c r="W172" s="100" t="s">
        <v>252</v>
      </c>
      <c r="X172" s="122">
        <f>X170+X171+X169</f>
        <v>4.522996540543785E-4</v>
      </c>
      <c r="AC172" s="100" t="s">
        <v>229</v>
      </c>
      <c r="AD172" s="122">
        <f>AD170</f>
        <v>1.1985031036924132E-3</v>
      </c>
    </row>
    <row r="173" spans="1:37">
      <c r="H173" s="100" t="s">
        <v>253</v>
      </c>
      <c r="I173" s="102"/>
      <c r="J173" s="100" t="s">
        <v>145</v>
      </c>
      <c r="K173" s="109">
        <f>-AVERAGE(K169:L169)+AVERAGE(K170:L170)-AVERAGE(K171:L171)</f>
        <v>6.6499999999999986</v>
      </c>
      <c r="P173" s="100"/>
      <c r="Q173" s="108"/>
      <c r="S173" s="100"/>
      <c r="T173" s="102"/>
      <c r="W173" s="100"/>
      <c r="X173" s="122"/>
      <c r="Y173" s="13">
        <f>(Y169+Y170+Y171)/S170</f>
        <v>1509.548544883728</v>
      </c>
      <c r="AC173" s="100"/>
      <c r="AD173" s="104"/>
    </row>
    <row r="174" spans="1:37">
      <c r="D174" s="64"/>
      <c r="H174" s="96"/>
      <c r="I174" s="64">
        <f>(I170*A170)-(I171*A171)-(I169*A169)</f>
        <v>34.450000000000003</v>
      </c>
      <c r="K174" s="64"/>
      <c r="N174" s="36"/>
      <c r="O174" s="162"/>
      <c r="P174" s="15"/>
      <c r="Q174" s="58"/>
    </row>
    <row r="175" spans="1:37">
      <c r="I175" s="21">
        <f>I171/I170</f>
        <v>0.32762836185819072</v>
      </c>
    </row>
    <row r="176" spans="1:37">
      <c r="I176" s="21"/>
    </row>
    <row r="177" spans="1:37">
      <c r="H177" s="276">
        <v>1</v>
      </c>
      <c r="I177" s="64" t="e">
        <f>I179-I178</f>
        <v>#VALUE!</v>
      </c>
      <c r="J177" s="18" t="e">
        <f>T178-T179</f>
        <v>#VALUE!</v>
      </c>
      <c r="K177" s="276" t="e">
        <f>(J177-I177)/I177</f>
        <v>#VALUE!</v>
      </c>
      <c r="Q177" s="276" t="e">
        <f>Q179+Q178</f>
        <v>#VALUE!</v>
      </c>
    </row>
    <row r="178" spans="1:37">
      <c r="A178" s="237"/>
      <c r="C178" t="str" cm="1">
        <f t="array" ref="C178">_xll.BDP(B178&amp;" Equity","OPT_UNDL_TICKER")</f>
        <v>#N/A Invalid Security</v>
      </c>
      <c r="D178" s="64" t="e">
        <f>A178*AVERAGE(K178:L178)</f>
        <v>#DIV/0!</v>
      </c>
      <c r="E178" t="str" cm="1">
        <f t="array" ref="E178">_xll.BDP($B178&amp;" Index","opt_days_expire")</f>
        <v>#N/A Invalid Security</v>
      </c>
      <c r="F178" t="str" cm="1">
        <f t="array" ref="F178">_xll.BDP(B178&amp;" Equity","QUOTED_CURRENCY_REALTIME")</f>
        <v>#N/A Invalid Security</v>
      </c>
      <c r="G178" s="105" t="s">
        <v>248</v>
      </c>
      <c r="H178" s="131">
        <f>H179*H177</f>
        <v>20</v>
      </c>
      <c r="I178" s="97" t="str">
        <f>IF(G178="Buy",L178,K178)</f>
        <v>#N/A Invalid Security</v>
      </c>
      <c r="J178" s="19" t="e">
        <f>I178/S178</f>
        <v>#VALUE!</v>
      </c>
      <c r="K178" s="36" t="str" cm="1">
        <f t="array" ref="K178">_xll.BDP($B178&amp;" Equity","bid")</f>
        <v>#N/A Invalid Security</v>
      </c>
      <c r="L178" s="36" t="str" cm="1">
        <f t="array" ref="L178">_xll.BDP($B178&amp;" Equity","ask")</f>
        <v>#N/A Invalid Security</v>
      </c>
      <c r="M178" s="40" t="e">
        <f>(L178/K178-1)</f>
        <v>#VALUE!</v>
      </c>
      <c r="N178" s="36" t="str" cm="1">
        <f t="array" ref="N178">_xll.BDP(F178&amp;" Curncy","PX_LAST")</f>
        <v>#N/A Invalid Security Curncy</v>
      </c>
      <c r="O178" s="162" t="str" cm="1">
        <f t="array" ref="O178">_xll.BDP(B178&amp;" Equity","OPT_MULTIPLIER")</f>
        <v>#N/A Invalid Security</v>
      </c>
      <c r="P178" s="15" t="e">
        <f>IF(G178="Buy",((I178/N178)*H178*O178),((I178/N178)*-H178*O178))</f>
        <v>#VALUE!</v>
      </c>
      <c r="Q178" s="58" t="e">
        <f>P178/'Master P&amp;L'!$AD$5*10000</f>
        <v>#VALUE!</v>
      </c>
      <c r="R178" s="37" t="e" cm="1">
        <f t="array" ref="R178">_xll.BDP($C178&amp;" Equity","EST_PE_NXT_YR")*(T178/S178)</f>
        <v>#VALUE!</v>
      </c>
      <c r="S178" s="36" t="str" cm="1">
        <f t="array" ref="S178">_xll.BDP(C178&amp;" Equity","LAST_PRICE")</f>
        <v>#N/A Invalid Security Equity</v>
      </c>
      <c r="T178" s="53" t="str" cm="1">
        <f t="array" ref="T178">_xll.BDP(B178&amp;" Equity","OPT_STRIKE_PX")</f>
        <v>#N/A Invalid Security</v>
      </c>
      <c r="U178" s="40" t="e">
        <f>T178/S178-1</f>
        <v>#VALUE!</v>
      </c>
      <c r="V178" s="37" t="str" cm="1">
        <f t="array" ref="V178">_xll.BDP($B178&amp;" Equity","ivol_mid")</f>
        <v>#N/A Invalid Security</v>
      </c>
      <c r="W178" s="38" t="str" cm="1">
        <f t="array" ref="W178">_xll.BDP(B178&amp;" Equity","DELTA_MID_RT")</f>
        <v>#N/A Invalid Security</v>
      </c>
      <c r="X178" s="48" t="e">
        <f>Y178/'Master P&amp;L'!$AE$5</f>
        <v>#VALUE!</v>
      </c>
      <c r="Y178" s="15" t="e">
        <f>IF(G178="Sell", S178*W178*-H178*O178/N178, S178*W178*H178*O178/N178)</f>
        <v>#VALUE!</v>
      </c>
      <c r="Z178" s="15" t="e" cm="1">
        <f t="array" ref="Z178">_xll.BDP($B178&amp;" Equity","opt_theta")*H178*O178/N178</f>
        <v>#VALUE!</v>
      </c>
      <c r="AA178" s="19" t="e" cm="1">
        <f t="array" ref="AA178">_xll.BDP($B178&amp;" Equity","opt_theta")/I178</f>
        <v>#VALUE!</v>
      </c>
      <c r="AB178" s="36" t="str" cm="1">
        <f t="array" ref="AB178">_xll.BDP($C178&amp;" Equity","EXPECTED_REPORT_DT")</f>
        <v>#N/A Invalid Security Equity</v>
      </c>
      <c r="AC178" s="15" t="e">
        <f>S178*H178*O178/N178</f>
        <v>#VALUE!</v>
      </c>
      <c r="AD178" s="19" t="e">
        <f>AC178/'Master P&amp;L'!$AE$5</f>
        <v>#VALUE!</v>
      </c>
      <c r="AE178" t="str">
        <f>B178  &amp; " - Buy to open " &amp;  "-" &amp; H178 &amp;"x"</f>
        <v xml:space="preserve"> - Buy to open -20x</v>
      </c>
      <c r="AK178" s="59"/>
    </row>
    <row r="179" spans="1:37">
      <c r="A179" s="237"/>
      <c r="B179" s="73"/>
      <c r="C179" t="str" cm="1">
        <f t="array" ref="C179">_xll.BDP(B179&amp;" Equity","OPT_UNDL_TICKER")</f>
        <v>#N/A Invalid Security</v>
      </c>
      <c r="D179" s="64" t="e">
        <f>A179*AVERAGE(K179:L179)</f>
        <v>#DIV/0!</v>
      </c>
      <c r="E179" t="str" cm="1">
        <f t="array" ref="E179">_xll.BDP($B179&amp;" Index","opt_days_expire")</f>
        <v>#N/A Invalid Security</v>
      </c>
      <c r="F179" t="str" cm="1">
        <f t="array" ref="F179">_xll.BDP(B179&amp;" Equity","QUOTED_CURRENCY_REALTIME")</f>
        <v>#N/A Invalid Security</v>
      </c>
      <c r="G179" s="105" t="s">
        <v>247</v>
      </c>
      <c r="H179" s="131">
        <v>20</v>
      </c>
      <c r="I179" s="97" t="str">
        <f>IF(G179="Buy",L179,K179)</f>
        <v>#N/A Invalid Security</v>
      </c>
      <c r="J179" s="19" t="e">
        <f>I179/S179</f>
        <v>#VALUE!</v>
      </c>
      <c r="K179" s="36" t="str" cm="1">
        <f t="array" ref="K179">_xll.BDP($B179&amp;" Equity","bid")</f>
        <v>#N/A Invalid Security</v>
      </c>
      <c r="L179" s="36" t="str" cm="1">
        <f t="array" ref="L179">_xll.BDP($B179&amp;" Equity","ask")</f>
        <v>#N/A Invalid Security</v>
      </c>
      <c r="M179" s="40" t="e">
        <f>(L179/K179-1)</f>
        <v>#VALUE!</v>
      </c>
      <c r="N179" s="36" t="str" cm="1">
        <f t="array" ref="N179">_xll.BDP(F179&amp;" Curncy","PX_LAST")</f>
        <v>#N/A Invalid Security Curncy</v>
      </c>
      <c r="O179" s="162" t="str" cm="1">
        <f t="array" ref="O179">_xll.BDP(B179&amp;" Equity","OPT_MULTIPLIER")</f>
        <v>#N/A Invalid Security</v>
      </c>
      <c r="P179" s="15" t="e">
        <f>IF(G179="Buy",((I179/N179)*H179*O179),((I179/N179)*-H179*O179))</f>
        <v>#VALUE!</v>
      </c>
      <c r="Q179" s="58" t="e">
        <f>P179/'Master P&amp;L'!$AD$5*10000</f>
        <v>#VALUE!</v>
      </c>
      <c r="R179" s="37" t="e" cm="1">
        <f t="array" ref="R179">_xll.BDP($C179&amp;" Equity","EST_PE_NXT_YR")*(T179/S179)</f>
        <v>#VALUE!</v>
      </c>
      <c r="S179" s="36" t="str" cm="1">
        <f t="array" ref="S179">_xll.BDP(C179&amp;" Equity","LAST_PRICE")</f>
        <v>#N/A Invalid Security Equity</v>
      </c>
      <c r="T179" s="53" t="str" cm="1">
        <f t="array" ref="T179">_xll.BDP(B179&amp;" Equity","OPT_STRIKE_PX")</f>
        <v>#N/A Invalid Security</v>
      </c>
      <c r="U179" s="40" t="e">
        <f>T179/S179-1</f>
        <v>#VALUE!</v>
      </c>
      <c r="V179" s="37" t="str" cm="1">
        <f t="array" ref="V179">_xll.BDP($B179&amp;" Equity","ivol_mid")</f>
        <v>#N/A Invalid Security</v>
      </c>
      <c r="W179" s="38" t="str" cm="1">
        <f t="array" ref="W179">_xll.BDP(B179&amp;" Equity","DELTA_MID_RT")</f>
        <v>#N/A Invalid Security</v>
      </c>
      <c r="X179" s="48" t="e">
        <f>Y179/'Master P&amp;L'!$AE$5</f>
        <v>#VALUE!</v>
      </c>
      <c r="Y179" s="15" t="e">
        <f>IF(G179="Sell", S179*W179*-H179*O179/N179, S179*W179*H179*O179/N179)</f>
        <v>#VALUE!</v>
      </c>
      <c r="Z179" s="15" t="e" cm="1">
        <f t="array" ref="Z179">_xll.BDP($B179&amp;" Equity","opt_theta")*H179*O179/N179</f>
        <v>#VALUE!</v>
      </c>
      <c r="AA179" s="19" t="e" cm="1">
        <f t="array" ref="AA179">_xll.BDP($B179&amp;" Equity","opt_theta")/I179</f>
        <v>#VALUE!</v>
      </c>
      <c r="AB179" s="36" t="str" cm="1">
        <f t="array" ref="AB179">_xll.BDP($C179&amp;" Equity","EXPECTED_REPORT_DT")</f>
        <v>#N/A Invalid Security Equity</v>
      </c>
      <c r="AC179" s="15" t="e">
        <f>S179*H179*O179/N179</f>
        <v>#VALUE!</v>
      </c>
      <c r="AD179" s="48" t="e">
        <f>AC179/'Master P&amp;L'!$AE$5</f>
        <v>#VALUE!</v>
      </c>
      <c r="AE179" t="str">
        <f>B179&amp;" -&gt; Buy to open "&amp;H179&amp;"x"</f>
        <v xml:space="preserve"> -&gt; Buy to open 20x</v>
      </c>
    </row>
    <row r="180" spans="1:37">
      <c r="A180" s="237"/>
      <c r="B180" t="s">
        <v>2316</v>
      </c>
      <c r="C180" t="str" cm="1">
        <f t="array" ref="C180">_xll.BDP(B180&amp;" Equity","OPT_UNDL_TICKER")</f>
        <v>META US</v>
      </c>
      <c r="D180" s="64">
        <f>A180*AVERAGE(K180:L180)</f>
        <v>0</v>
      </c>
      <c r="E180" cm="1">
        <f t="array" ref="E180">_xll.BDP($B180&amp;" Index","opt_days_expire")</f>
        <v>31</v>
      </c>
      <c r="F180" t="str" cm="1">
        <f t="array" ref="F180">_xll.BDP(B180&amp;" Equity","QUOTED_CURRENCY_REALTIME")</f>
        <v>USD</v>
      </c>
      <c r="G180" s="105" t="s">
        <v>247</v>
      </c>
      <c r="H180" s="131">
        <v>35</v>
      </c>
      <c r="I180" s="97">
        <f>IF(G180="Buy",L180,K180)</f>
        <v>40.950000000000003</v>
      </c>
      <c r="J180" s="19">
        <f>I180/S180</f>
        <v>6.0849666404148774E-2</v>
      </c>
      <c r="K180" s="36" cm="1">
        <f t="array" ref="K180">_xll.BDP($B180&amp;" Equity","bid")</f>
        <v>40.65</v>
      </c>
      <c r="L180" s="36" cm="1">
        <f t="array" ref="L180">_xll.BDP($B180&amp;" Equity","ask")</f>
        <v>40.950000000000003</v>
      </c>
      <c r="M180" s="40">
        <f>(L180/K180-1)</f>
        <v>7.3800738007381295E-3</v>
      </c>
      <c r="N180" s="36" cm="1">
        <f t="array" ref="N180">_xll.BDP(F180&amp;" Curncy","PX_LAST")</f>
        <v>1</v>
      </c>
      <c r="O180" s="162" cm="1">
        <f t="array" ref="O180">_xll.BDP(B180&amp;" Equity","OPT_MULTIPLIER")</f>
        <v>100</v>
      </c>
      <c r="P180" s="15">
        <f>IF(G180="Buy",((I180/N180)*H180*O180),((I180/N180)*-H180*O180))</f>
        <v>143325</v>
      </c>
      <c r="Q180" s="58">
        <f>P180/'Master P&amp;L'!$AD$5*10000</f>
        <v>0.63812449788517733</v>
      </c>
      <c r="R180" s="37" cm="1">
        <f t="array" ref="R180">_xll.BDP($C180&amp;" Equity","EST_PE_NXT_YR")*(T180/S180)</f>
        <v>19.663334707364054</v>
      </c>
      <c r="S180" s="36" cm="1">
        <f t="array" ref="S180">_xll.BDP(C180&amp;" Equity","LAST_PRICE")</f>
        <v>672.97</v>
      </c>
      <c r="T180" s="53" cm="1">
        <f t="array" ref="T180">_xll.BDP(B180&amp;" Equity","OPT_STRIKE_PX")</f>
        <v>660</v>
      </c>
      <c r="U180" s="40">
        <f>T180/S180-1</f>
        <v>-1.9272775903829364E-2</v>
      </c>
      <c r="V180" s="37" cm="1">
        <f t="array" ref="V180">_xll.BDP(B180&amp;" Equity","ivol_mid")</f>
        <v>41.970779999999998</v>
      </c>
      <c r="W180" s="38" cm="1">
        <f t="array" ref="W180">_xll.BDP(B180&amp;" Equity","DELTA_MID_RT")</f>
        <v>0.59679120779037476</v>
      </c>
      <c r="X180" s="48">
        <f>Y180/'Master P&amp;L'!$AE$5</f>
        <v>6.2584910044396959E-4</v>
      </c>
      <c r="Y180" s="15">
        <f>IF(G180="Sell", S180*W180*-H180*O180/N180, S180*W180*H180*O180/N180)</f>
        <v>1405679.02687341</v>
      </c>
      <c r="Z180" s="15" cm="1">
        <f t="array" ref="Z180">_xll.BDP($B180&amp;" Equity","opt_theta")*H180*O180/N180</f>
        <v>-1785.1469999999999</v>
      </c>
      <c r="AA180" s="19" cm="1">
        <f t="array" ref="AA180">_xll.BDP($B180&amp;" Equity","opt_theta")/I180</f>
        <v>-1.2455238095238094E-2</v>
      </c>
      <c r="AB180" s="36" t="str" cm="1">
        <f t="array" ref="AB180">_xll.BDP($C180&amp;" Equity","EXPECTED_REPORT_DT")</f>
        <v>28/01/2026</v>
      </c>
      <c r="AC180" s="15">
        <f>S180*H180*O180/N180</f>
        <v>2355395</v>
      </c>
      <c r="AD180" s="19">
        <f>AC180/'Master P&amp;L'!$AE$5</f>
        <v>1.0486902157308615E-3</v>
      </c>
      <c r="AE180" t="str">
        <f>B180  &amp; " -&gt; Sell to open " &amp;   H180 &amp;"x"</f>
        <v>META US 02/27/26 C660 -&gt; Sell to open 35x</v>
      </c>
    </row>
    <row r="181" spans="1:37">
      <c r="H181" s="100" t="s">
        <v>116</v>
      </c>
      <c r="I181" s="102" t="e">
        <f>I179-I178-I180</f>
        <v>#VALUE!</v>
      </c>
      <c r="J181" s="100" t="s">
        <v>249</v>
      </c>
      <c r="K181" s="101" t="e">
        <f>K180/L179</f>
        <v>#VALUE!</v>
      </c>
      <c r="P181" s="130" t="e">
        <f>P179+P180+P178</f>
        <v>#VALUE!</v>
      </c>
      <c r="Q181" s="58" t="e">
        <f>P181/'Master P&amp;L'!$AD$5*10000</f>
        <v>#VALUE!</v>
      </c>
      <c r="S181" s="100" t="s">
        <v>251</v>
      </c>
      <c r="T181" s="102"/>
      <c r="W181" s="100" t="s">
        <v>252</v>
      </c>
      <c r="X181" s="122" t="e">
        <f>X179+X180+X178</f>
        <v>#VALUE!</v>
      </c>
      <c r="AC181" s="100" t="s">
        <v>229</v>
      </c>
      <c r="AD181" s="122" t="e">
        <f>AD179</f>
        <v>#VALUE!</v>
      </c>
    </row>
    <row r="182" spans="1:37">
      <c r="H182" s="100" t="s">
        <v>253</v>
      </c>
      <c r="I182" s="102"/>
      <c r="J182" s="100" t="s">
        <v>145</v>
      </c>
      <c r="K182" s="109" t="e">
        <f>-AVERAGE(K178:L178)+AVERAGE(K179:L179)-AVERAGE(K180:L180)</f>
        <v>#DIV/0!</v>
      </c>
      <c r="P182" s="100"/>
      <c r="Q182" s="108"/>
      <c r="S182" s="100"/>
      <c r="T182" s="102"/>
      <c r="W182" s="100"/>
      <c r="X182" s="122"/>
      <c r="Y182" s="13" t="e">
        <f>(Y178+Y179+Y180)/S179</f>
        <v>#VALUE!</v>
      </c>
      <c r="AC182" s="100"/>
      <c r="AD182" s="104"/>
    </row>
    <row r="183" spans="1:37">
      <c r="D183" s="64"/>
      <c r="H183" s="96"/>
      <c r="I183" s="64" t="e">
        <f>(I179*A179)-(I180*A180)-(I178*A178)</f>
        <v>#VALUE!</v>
      </c>
      <c r="K183" s="64"/>
      <c r="N183" s="36"/>
      <c r="O183" s="162"/>
      <c r="P183" s="15"/>
      <c r="Q183" s="58"/>
    </row>
    <row r="185" spans="1:37">
      <c r="A185">
        <v>300</v>
      </c>
      <c r="H185" s="276">
        <v>1</v>
      </c>
      <c r="I185" s="64">
        <f>I187-I186</f>
        <v>6.22</v>
      </c>
      <c r="J185" s="18">
        <f>T186-T187</f>
        <v>15</v>
      </c>
      <c r="K185" s="276">
        <f>(J185-I185)/I185</f>
        <v>1.411575562700965</v>
      </c>
      <c r="Q185" s="276">
        <f>Q187+Q186</f>
        <v>5.5386490519390236E-2</v>
      </c>
    </row>
    <row r="186" spans="1:37">
      <c r="A186" s="237">
        <v>1</v>
      </c>
      <c r="B186" s="132" t="s">
        <v>2089</v>
      </c>
      <c r="C186" t="str" cm="1">
        <f t="array" ref="C186">_xll.BDP(B186&amp;" Equity","OPT_UNDL_TICKER")</f>
        <v>NFLX US</v>
      </c>
      <c r="D186" s="64">
        <f>A186*AVERAGE(K186:L186)</f>
        <v>0.34499999999999997</v>
      </c>
      <c r="E186" cm="1">
        <f t="array" ref="E186">_xll.BDP($B186&amp;" Index","opt_days_expire")</f>
        <v>52</v>
      </c>
      <c r="F186" t="str" cm="1">
        <f t="array" ref="F186">_xll.BDP(B186&amp;" Equity","QUOTED_CURRENCY_REALTIME")</f>
        <v>USD</v>
      </c>
      <c r="G186" s="105" t="s">
        <v>248</v>
      </c>
      <c r="H186" s="131">
        <f>H187*H185</f>
        <v>20</v>
      </c>
      <c r="I186" s="97">
        <f>IF(G186="Buy",L186,K186)</f>
        <v>0.33</v>
      </c>
      <c r="J186" s="19">
        <f>I186/S186</f>
        <v>3.8560411311053988E-3</v>
      </c>
      <c r="K186" s="36" cm="1">
        <f t="array" ref="K186">_xll.BDP($B186&amp;" Equity","bid")</f>
        <v>0.33</v>
      </c>
      <c r="L186" s="36" cm="1">
        <f t="array" ref="L186">_xll.BDP($B186&amp;" Equity","ask")</f>
        <v>0.36</v>
      </c>
      <c r="M186" s="40">
        <f>(L186/K186-1)</f>
        <v>9.0909090909090828E-2</v>
      </c>
      <c r="N186" s="36" cm="1">
        <f t="array" ref="N186">_xll.BDP(F186&amp;" Curncy","PX_LAST")</f>
        <v>1</v>
      </c>
      <c r="O186" s="162" cm="1">
        <f t="array" ref="O186">_xll.BDP(B186&amp;" Equity","OPT_MULTIPLIER")</f>
        <v>100</v>
      </c>
      <c r="P186" s="15">
        <f>IF(G186="Buy",((I186/N186)*H186*O186),((I186/N186)*-H186*O186))</f>
        <v>-660</v>
      </c>
      <c r="Q186" s="58">
        <f>P186/'Master P&amp;L'!$AD$5*10000</f>
        <v>-2.9385115548872633E-3</v>
      </c>
      <c r="R186" s="37" cm="1">
        <f t="array" ref="R186">_xll.BDP($C186&amp;" Equity","EST_PE_NXT_YR")*(T186/S186)</f>
        <v>27.551681796877727</v>
      </c>
      <c r="S186" s="36" cm="1">
        <f t="array" ref="S186">_xll.BDP(C186&amp;" Equity","LAST_PRICE")</f>
        <v>85.58</v>
      </c>
      <c r="T186" s="53" cm="1">
        <f t="array" ref="T186">_xll.BDP(B186&amp;" Equity","OPT_STRIKE_PX")</f>
        <v>105</v>
      </c>
      <c r="U186" s="40">
        <f>T186/S186-1</f>
        <v>0.22692217807899051</v>
      </c>
      <c r="V186" s="37" cm="1">
        <f t="array" ref="V186">_xll.BDP($B186&amp;" Equity","ivol_mid")</f>
        <v>34.415219999999998</v>
      </c>
      <c r="W186" s="38" cm="1">
        <f t="array" ref="W186">_xll.BDP(B186&amp;" Equity","DELTA_MID_RT")</f>
        <v>7.2952397167682648E-2</v>
      </c>
      <c r="X186" s="48">
        <f>Y186/'Master P&amp;L'!$AE$5</f>
        <v>-5.5593665820807042E-6</v>
      </c>
      <c r="Y186" s="15">
        <f>IF(G186="Sell", S186*W186*-H186*O186/N186, S186*W186*H186*O186/N186)</f>
        <v>-12486.532299220562</v>
      </c>
      <c r="Z186" s="15" cm="1">
        <f t="array" ref="Z186">_xll.BDP($B186&amp;" Equity","opt_theta")*H186*O186/N186</f>
        <v>-29.192</v>
      </c>
      <c r="AA186" s="19" cm="1">
        <f t="array" ref="AA186">_xll.BDP($B186&amp;" Equity","opt_theta")/I186</f>
        <v>-4.423030303030303E-2</v>
      </c>
      <c r="AB186" s="36" t="str" cm="1">
        <f t="array" ref="AB186">_xll.BDP($C186&amp;" Equity","EXPECTED_REPORT_DT")</f>
        <v>17/04/2026</v>
      </c>
      <c r="AC186" s="15">
        <f>S186*H186*O186/N186</f>
        <v>171160</v>
      </c>
      <c r="AD186" s="19">
        <f>AC186/'Master P&amp;L'!$AE$5</f>
        <v>7.6205399656743023E-5</v>
      </c>
      <c r="AE186" t="str">
        <f>B186  &amp; " - Buy to open " &amp;  "-" &amp; H186 &amp;"x"</f>
        <v>NFLX US 03/20/26 C105 - Buy to open -20x</v>
      </c>
      <c r="AK186" s="59"/>
    </row>
    <row r="187" spans="1:37">
      <c r="A187" s="237">
        <v>2</v>
      </c>
      <c r="B187" s="132" t="s">
        <v>2087</v>
      </c>
      <c r="C187" t="str" cm="1">
        <f t="array" ref="C187">_xll.BDP(B187&amp;" Equity","OPT_UNDL_TICKER")</f>
        <v>NFLX US</v>
      </c>
      <c r="D187" s="64">
        <f>A187*AVERAGE(K187:L187)</f>
        <v>12.899999999999999</v>
      </c>
      <c r="E187" cm="1">
        <f t="array" ref="E187">_xll.BDP($B187&amp;" Index","opt_days_expire")</f>
        <v>52</v>
      </c>
      <c r="F187" t="str" cm="1">
        <f t="array" ref="F187">_xll.BDP(B187&amp;" Equity","QUOTED_CURRENCY_REALTIME")</f>
        <v>USD</v>
      </c>
      <c r="G187" s="105" t="s">
        <v>247</v>
      </c>
      <c r="H187" s="131">
        <v>20</v>
      </c>
      <c r="I187" s="97">
        <f>IF(G187="Buy",L187,K187)</f>
        <v>6.55</v>
      </c>
      <c r="J187" s="19">
        <f>I187/S187</f>
        <v>7.6536573965879873E-2</v>
      </c>
      <c r="K187" s="36" cm="1">
        <f t="array" ref="K187">_xll.BDP($B187&amp;" Equity","bid")</f>
        <v>6.35</v>
      </c>
      <c r="L187" s="36" cm="1">
        <f t="array" ref="L187">_xll.BDP($B187&amp;" Equity","ask")</f>
        <v>6.55</v>
      </c>
      <c r="M187" s="40">
        <f>(L187/K187-1)</f>
        <v>3.1496062992125928E-2</v>
      </c>
      <c r="N187" s="36" cm="1">
        <f t="array" ref="N187">_xll.BDP(F187&amp;" Curncy","PX_LAST")</f>
        <v>1</v>
      </c>
      <c r="O187" s="162" cm="1">
        <f t="array" ref="O187">_xll.BDP(B187&amp;" Equity","OPT_MULTIPLIER")</f>
        <v>100</v>
      </c>
      <c r="P187" s="15">
        <f>IF(G187="Buy",((I187/N187)*H187*O187),((I187/N187)*-H187*O187))</f>
        <v>13100</v>
      </c>
      <c r="Q187" s="58">
        <f>P187/'Master P&amp;L'!$AD$5*10000</f>
        <v>5.8325002074277502E-2</v>
      </c>
      <c r="R187" s="37" cm="1">
        <f t="array" ref="R187">_xll.BDP($C187&amp;" Equity","EST_PE_NXT_YR")*(T187/S187)</f>
        <v>23.615727254466623</v>
      </c>
      <c r="S187" s="36" cm="1">
        <f t="array" ref="S187">_xll.BDP(C187&amp;" Equity","LAST_PRICE")</f>
        <v>85.58</v>
      </c>
      <c r="T187" s="53" cm="1">
        <f t="array" ref="T187">_xll.BDP(B187&amp;" Equity","OPT_STRIKE_PX")</f>
        <v>90</v>
      </c>
      <c r="U187" s="40">
        <f>T187/S187-1</f>
        <v>5.1647581210563231E-2</v>
      </c>
      <c r="V187" s="37" cm="1">
        <f t="array" ref="V187">_xll.BDP($B187&amp;" Equity","ivol_mid")</f>
        <v>31.278690000000001</v>
      </c>
      <c r="W187" s="38" cm="1">
        <f t="array" ref="W187">_xll.BDP(B187&amp;" Equity","DELTA_MID_RT")</f>
        <v>-0.63134938478469849</v>
      </c>
      <c r="X187" s="48">
        <f>Y187/'Master P&amp;L'!$AE$5</f>
        <v>-4.8112232190556783E-5</v>
      </c>
      <c r="Y187" s="15">
        <f>IF(G187="Sell", S187*W187*-H187*O187/N187, S187*W187*H187*O187/N187)</f>
        <v>-108061.76069974899</v>
      </c>
      <c r="Z187" s="15" cm="1">
        <f t="array" ref="Z187">_xll.BDP($B187&amp;" Equity","opt_theta")*H187*O187/N187</f>
        <v>-73.929999999999993</v>
      </c>
      <c r="AA187" s="19" cm="1">
        <f t="array" ref="AA187">_xll.BDP($B187&amp;" Equity","opt_theta")/I187</f>
        <v>-5.6435114503816794E-3</v>
      </c>
      <c r="AB187" s="36" t="str" cm="1">
        <f t="array" ref="AB187">_xll.BDP($C187&amp;" Equity","EXPECTED_REPORT_DT")</f>
        <v>17/04/2026</v>
      </c>
      <c r="AC187" s="15">
        <f>S187*H187*O187/N187</f>
        <v>171160</v>
      </c>
      <c r="AD187" s="48">
        <f>AC187/'Master P&amp;L'!$AE$5</f>
        <v>7.6205399656743023E-5</v>
      </c>
      <c r="AE187" t="str">
        <f>B187&amp;" -&gt; Buy to open "&amp;H187&amp;"x"</f>
        <v>NFLX US 03/20/26 P90 -&gt; Buy to open 20x</v>
      </c>
    </row>
    <row r="188" spans="1:37">
      <c r="A188" s="237">
        <v>2</v>
      </c>
      <c r="B188" s="132" t="s">
        <v>2088</v>
      </c>
      <c r="C188" t="str" cm="1">
        <f t="array" ref="C188">_xll.BDP(B188&amp;" Equity","OPT_UNDL_TICKER")</f>
        <v>NFLX US</v>
      </c>
      <c r="D188" s="64">
        <f>A188*AVERAGE(K188:L188)</f>
        <v>3.34</v>
      </c>
      <c r="E188" cm="1">
        <f t="array" ref="E188">_xll.BDP($B188&amp;" Index","opt_days_expire")</f>
        <v>52</v>
      </c>
      <c r="F188" t="str" cm="1">
        <f t="array" ref="F188">_xll.BDP(B188&amp;" Equity","QUOTED_CURRENCY_REALTIME")</f>
        <v>USD</v>
      </c>
      <c r="G188" s="105" t="s">
        <v>248</v>
      </c>
      <c r="H188" s="131">
        <f>H187*1.5</f>
        <v>30</v>
      </c>
      <c r="I188" s="97">
        <f>IF(G188="Buy",L188,K188)</f>
        <v>1.64</v>
      </c>
      <c r="J188" s="19">
        <f>I188/S188</f>
        <v>1.9163355924281374E-2</v>
      </c>
      <c r="K188" s="36" cm="1">
        <f t="array" ref="K188">_xll.BDP($B188&amp;" Equity","bid")</f>
        <v>1.64</v>
      </c>
      <c r="L188" s="36" cm="1">
        <f t="array" ref="L188">_xll.BDP($B188&amp;" Equity","ask")</f>
        <v>1.7</v>
      </c>
      <c r="M188" s="40">
        <f>(L188/K188-1)</f>
        <v>3.6585365853658569E-2</v>
      </c>
      <c r="N188" s="36" cm="1">
        <f t="array" ref="N188">_xll.BDP(F188&amp;" Curncy","PX_LAST")</f>
        <v>1</v>
      </c>
      <c r="O188" s="162" cm="1">
        <f t="array" ref="O188">_xll.BDP(B188&amp;" Equity","OPT_MULTIPLIER")</f>
        <v>100</v>
      </c>
      <c r="P188" s="15">
        <f>IF(G188="Buy",((I188/N188)*H188*O188),((I188/N188)*-H188*O188))</f>
        <v>-4920</v>
      </c>
      <c r="Q188" s="58">
        <f>P188/'Master P&amp;L'!$AD$5*10000</f>
        <v>-2.1905267954614144E-2</v>
      </c>
      <c r="R188" s="37" cm="1">
        <f t="array" ref="R188">_xll.BDP($C188&amp;" Equity","EST_PE_NXT_YR")*(T188/S188)</f>
        <v>20.991757559525887</v>
      </c>
      <c r="S188" s="36" cm="1">
        <f t="array" ref="S188">_xll.BDP(C188&amp;" Equity","LAST_PRICE")</f>
        <v>85.58</v>
      </c>
      <c r="T188" s="53" cm="1">
        <f t="array" ref="T188">_xll.BDP(B188&amp;" Equity","OPT_STRIKE_PX")</f>
        <v>80</v>
      </c>
      <c r="U188" s="40">
        <f>T188/S188-1</f>
        <v>-6.5202150035054918E-2</v>
      </c>
      <c r="V188" s="37" cm="1">
        <f t="array" ref="V188">_xll.BDP(B188&amp;" Equity","ivol_mid")</f>
        <v>31.650200000000002</v>
      </c>
      <c r="W188" s="38" cm="1">
        <f t="array" ref="W188">_xll.BDP(B188&amp;" Equity","DELTA_MID_RT")</f>
        <v>-0.25411871075630188</v>
      </c>
      <c r="X188" s="48">
        <f>Y188/'Master P&amp;L'!$AE$5</f>
        <v>2.9047826870160404E-5</v>
      </c>
      <c r="Y188" s="15">
        <f>IF(G188="Sell", S188*W188*-H188*O188/N188, S188*W188*H188*O188/N188)</f>
        <v>65242.437799572952</v>
      </c>
      <c r="Z188" s="15" cm="1">
        <f t="array" ref="Z188">_xll.BDP($B188&amp;" Equity","opt_theta")*H188*O188/N188</f>
        <v>-94.518000000000001</v>
      </c>
      <c r="AA188" s="19" cm="1">
        <f t="array" ref="AA188">_xll.BDP($B188&amp;" Equity","opt_theta")/I188</f>
        <v>-1.9210975609756098E-2</v>
      </c>
      <c r="AB188" s="36" t="str" cm="1">
        <f t="array" ref="AB188">_xll.BDP($C188&amp;" Equity","EXPECTED_REPORT_DT")</f>
        <v>17/04/2026</v>
      </c>
      <c r="AC188" s="15">
        <f>S188*H188*O188/N188</f>
        <v>256740</v>
      </c>
      <c r="AD188" s="19">
        <f>AC188/'Master P&amp;L'!$AE$5</f>
        <v>1.1430809948511454E-4</v>
      </c>
      <c r="AE188" t="str">
        <f>B188  &amp; " -&gt; Sell to open " &amp;   H188 &amp;"x"</f>
        <v>NFLX US 03/20/26 P80 -&gt; Sell to open 30x</v>
      </c>
    </row>
    <row r="189" spans="1:37">
      <c r="H189" s="100" t="s">
        <v>116</v>
      </c>
      <c r="I189" s="102">
        <f>I187-I186-I188</f>
        <v>4.58</v>
      </c>
      <c r="J189" s="100" t="s">
        <v>249</v>
      </c>
      <c r="K189" s="101">
        <f>K188/L187</f>
        <v>0.25038167938931299</v>
      </c>
      <c r="P189" s="130">
        <f>P187+P188+P186</f>
        <v>7520</v>
      </c>
      <c r="Q189" s="58">
        <f>P189/'Master P&amp;L'!$AD$5*10000</f>
        <v>3.3481222564776092E-2</v>
      </c>
      <c r="S189" s="100" t="s">
        <v>251</v>
      </c>
      <c r="T189" s="102"/>
      <c r="W189" s="100" t="s">
        <v>252</v>
      </c>
      <c r="X189" s="122">
        <f>X187+X188+X186</f>
        <v>-2.4623771902477082E-5</v>
      </c>
      <c r="AC189" s="100" t="s">
        <v>229</v>
      </c>
      <c r="AD189" s="122">
        <f>AD187</f>
        <v>7.6205399656743023E-5</v>
      </c>
    </row>
    <row r="190" spans="1:37">
      <c r="H190" s="100" t="s">
        <v>253</v>
      </c>
      <c r="I190" s="102"/>
      <c r="J190" s="100" t="s">
        <v>145</v>
      </c>
      <c r="K190" s="109">
        <f>-AVERAGE(K186:L186)+AVERAGE(K187:L187)-AVERAGE(K188:L188)</f>
        <v>4.4349999999999996</v>
      </c>
      <c r="P190" s="100"/>
      <c r="Q190" s="108"/>
      <c r="S190" s="100"/>
      <c r="T190" s="102"/>
      <c r="W190" s="100"/>
      <c r="X190" s="122"/>
      <c r="Y190" s="13">
        <f>(Y186+Y187+Y188)/S187</f>
        <v>-646.24743163585651</v>
      </c>
      <c r="AC190" s="100"/>
      <c r="AD190" s="104"/>
    </row>
    <row r="191" spans="1:37">
      <c r="D191" s="64"/>
      <c r="H191" s="96"/>
      <c r="I191" s="64">
        <f>I187-I186</f>
        <v>6.22</v>
      </c>
      <c r="K191" s="64"/>
      <c r="N191" s="36"/>
      <c r="O191" s="162"/>
      <c r="P191" s="15"/>
      <c r="Q191" s="58"/>
    </row>
    <row r="192" spans="1:37">
      <c r="D192" s="64"/>
      <c r="E192" s="129"/>
    </row>
    <row r="193" spans="1:37">
      <c r="D193" s="64"/>
      <c r="I193" s="64">
        <f>I196-I197</f>
        <v>0.90000000000000036</v>
      </c>
      <c r="Q193" s="64">
        <f>Q196+Q197</f>
        <v>6.0105918168148587E-2</v>
      </c>
    </row>
    <row r="194" spans="1:37">
      <c r="A194">
        <v>300</v>
      </c>
      <c r="H194" s="276">
        <v>1</v>
      </c>
      <c r="I194" s="129">
        <f>(I196-I195)/I197</f>
        <v>0.59000000000000008</v>
      </c>
      <c r="K194" s="129"/>
      <c r="Q194" s="129">
        <f>(Q196+Q195)/Q197</f>
        <v>-0.59000000000000019</v>
      </c>
    </row>
    <row r="195" spans="1:37">
      <c r="A195" s="237">
        <v>1</v>
      </c>
      <c r="B195" s="132" t="s">
        <v>2353</v>
      </c>
      <c r="C195" t="str" cm="1">
        <f t="array" ref="C195">_xll.BDP(B195&amp;" Equity","OPT_UNDL_TICKER")</f>
        <v>INTC US</v>
      </c>
      <c r="D195" t="str" cm="1">
        <f t="array" ref="D195">_xll.BDP($B195&amp;" Index","mifid_Maturity_date")</f>
        <v>#N/A Invalid Security</v>
      </c>
      <c r="E195" t="str" cm="1">
        <f t="array" ref="E195">_xll.BDP($B195&amp;" Index","opt_days_expire")</f>
        <v>#N/A Invalid Security</v>
      </c>
      <c r="F195" t="str" cm="1">
        <f t="array" ref="F195">_xll.BDP(B195&amp;" Equity","QUOTED_CURRENCY_REALTIME")</f>
        <v>USD</v>
      </c>
      <c r="G195" s="105" t="s">
        <v>248</v>
      </c>
      <c r="H195" s="131">
        <f>H194*H196</f>
        <v>150</v>
      </c>
      <c r="I195" s="97">
        <f>IF(G195="Buy",L195,K195)</f>
        <v>2.54</v>
      </c>
      <c r="J195" s="19">
        <f>I195/S195</f>
        <v>5.781925791031186E-2</v>
      </c>
      <c r="K195" s="36" cm="1">
        <f t="array" ref="K195">_xll.BDP($B195&amp;" Equity","bid")</f>
        <v>2.54</v>
      </c>
      <c r="L195" s="36" cm="1">
        <f t="array" ref="L195">_xll.BDP($B195&amp;" Equity","ask")</f>
        <v>2.75</v>
      </c>
      <c r="M195" s="40">
        <f>(L195/K195-1)</f>
        <v>8.2677165354330784E-2</v>
      </c>
      <c r="N195" s="36" cm="1">
        <f t="array" ref="N195">_xll.BDP(F195&amp;" Curncy","PX_LAST")</f>
        <v>1</v>
      </c>
      <c r="O195" s="162" cm="1">
        <f t="array" ref="O195">_xll.BDP(B195&amp;" Equity","OPT_MULTIPLIER")</f>
        <v>100</v>
      </c>
      <c r="P195" s="15">
        <f>IF(G195="Buy",((I195/N195)*H195*O195),((I195/N195)*-H195*O195))</f>
        <v>-38100</v>
      </c>
      <c r="Q195" s="58">
        <f>P195/'Master P&amp;L'!$AD$5*10000</f>
        <v>-0.16963225794121928</v>
      </c>
      <c r="R195" s="37" cm="1">
        <f t="array" ref="R195">_xll.BDP($C195&amp;" Equity","EST_PE_NXT_YR")*(T195/S195)</f>
        <v>60.478967591114639</v>
      </c>
      <c r="S195" s="36" cm="1">
        <f t="array" ref="S195">_xll.BDP(C195&amp;" Equity","LAST_PRICE")</f>
        <v>43.93</v>
      </c>
      <c r="T195" s="53" cm="1">
        <f t="array" ref="T195">_xll.BDP(B195&amp;" Equity","OPT_STRIKE_PX")</f>
        <v>60</v>
      </c>
      <c r="U195" s="40">
        <f>T195/S195-1</f>
        <v>0.36580924197587072</v>
      </c>
      <c r="V195" s="37" cm="1">
        <f t="array" ref="V195">_xll.BDP($B195&amp;" Equity","ivol_mid")</f>
        <v>58.32734</v>
      </c>
      <c r="W195" s="38" cm="1">
        <f t="array" ref="W195">_xll.BDP(B195&amp;" Equity","DELTA_MID_RT")</f>
        <v>0.29266536235809326</v>
      </c>
      <c r="X195" s="48">
        <f>Y195/'Master P&amp;L'!$AE$5</f>
        <v>-8.5863236631292687E-5</v>
      </c>
      <c r="Y195" s="15">
        <f>IF(G195="Sell", S195*W195*-H195*O195/N195, S195*W195*H195*O195/N195)</f>
        <v>-192851.84052586555</v>
      </c>
      <c r="Z195" s="15" cm="1">
        <f t="array" ref="Z195">_xll.BDP($B195&amp;" Equity","opt_theta")*H195*O195/N195</f>
        <v>-259.47000000000003</v>
      </c>
      <c r="AA195" s="19" cm="1">
        <f t="array" ref="AA195">_xll.BDP($B195&amp;" Equity","opt_theta")/I195</f>
        <v>-6.8102362204724414E-3</v>
      </c>
      <c r="AB195" s="36" t="str" cm="1">
        <f t="array" ref="AB195">_xll.BDP($C195&amp;" Equity","EXPECTED_REPORT_DT")</f>
        <v>24/04/2026</v>
      </c>
      <c r="AC195" s="15">
        <f>S195*H195*O195/N195</f>
        <v>658950</v>
      </c>
      <c r="AD195" s="19">
        <f>AC195/'Master P&amp;L'!$AE$5</f>
        <v>2.9338366501408517E-4</v>
      </c>
      <c r="AE195" t="str">
        <f>B195  &amp; " - Buy to open " &amp;  "-" &amp; H195 &amp;"x"</f>
        <v>INTC US 07/17/26 C60 - Buy to open -150x</v>
      </c>
      <c r="AK195" s="59" t="s">
        <v>1813</v>
      </c>
    </row>
    <row r="196" spans="1:37">
      <c r="A196" s="237">
        <v>2</v>
      </c>
      <c r="B196" s="132" t="s">
        <v>2352</v>
      </c>
      <c r="C196" t="str" cm="1">
        <f t="array" ref="C196">_xll.BDP(B196&amp;" Equity","OPT_UNDL_TICKER")</f>
        <v>INTC US</v>
      </c>
      <c r="D196" t="str" cm="1">
        <f t="array" ref="D196">_xll.BDP($B196&amp;" Index","mifid_Maturity_date")</f>
        <v>#N/A Invalid Security</v>
      </c>
      <c r="E196" t="str" cm="1">
        <f t="array" ref="E196">_xll.BDP($B196&amp;" Index","opt_days_expire")</f>
        <v>#N/A Invalid Security</v>
      </c>
      <c r="F196" t="str" cm="1">
        <f t="array" ref="F196">_xll.BDP(B196&amp;" Equity","QUOTED_CURRENCY_REALTIME")</f>
        <v>USD</v>
      </c>
      <c r="G196" s="105" t="s">
        <v>247</v>
      </c>
      <c r="H196" s="131">
        <v>150</v>
      </c>
      <c r="I196" s="97">
        <f>IF(G196="Buy",L196,K196)</f>
        <v>4.9000000000000004</v>
      </c>
      <c r="J196" s="19">
        <f>I196/S196</f>
        <v>0.11154108809469612</v>
      </c>
      <c r="K196" s="36" cm="1">
        <f t="array" ref="K196">_xll.BDP($B196&amp;" Equity","bid")</f>
        <v>4.7</v>
      </c>
      <c r="L196" s="36" cm="1">
        <f t="array" ref="L196">_xll.BDP($B196&amp;" Equity","ask")</f>
        <v>4.9000000000000004</v>
      </c>
      <c r="M196" s="40">
        <f>(L196/K196-1)</f>
        <v>4.2553191489361764E-2</v>
      </c>
      <c r="N196" s="36" cm="1">
        <f t="array" ref="N196">_xll.BDP(F196&amp;" Curncy","PX_LAST")</f>
        <v>1</v>
      </c>
      <c r="O196" s="162" cm="1">
        <f t="array" ref="O196">_xll.BDP(B196&amp;" Equity","OPT_MULTIPLIER")</f>
        <v>100</v>
      </c>
      <c r="P196" s="15">
        <f>IF(G196="Buy",((I196/N196)*H196*O196),((I196/N196)*-H196*O196))</f>
        <v>73500</v>
      </c>
      <c r="Q196" s="58">
        <f>P196/'Master P&amp;L'!$AD$5*10000</f>
        <v>0.32724333224880892</v>
      </c>
      <c r="R196" s="37" cm="1">
        <f t="array" ref="R196">_xll.BDP($C196&amp;" Equity","EST_PE_NXT_YR")*(T196/S196)</f>
        <v>50.399139659262197</v>
      </c>
      <c r="S196" s="36">
        <f>_xll.BDP(C196&amp;" Equity","LAST_PRICE")</f>
        <v>43.93</v>
      </c>
      <c r="T196" s="53" cm="1">
        <f t="array" ref="T196">_xll.BDP(B196&amp;" Equity","OPT_STRIKE_PX")</f>
        <v>50</v>
      </c>
      <c r="U196" s="40">
        <f>T196/S196-1</f>
        <v>0.13817436831322549</v>
      </c>
      <c r="V196" s="37" cm="1">
        <f t="array" ref="V196">_xll.BDP($B196&amp;" Equity","ivol_mid")</f>
        <v>56.450049999999997</v>
      </c>
      <c r="W196" s="38" cm="1">
        <f t="array" ref="W196">_xll.BDP(B196&amp;" Equity","DELTA_MID_RT")</f>
        <v>0.46067351102828979</v>
      </c>
      <c r="X196" s="48">
        <f>Y196/'Master P&amp;L'!$AE$5</f>
        <v>1.3515408304038624E-4</v>
      </c>
      <c r="Y196" s="15">
        <f>IF(G196="Sell", S196*W196*-H196*O196/N196, S196*W196*H196*O196/N196)</f>
        <v>303560.81009209156</v>
      </c>
      <c r="Z196" s="15" cm="1">
        <f t="array" ref="Z196">_xll.BDP($B196&amp;" Equity","opt_theta")*H196*O196/N196</f>
        <v>-286.95000000000005</v>
      </c>
      <c r="AA196" s="19" cm="1">
        <f t="array" ref="AA196">_xll.BDP($B196&amp;" Equity","opt_theta")/I196</f>
        <v>-3.9040816326530612E-3</v>
      </c>
      <c r="AB196" s="36" t="str" cm="1">
        <f t="array" ref="AB196">_xll.BDP($C196&amp;" Equity","EXPECTED_REPORT_DT")</f>
        <v>24/04/2026</v>
      </c>
      <c r="AC196" s="15">
        <f>S196*H196*O196/N196</f>
        <v>658950</v>
      </c>
      <c r="AD196" s="19">
        <f>AC196/'Master P&amp;L'!$AE$5</f>
        <v>2.9338366501408517E-4</v>
      </c>
      <c r="AE196" t="str">
        <f>B196  &amp; " - Buy to open " &amp;  "-" &amp; H196 &amp;"x"</f>
        <v>INTC US 07/17/26 C50 - Buy to open -150x</v>
      </c>
      <c r="AK196" s="59" t="s">
        <v>1813</v>
      </c>
    </row>
    <row r="197" spans="1:37">
      <c r="A197" s="237">
        <v>2</v>
      </c>
      <c r="B197" s="132" t="s">
        <v>2351</v>
      </c>
      <c r="C197" t="str" cm="1">
        <f t="array" ref="C197">_xll.BDP(B197&amp;" Equity","OPT_UNDL_TICKER")</f>
        <v>INTC US</v>
      </c>
      <c r="D197" t="str" cm="1">
        <f t="array" ref="D197">_xll.BDP($B197&amp;" Index","mifid_Maturity_date")</f>
        <v>#N/A Invalid Security</v>
      </c>
      <c r="E197" t="str" cm="1">
        <f t="array" ref="E197">_xll.BDP($B197&amp;" Index","opt_days_expire")</f>
        <v>#N/A Invalid Security</v>
      </c>
      <c r="F197" t="str" cm="1">
        <f t="array" ref="F197">_xll.BDP(B197&amp;" Equity","QUOTED_CURRENCY_REALTIME")</f>
        <v>USD</v>
      </c>
      <c r="G197" s="105" t="s">
        <v>248</v>
      </c>
      <c r="H197" s="131">
        <f>H196</f>
        <v>150</v>
      </c>
      <c r="I197" s="97">
        <f>IF(G197="Buy",L197,K197)</f>
        <v>4</v>
      </c>
      <c r="J197" s="19">
        <f>I197/S197</f>
        <v>9.1053949465058043E-2</v>
      </c>
      <c r="K197" s="36" cm="1">
        <f t="array" ref="K197">_xll.BDP($B197&amp;" Equity","bid")</f>
        <v>4</v>
      </c>
      <c r="L197" s="36" cm="1">
        <f t="array" ref="L197">_xll.BDP($B197&amp;" Equity","ask")</f>
        <v>4.2</v>
      </c>
      <c r="M197" s="40">
        <f>(L197/K197-1)</f>
        <v>5.0000000000000044E-2</v>
      </c>
      <c r="N197" s="36" cm="1">
        <f t="array" ref="N197">_xll.BDP(F197&amp;" Curncy","PX_LAST")</f>
        <v>1</v>
      </c>
      <c r="O197" s="162" cm="1">
        <f t="array" ref="O197">_xll.BDP(B197&amp;" Equity","OPT_MULTIPLIER")</f>
        <v>100</v>
      </c>
      <c r="P197" s="15">
        <f>IF(G197="Buy",((I197/N197)*H197*O197),((I197/N197)*-H197*O197))</f>
        <v>-60000</v>
      </c>
      <c r="Q197" s="58">
        <f>P197/'Master P&amp;L'!$AD$5*10000</f>
        <v>-0.26713741408066033</v>
      </c>
      <c r="R197" s="37" cm="1">
        <f t="array" ref="R197">_xll.BDP($C197&amp;" Equity","EST_PE_NXT_YR")*(T197/S197)</f>
        <v>40.319311727409762</v>
      </c>
      <c r="S197" s="36" cm="1">
        <f t="array" ref="S197">_xll.BDP(C197&amp;" Equity","LAST_PRICE")</f>
        <v>43.93</v>
      </c>
      <c r="T197" s="53" cm="1">
        <f t="array" ref="T197">_xll.BDP(B197&amp;" Equity","OPT_STRIKE_PX")</f>
        <v>40</v>
      </c>
      <c r="U197" s="40">
        <f>T197/S197-1</f>
        <v>-8.9460505349419517E-2</v>
      </c>
      <c r="V197" s="37" cm="1">
        <f t="array" ref="V197">_xll.BDP($B197&amp;" Equity","ivol_mid")</f>
        <v>53.677140000000001</v>
      </c>
      <c r="W197" s="38" cm="1">
        <f t="array" ref="W197">_xll.BDP(B197&amp;" Equity","DELTA_MID_RT")</f>
        <v>-0.31786641478538513</v>
      </c>
      <c r="X197" s="48">
        <f>Y197/'Master P&amp;L'!$AE$5</f>
        <v>9.3256813754623679E-5</v>
      </c>
      <c r="Y197" s="15">
        <f>IF(G197="Sell", S197*W197*-H197*O197/N197, S197*W197*H197*O197/N197)</f>
        <v>209458.07402282953</v>
      </c>
      <c r="Z197" s="15" cm="1">
        <f t="array" ref="Z197">_xll.BDP($B197&amp;" Equity","opt_theta")*H197*O197/N197</f>
        <v>-250.5</v>
      </c>
      <c r="AA197" s="19" cm="1">
        <f t="array" ref="AA197">_xll.BDP($B197&amp;" Equity","opt_theta")/I197</f>
        <v>-4.1749999999999999E-3</v>
      </c>
      <c r="AB197" s="36" t="str" cm="1">
        <f t="array" ref="AB197">_xll.BDP($C197&amp;" Equity","EXPECTED_REPORT_DT")</f>
        <v>24/04/2026</v>
      </c>
      <c r="AC197" s="15">
        <f>S197*H197*O197/N197</f>
        <v>658950</v>
      </c>
      <c r="AD197" s="19">
        <f>AC197/'Master P&amp;L'!$AE$5</f>
        <v>2.9338366501408517E-4</v>
      </c>
      <c r="AE197" t="str">
        <f>B197  &amp; " - Buy to open " &amp;  "-" &amp; H197 &amp;"x"</f>
        <v>INTC US 07/17/26 P40 - Buy to open -150x</v>
      </c>
      <c r="AK197" s="59" t="s">
        <v>1813</v>
      </c>
    </row>
    <row r="198" spans="1:37">
      <c r="H198" s="100" t="s">
        <v>116</v>
      </c>
      <c r="I198" s="102">
        <f>I196-I195-I197</f>
        <v>-1.6399999999999997</v>
      </c>
      <c r="J198" s="100" t="s">
        <v>249</v>
      </c>
      <c r="K198" s="101">
        <f>K197/L196</f>
        <v>0.81632653061224481</v>
      </c>
      <c r="P198" s="130">
        <f>P196+P197+P195</f>
        <v>-24600</v>
      </c>
      <c r="Q198" s="58">
        <f>P198/'Master P&amp;L'!$AD$5*10000</f>
        <v>-0.10952633977307072</v>
      </c>
      <c r="S198" s="100" t="s">
        <v>251</v>
      </c>
      <c r="T198" s="102"/>
      <c r="W198" s="100" t="s">
        <v>252</v>
      </c>
      <c r="X198" s="122">
        <f>X196+X197+X195</f>
        <v>1.4254766016371723E-4</v>
      </c>
      <c r="AC198" s="100" t="s">
        <v>229</v>
      </c>
      <c r="AD198" s="122">
        <f>AD196</f>
        <v>2.9338366501408517E-4</v>
      </c>
    </row>
    <row r="199" spans="1:37">
      <c r="H199" s="100" t="s">
        <v>253</v>
      </c>
      <c r="I199" s="102"/>
      <c r="J199" s="100" t="s">
        <v>145</v>
      </c>
      <c r="K199" s="109">
        <f>-AVERAGE(K195:L195)+AVERAGE(K196:L196)-AVERAGE(K197:L197)</f>
        <v>-1.944999999999999</v>
      </c>
      <c r="P199" s="100"/>
      <c r="Q199" s="108"/>
      <c r="S199" s="100"/>
      <c r="T199" s="102"/>
      <c r="W199" s="100"/>
      <c r="X199" s="122"/>
      <c r="Y199" s="13">
        <f>(Y195+Y196+Y197)/S196</f>
        <v>7288.118451833725</v>
      </c>
      <c r="AC199" s="100"/>
      <c r="AD199" s="104"/>
    </row>
    <row r="200" spans="1:37">
      <c r="D200" s="64"/>
      <c r="H200" s="96">
        <v>186</v>
      </c>
      <c r="I200" s="64">
        <f>(I196*A196)-(I197*A197)-(I195*A195)</f>
        <v>-0.73999999999999932</v>
      </c>
      <c r="K200" s="64"/>
      <c r="N200" s="36"/>
      <c r="O200" s="162"/>
      <c r="P200" s="15"/>
      <c r="Q200" s="58"/>
      <c r="X200" s="71">
        <f>AD198+X198</f>
        <v>4.3593132517780241E-4</v>
      </c>
    </row>
    <row r="201" spans="1:37">
      <c r="I201" s="64"/>
      <c r="K201" s="64"/>
    </row>
    <row r="202" spans="1:37">
      <c r="H202" s="276">
        <v>1</v>
      </c>
      <c r="I202" s="64" t="e">
        <f>I204-I205</f>
        <v>#VALUE!</v>
      </c>
      <c r="K202" s="64"/>
      <c r="Q202" s="129" t="e">
        <f>(Q204+Q203)/Q205</f>
        <v>#VALUE!</v>
      </c>
    </row>
    <row r="203" spans="1:37">
      <c r="A203" s="237"/>
      <c r="B203" t="s">
        <v>2259</v>
      </c>
      <c r="C203" t="str" cm="1">
        <f t="array" ref="C203">_xll.BDP(B203&amp;" Equity","OPT_UNDL_TICKER")</f>
        <v>QQQ US</v>
      </c>
      <c r="D203" t="str" cm="1">
        <f t="array" ref="D203">_xll.BDP($B203&amp;" Index","mifid_Maturity_date")</f>
        <v>16/01/2026</v>
      </c>
      <c r="E203" t="str" cm="1">
        <f t="array" ref="E203">_xll.BDP($B203&amp;" Index","opt_days_expire")</f>
        <v>#N/A N/A</v>
      </c>
      <c r="F203" t="str" cm="1">
        <f t="array" ref="F203">_xll.BDP(B203&amp;" Equity","QUOTED_CURRENCY_REALTIME")</f>
        <v>#N/A Real Time</v>
      </c>
      <c r="G203" s="105" t="s">
        <v>248</v>
      </c>
      <c r="H203" s="131">
        <f>H202*H204</f>
        <v>140</v>
      </c>
      <c r="I203" s="97" t="str">
        <f>IF(G203="Buy",L203,K203)</f>
        <v>#N/A Real Time</v>
      </c>
      <c r="J203" s="19" t="e">
        <f>I203/S203</f>
        <v>#VALUE!</v>
      </c>
      <c r="K203" s="36" t="str" cm="1">
        <f t="array" ref="K203">_xll.BDP($B203&amp;" Equity","bid")</f>
        <v>#N/A Real Time</v>
      </c>
      <c r="L203" s="36" t="str" cm="1">
        <f t="array" ref="L203">_xll.BDP($B203&amp;" Equity","ask")</f>
        <v>#N/A Real Time</v>
      </c>
      <c r="M203" s="40" t="e">
        <f>(L203/K203-1)</f>
        <v>#VALUE!</v>
      </c>
      <c r="N203" s="36" t="str" cm="1">
        <f t="array" ref="N203">_xll.BDP(F203&amp;" Curncy","PX_LAST")</f>
        <v>#N/A Real Time Curncy</v>
      </c>
      <c r="O203" s="162" cm="1">
        <f t="array" ref="O203">_xll.BDP(B203&amp;" Equity","OPT_MULTIPLIER")</f>
        <v>100</v>
      </c>
      <c r="P203" s="15" t="e">
        <f>IF(G203="Buy",((I203/N203)*H203*O203),((I203/N203)*-H203*O203))</f>
        <v>#VALUE!</v>
      </c>
      <c r="Q203" s="58" t="e">
        <f>P203/'Master P&amp;L'!$AD$5*10000</f>
        <v>#VALUE!</v>
      </c>
      <c r="R203" s="37" t="e" cm="1">
        <f t="array" ref="R203">_xll.BDP($C203&amp;" Equity","EST_PE_NXT_YR")*(T203/S203)</f>
        <v>#VALUE!</v>
      </c>
      <c r="S203" s="36" cm="1">
        <f t="array" ref="S203">_xll.BDP(C203&amp;" Equity","LAST_PRICE")</f>
        <v>631.13</v>
      </c>
      <c r="T203" s="53" cm="1">
        <f t="array" ref="T203">_xll.BDP(B203&amp;" Equity","OPT_STRIKE_PX")</f>
        <v>635</v>
      </c>
      <c r="U203" s="40">
        <f>T203/S203-1</f>
        <v>6.1318587295802196E-3</v>
      </c>
      <c r="V203" s="37" t="str" cm="1">
        <f t="array" ref="V203">_xll.BDP($B203&amp;" Equity","ivol_mid")</f>
        <v>#N/A N/A</v>
      </c>
      <c r="W203" s="38" t="str" cm="1">
        <f t="array" ref="W203">_xll.BDP(B203&amp;" Equity","DELTA_MID_RT")</f>
        <v>#N/A Real Time</v>
      </c>
      <c r="X203" s="48" t="e">
        <f>Y203/'Master P&amp;L'!$AE$5</f>
        <v>#VALUE!</v>
      </c>
      <c r="Y203" s="15" t="e">
        <f>IF(G203="Sell", S203*W203*-H203*O203/N203, S203*W203*H203*O203/N203)</f>
        <v>#VALUE!</v>
      </c>
      <c r="Z203" s="15" t="e" cm="1">
        <f t="array" ref="Z203">_xll.BDP($B203&amp;" Equity","opt_theta")*H203*O203/N203</f>
        <v>#VALUE!</v>
      </c>
      <c r="AA203" s="19" t="e" cm="1">
        <f t="array" ref="AA203">_xll.BDP($B203&amp;" Equity","opt_theta")/I203</f>
        <v>#VALUE!</v>
      </c>
      <c r="AB203" s="36" t="str" cm="1">
        <f t="array" ref="AB203">_xll.BDP($C203&amp;" Equity","EXPECTED_REPORT_DT")</f>
        <v>#N/A N/A</v>
      </c>
      <c r="AC203" s="15" t="e">
        <f>S203*H203*O203/N203</f>
        <v>#VALUE!</v>
      </c>
      <c r="AD203" s="19" t="e">
        <f>AC203/'Master P&amp;L'!$AE$5</f>
        <v>#VALUE!</v>
      </c>
      <c r="AE203" t="str">
        <f>B203  &amp; " - Buy to open " &amp;  "-" &amp; H203 &amp;"x"</f>
        <v>QQQ US 01/16/26 C635 - Buy to open -140x</v>
      </c>
      <c r="AK203" s="59" t="s">
        <v>1813</v>
      </c>
    </row>
    <row r="204" spans="1:37">
      <c r="A204" s="237"/>
      <c r="B204" t="s">
        <v>2260</v>
      </c>
      <c r="C204" t="str" cm="1">
        <f t="array" ref="C204">_xll.BDP(B204&amp;" Equity","OPT_UNDL_TICKER")</f>
        <v>QQQ US</v>
      </c>
      <c r="D204" t="str" cm="1">
        <f t="array" ref="D204">_xll.BDP($B204&amp;" Index","mifid_Maturity_date")</f>
        <v>16/01/2026</v>
      </c>
      <c r="E204" t="str" cm="1">
        <f t="array" ref="E204">_xll.BDP($B204&amp;" Index","opt_days_expire")</f>
        <v>#N/A N/A</v>
      </c>
      <c r="F204" t="str" cm="1">
        <f t="array" ref="F204">_xll.BDP(B204&amp;" Equity","QUOTED_CURRENCY_REALTIME")</f>
        <v>#N/A Real Time</v>
      </c>
      <c r="G204" s="105" t="s">
        <v>247</v>
      </c>
      <c r="H204" s="131">
        <v>140</v>
      </c>
      <c r="I204" s="97" t="str">
        <f>IF(G204="Buy",L204,K204)</f>
        <v>#N/A Real Time</v>
      </c>
      <c r="J204" s="19" t="e">
        <f>I204/S204</f>
        <v>#VALUE!</v>
      </c>
      <c r="K204" s="36" t="str" cm="1">
        <f t="array" ref="K204">_xll.BDP($B204&amp;" Equity","bid")</f>
        <v>#N/A Real Time</v>
      </c>
      <c r="L204" s="36" t="str" cm="1">
        <f t="array" ref="L204">_xll.BDP($B204&amp;" Equity","ask")</f>
        <v>#N/A Real Time</v>
      </c>
      <c r="M204" s="40" t="e">
        <f>(L204/K204-1)</f>
        <v>#VALUE!</v>
      </c>
      <c r="N204" s="36" t="str" cm="1">
        <f t="array" ref="N204">_xll.BDP(F204&amp;" Curncy","PX_LAST")</f>
        <v>#N/A Real Time Curncy</v>
      </c>
      <c r="O204" s="162" cm="1">
        <f t="array" ref="O204">_xll.BDP(B204&amp;" Equity","OPT_MULTIPLIER")</f>
        <v>100</v>
      </c>
      <c r="P204" s="15" t="e">
        <f>IF(G204="Buy",((I204/N204)*H204*O204),((I204/N204)*-H204*O204))</f>
        <v>#VALUE!</v>
      </c>
      <c r="Q204" s="58" t="e">
        <f>P204/'Master P&amp;L'!$AD$5*10000</f>
        <v>#VALUE!</v>
      </c>
      <c r="R204" s="37" t="e" cm="1">
        <f t="array" ref="R204">_xll.BDP($C204&amp;" Equity","EST_PE_NXT_YR")*(T204/S204)</f>
        <v>#VALUE!</v>
      </c>
      <c r="S204" s="36">
        <f>_xll.BDP(C204&amp;" Equity","LAST_PRICE")</f>
        <v>631.13</v>
      </c>
      <c r="T204" s="53" cm="1">
        <f t="array" ref="T204">_xll.BDP(B204&amp;" Equity","OPT_STRIKE_PX")</f>
        <v>633</v>
      </c>
      <c r="U204" s="40">
        <f>T204/S204-1</f>
        <v>2.9629394894872263E-3</v>
      </c>
      <c r="V204" s="37" t="str" cm="1">
        <f t="array" ref="V204">_xll.BDP($B204&amp;" Equity","ivol_mid")</f>
        <v>#N/A N/A</v>
      </c>
      <c r="W204" s="38" t="str" cm="1">
        <f t="array" ref="W204">_xll.BDP(B204&amp;" Equity","DELTA_MID_RT")</f>
        <v>#N/A Real Time</v>
      </c>
      <c r="X204" s="48" t="e">
        <f>Y204/'Master P&amp;L'!$AE$5</f>
        <v>#VALUE!</v>
      </c>
      <c r="Y204" s="15" t="e">
        <f>IF(G204="Sell", S204*W204*-H204*O204/N204, S204*W204*H204*O204/N204)</f>
        <v>#VALUE!</v>
      </c>
      <c r="Z204" s="15" t="e" cm="1">
        <f t="array" ref="Z204">_xll.BDP($B204&amp;" Equity","opt_theta")*H204*O204/N204</f>
        <v>#VALUE!</v>
      </c>
      <c r="AA204" s="19" t="e" cm="1">
        <f t="array" ref="AA204">_xll.BDP($B204&amp;" Equity","opt_theta")/I204</f>
        <v>#VALUE!</v>
      </c>
      <c r="AB204" s="36" t="str" cm="1">
        <f t="array" ref="AB204">_xll.BDP($C204&amp;" Equity","EXPECTED_REPORT_DT")</f>
        <v>#N/A N/A</v>
      </c>
      <c r="AC204" s="15" t="e">
        <f>S204*H204*O204/N204</f>
        <v>#VALUE!</v>
      </c>
      <c r="AD204" s="19" t="e">
        <f>AC204/'Master P&amp;L'!$AE$5</f>
        <v>#VALUE!</v>
      </c>
      <c r="AE204" t="str">
        <f>B204  &amp; " - Buy to open " &amp;  "-" &amp; H204 &amp;"x"</f>
        <v>QQQ US 01/16/26 C633 - Buy to open -140x</v>
      </c>
      <c r="AK204" s="59" t="s">
        <v>1813</v>
      </c>
    </row>
    <row r="205" spans="1:37">
      <c r="A205" s="237"/>
      <c r="B205" t="s">
        <v>2261</v>
      </c>
      <c r="C205" t="str" cm="1">
        <f t="array" ref="C205">_xll.BDP(B205&amp;" Equity","OPT_UNDL_TICKER")</f>
        <v>QQQ US</v>
      </c>
      <c r="D205" t="str" cm="1">
        <f t="array" ref="D205">_xll.BDP($B205&amp;" Index","mifid_Maturity_date")</f>
        <v>16/01/2026</v>
      </c>
      <c r="E205" t="str" cm="1">
        <f t="array" ref="E205">_xll.BDP($B205&amp;" Index","opt_days_expire")</f>
        <v>#N/A N/A</v>
      </c>
      <c r="F205" t="str" cm="1">
        <f t="array" ref="F205">_xll.BDP(B205&amp;" Equity","QUOTED_CURRENCY_REALTIME")</f>
        <v>#N/A Real Time</v>
      </c>
      <c r="G205" s="105" t="s">
        <v>248</v>
      </c>
      <c r="H205" s="131">
        <f>H204*1.5</f>
        <v>210</v>
      </c>
      <c r="I205" s="97" t="str">
        <f>IF(G205="Buy",L205,K205)</f>
        <v>#N/A Real Time</v>
      </c>
      <c r="J205" s="19" t="e">
        <f>I205/S205</f>
        <v>#VALUE!</v>
      </c>
      <c r="K205" s="36" t="str" cm="1">
        <f t="array" ref="K205">_xll.BDP($B205&amp;" Equity","bid")</f>
        <v>#N/A Real Time</v>
      </c>
      <c r="L205" s="36" t="str" cm="1">
        <f t="array" ref="L205">_xll.BDP($B205&amp;" Equity","ask")</f>
        <v>#N/A Real Time</v>
      </c>
      <c r="M205" s="40" t="e">
        <f>(L205/K205-1)</f>
        <v>#VALUE!</v>
      </c>
      <c r="N205" s="36" t="str" cm="1">
        <f t="array" ref="N205">_xll.BDP(F205&amp;" Curncy","PX_LAST")</f>
        <v>#N/A Real Time Curncy</v>
      </c>
      <c r="O205" s="162" cm="1">
        <f t="array" ref="O205">_xll.BDP(B205&amp;" Equity","OPT_MULTIPLIER")</f>
        <v>100</v>
      </c>
      <c r="P205" s="15" t="e">
        <f>IF(G205="Buy",((I205/N205)*H205*O205),((I205/N205)*-H205*O205))</f>
        <v>#VALUE!</v>
      </c>
      <c r="Q205" s="58" t="e">
        <f>P205/'Master P&amp;L'!$AD$5*10000</f>
        <v>#VALUE!</v>
      </c>
      <c r="R205" s="37" t="e" cm="1">
        <f t="array" ref="R205">_xll.BDP($C205&amp;" Equity","EST_PE_NXT_YR")*(T205/S205)</f>
        <v>#VALUE!</v>
      </c>
      <c r="S205" s="36" cm="1">
        <f t="array" ref="S205">_xll.BDP(C205&amp;" Equity","LAST_PRICE")</f>
        <v>631.13</v>
      </c>
      <c r="T205" s="53" cm="1">
        <f t="array" ref="T205">_xll.BDP(B205&amp;" Equity","OPT_STRIKE_PX")</f>
        <v>622</v>
      </c>
      <c r="U205" s="40">
        <f>T205/S205-1</f>
        <v>-1.4466116331025347E-2</v>
      </c>
      <c r="V205" s="37" t="str" cm="1">
        <f t="array" ref="V205">_xll.BDP($B205&amp;" Equity","ivol_mid")</f>
        <v>#N/A N/A</v>
      </c>
      <c r="W205" s="38" t="str" cm="1">
        <f t="array" ref="W205">_xll.BDP(B205&amp;" Equity","DELTA_MID_RT")</f>
        <v>#N/A Real Time</v>
      </c>
      <c r="X205" s="48" t="e">
        <f>Y205/'Master P&amp;L'!$AE$5</f>
        <v>#VALUE!</v>
      </c>
      <c r="Y205" s="15" t="e">
        <f>IF(G205="Sell", S205*W205*-H205*O205/N205, S205*W205*H205*O205/N205)</f>
        <v>#VALUE!</v>
      </c>
      <c r="Z205" s="15" t="e" cm="1">
        <f t="array" ref="Z205">_xll.BDP($B205&amp;" Equity","opt_theta")*H205*O205/N205</f>
        <v>#VALUE!</v>
      </c>
      <c r="AA205" s="19" t="e" cm="1">
        <f t="array" ref="AA205">_xll.BDP($B205&amp;" Equity","opt_theta")/I205</f>
        <v>#VALUE!</v>
      </c>
      <c r="AB205" s="36" t="str" cm="1">
        <f t="array" ref="AB205">_xll.BDP($C205&amp;" Equity","EXPECTED_REPORT_DT")</f>
        <v>#N/A N/A</v>
      </c>
      <c r="AC205" s="15" t="e">
        <f>S205*H205*O205/N205</f>
        <v>#VALUE!</v>
      </c>
      <c r="AD205" s="19" t="e">
        <f>AC205/'Master P&amp;L'!$AE$5</f>
        <v>#VALUE!</v>
      </c>
      <c r="AE205" t="str">
        <f>B205  &amp; " - Buy to open " &amp;  "-" &amp; H205 &amp;"x"</f>
        <v>QQQ US 01/16/26 P622 - Buy to open -210x</v>
      </c>
      <c r="AK205" s="59" t="s">
        <v>1813</v>
      </c>
    </row>
    <row r="206" spans="1:37">
      <c r="H206" s="100" t="s">
        <v>116</v>
      </c>
      <c r="I206" s="102" t="e">
        <f>I204-I203-I205</f>
        <v>#VALUE!</v>
      </c>
      <c r="J206" s="100" t="s">
        <v>249</v>
      </c>
      <c r="K206" s="101" t="e">
        <f>K205/L204</f>
        <v>#VALUE!</v>
      </c>
      <c r="P206" s="130" t="e">
        <f>P204+P205+P203</f>
        <v>#VALUE!</v>
      </c>
      <c r="Q206" s="58" t="e">
        <f>P206/'Master P&amp;L'!$AD$5*10000</f>
        <v>#VALUE!</v>
      </c>
      <c r="S206" s="100" t="s">
        <v>251</v>
      </c>
      <c r="T206" s="102"/>
      <c r="W206" s="100" t="s">
        <v>252</v>
      </c>
      <c r="X206" s="122" t="e">
        <f>X204+X205+X203</f>
        <v>#VALUE!</v>
      </c>
      <c r="AC206" s="100" t="s">
        <v>229</v>
      </c>
      <c r="AD206" s="122" t="e">
        <f>AD204</f>
        <v>#VALUE!</v>
      </c>
    </row>
    <row r="207" spans="1:37">
      <c r="H207" s="100" t="s">
        <v>253</v>
      </c>
      <c r="I207" s="102"/>
      <c r="J207" s="100" t="s">
        <v>145</v>
      </c>
      <c r="K207" s="109" t="e">
        <f>-AVERAGE(K203:L203)+AVERAGE(K204:L204)-AVERAGE(K205:L205)</f>
        <v>#DIV/0!</v>
      </c>
      <c r="P207" s="100"/>
      <c r="Q207" s="108"/>
      <c r="S207" s="100"/>
      <c r="T207" s="102"/>
      <c r="W207" s="100"/>
      <c r="X207" s="122"/>
      <c r="Y207" s="13" t="e">
        <f>(Y203+Y204+Y205)/S204</f>
        <v>#VALUE!</v>
      </c>
      <c r="AC207" s="100"/>
      <c r="AD207" s="104"/>
    </row>
    <row r="208" spans="1:37">
      <c r="D208" s="64"/>
      <c r="H208" s="96"/>
      <c r="I208" s="64" t="e">
        <f>(I204*A204)-(I205*A205)-(I203*A203)</f>
        <v>#VALUE!</v>
      </c>
      <c r="K208" s="64"/>
      <c r="N208" s="36"/>
      <c r="O208" s="162"/>
      <c r="P208" s="15">
        <v>26250</v>
      </c>
      <c r="Q208" s="58"/>
      <c r="S208">
        <v>51.35</v>
      </c>
      <c r="X208" s="71" t="e">
        <f>AD206+X206</f>
        <v>#VALUE!</v>
      </c>
    </row>
    <row r="209" spans="1:37">
      <c r="B209" s="59"/>
    </row>
    <row r="210" spans="1:37">
      <c r="A210">
        <v>300</v>
      </c>
      <c r="H210" s="276">
        <v>1</v>
      </c>
      <c r="I210" s="64" t="e">
        <f>I212+I214-I211-I213</f>
        <v>#VALUE!</v>
      </c>
      <c r="K210" s="129"/>
      <c r="W210" s="50">
        <f>W212-W211+W214-W213</f>
        <v>1.053200988098979E-2</v>
      </c>
    </row>
    <row r="211" spans="1:37">
      <c r="A211" s="237">
        <v>9</v>
      </c>
      <c r="B211" t="s">
        <v>2302</v>
      </c>
      <c r="C211" t="str" cm="1">
        <f t="array" ref="C211">_xll.BDP(B211&amp;" Equity","OPT_UNDL_TICKER")</f>
        <v>QQQ US</v>
      </c>
      <c r="D211" s="64"/>
      <c r="E211" t="str" cm="1">
        <f t="array" ref="E211">_xll.BDP($B211&amp;" Index","opt_days_expire")</f>
        <v>#N/A N/A</v>
      </c>
      <c r="F211" t="str" cm="1">
        <f t="array" ref="F211">_xll.BDP(B211&amp;" Equity","QUOTED_CURRENCY_REALTIME")</f>
        <v>USD</v>
      </c>
      <c r="G211" s="105" t="s">
        <v>247</v>
      </c>
      <c r="H211" s="131">
        <f>H212</f>
        <v>200</v>
      </c>
      <c r="I211" s="97">
        <f>IF(G211="Buy",L211,K211)</f>
        <v>0.01</v>
      </c>
      <c r="J211" s="19">
        <f>I211/S211</f>
        <v>1.5844596200465831E-5</v>
      </c>
      <c r="K211" s="36" t="str" cm="1">
        <f t="array" ref="K211">_xll.BDP($B211&amp;" Equity","bid")</f>
        <v>#N/A N/A</v>
      </c>
      <c r="L211" s="36" cm="1">
        <f t="array" ref="L211">_xll.BDP($B211&amp;" Equity","ask")</f>
        <v>0.01</v>
      </c>
      <c r="M211" s="40" t="e">
        <f>(L211/K211-1)</f>
        <v>#VALUE!</v>
      </c>
      <c r="N211" s="36" cm="1">
        <f t="array" ref="N211">_xll.BDP(F211&amp;" Curncy","PX_LAST")</f>
        <v>1</v>
      </c>
      <c r="O211" s="162" cm="1">
        <f t="array" ref="O211">_xll.BDP(B211&amp;" Equity","OPT_MULTIPLIER")</f>
        <v>100</v>
      </c>
      <c r="P211" s="15">
        <f>IF(G211="Buy",((I211/N211)*H211*O211),((I211/N211)*-H211*O211))</f>
        <v>200</v>
      </c>
      <c r="Q211" s="58">
        <f>P211/'Master P&amp;L'!$AD$5*10000</f>
        <v>8.9045804693553424E-4</v>
      </c>
      <c r="R211" s="37" t="e" cm="1">
        <f t="array" ref="R211">_xll.BDP($C211&amp;" Equity","EST_PE_NXT_YR")*(T211/S211)</f>
        <v>#VALUE!</v>
      </c>
      <c r="S211" s="36" cm="1">
        <f t="array" ref="S211">_xll.BDP(C211&amp;" Equity","LAST_PRICE")</f>
        <v>631.13</v>
      </c>
      <c r="T211" s="53" cm="1">
        <f t="array" ref="T211">_xll.BDP(B211&amp;" Equity","OPT_STRIKE_PX")</f>
        <v>630</v>
      </c>
      <c r="U211" s="40">
        <f>T211/S211-1</f>
        <v>-1.7904393706525967E-3</v>
      </c>
      <c r="V211" s="37" cm="1">
        <f t="array" ref="V211">_xll.BDP($B211&amp;" Equity","ivol_mid")</f>
        <v>144.13630000000001</v>
      </c>
      <c r="W211" s="38" cm="1">
        <f t="array" ref="W211">_xll.BDP(B211&amp;" Equity","DELTA_MID_RT")</f>
        <v>9.2929163947701454E-3</v>
      </c>
      <c r="X211" s="48">
        <f>Y211/'Master P&amp;L'!$AE$5</f>
        <v>5.2225705713970465E-5</v>
      </c>
      <c r="Y211" s="15">
        <f>IF(G211="Sell", S211*W211*-H211*O211/N211, S211*W211*H211*O211/N211)</f>
        <v>117300.76648462564</v>
      </c>
      <c r="Z211" s="15" cm="1">
        <f t="array" ref="Z211">_xll.BDP($B211&amp;" Equity","opt_theta")*H211*O211/N211</f>
        <v>0</v>
      </c>
      <c r="AA211" s="19" cm="1">
        <f t="array" ref="AA211">_xll.BDP($B211&amp;" Equity","opt_theta")/I211</f>
        <v>0</v>
      </c>
      <c r="AB211" s="36" t="str" cm="1">
        <f t="array" ref="AB211">_xll.BDP($C211&amp;" Equity","EXPECTED_REPORT_DT")</f>
        <v>#N/A N/A</v>
      </c>
      <c r="AC211" s="15">
        <f>S211*H211*O211/N211</f>
        <v>12622600</v>
      </c>
      <c r="AD211" s="19">
        <f>AC211/'Master P&amp;L'!$AE$5</f>
        <v>5.6199478716242373E-3</v>
      </c>
      <c r="AE211" t="s">
        <v>1875</v>
      </c>
      <c r="AK211" t="s">
        <v>1791</v>
      </c>
    </row>
    <row r="212" spans="1:37">
      <c r="A212" s="237">
        <v>3</v>
      </c>
      <c r="B212" t="s">
        <v>2301</v>
      </c>
      <c r="C212" t="str" cm="1">
        <f t="array" ref="C212">_xll.BDP(B212&amp;" Equity","OPT_UNDL_TICKER")</f>
        <v>QQQ US</v>
      </c>
      <c r="D212" s="64"/>
      <c r="E212" t="str" cm="1">
        <f t="array" ref="E212">_xll.BDP($B212&amp;" Index","opt_days_expire")</f>
        <v>#N/A N/A</v>
      </c>
      <c r="F212" t="str" cm="1">
        <f t="array" ref="F212">_xll.BDP(B212&amp;" Equity","QUOTED_CURRENCY_REALTIME")</f>
        <v>USD</v>
      </c>
      <c r="G212" s="105" t="s">
        <v>248</v>
      </c>
      <c r="H212" s="131">
        <v>200</v>
      </c>
      <c r="I212" s="97" t="str">
        <f>IF(G212="Buy",L212,K212)</f>
        <v>#N/A N/A</v>
      </c>
      <c r="J212" s="19" t="e">
        <f>I212/S212</f>
        <v>#VALUE!</v>
      </c>
      <c r="K212" s="36" t="str" cm="1">
        <f t="array" ref="K212">_xll.BDP($B212&amp;" Equity","bid")</f>
        <v>#N/A N/A</v>
      </c>
      <c r="L212" s="36" cm="1">
        <f t="array" ref="L212">_xll.BDP($B212&amp;" Equity","ask")</f>
        <v>0.01</v>
      </c>
      <c r="M212" s="40" t="e">
        <f>(L212/K212-1)</f>
        <v>#VALUE!</v>
      </c>
      <c r="N212" s="36" cm="1">
        <f t="array" ref="N212">_xll.BDP(F212&amp;" Curncy","PX_LAST")</f>
        <v>1</v>
      </c>
      <c r="O212" s="162" cm="1">
        <f t="array" ref="O212">_xll.BDP(B212&amp;" Equity","OPT_MULTIPLIER")</f>
        <v>100</v>
      </c>
      <c r="P212" s="15" t="e">
        <f>IF(G212="Buy",((I212/N212)*H212*O212),((I212/N212)*-H212*O212))</f>
        <v>#VALUE!</v>
      </c>
      <c r="Q212" s="58" t="e">
        <f>P212/'Master P&amp;L'!$AD$5*10000</f>
        <v>#VALUE!</v>
      </c>
      <c r="R212" s="37" t="e" cm="1">
        <f t="array" ref="R212">_xll.BDP($C212&amp;" Equity","EST_PE_NXT_YR")*(T212/S212)</f>
        <v>#VALUE!</v>
      </c>
      <c r="S212" s="36" cm="1">
        <f t="array" ref="S212">_xll.BDP(C212&amp;" Equity","LAST_PRICE")</f>
        <v>631.13</v>
      </c>
      <c r="T212" s="53" cm="1">
        <f t="array" ref="T212">_xll.BDP(B212&amp;" Equity","OPT_STRIKE_PX")</f>
        <v>627</v>
      </c>
      <c r="U212" s="40">
        <f>T212/S212-1</f>
        <v>-6.5438182307924198E-3</v>
      </c>
      <c r="V212" s="37" cm="1">
        <f t="array" ref="V212">_xll.BDP($B212&amp;" Equity","ivol_mid")</f>
        <v>50.178959999999996</v>
      </c>
      <c r="W212" s="38" cm="1">
        <f t="array" ref="W212">_xll.BDP(B212&amp;" Equity","DELTA_MID_RT")</f>
        <v>1.5370970591902733E-2</v>
      </c>
      <c r="X212" s="48">
        <f>Y212/'Master P&amp;L'!$AE$5</f>
        <v>-8.6384053462762515E-5</v>
      </c>
      <c r="Y212" s="15">
        <f>IF(G212="Sell", S212*W212*-H212*O212/N212, S212*W212*H212*O212/N212)</f>
        <v>-194021.61339335144</v>
      </c>
      <c r="Z212" s="15" cm="1">
        <f t="array" ref="Z212">_xll.BDP($B212&amp;" Equity","opt_theta")*H212*O212/N212</f>
        <v>0</v>
      </c>
      <c r="AA212" s="19" t="e" cm="1">
        <f t="array" ref="AA212">_xll.BDP($B212&amp;" Equity","opt_theta")/I212</f>
        <v>#VALUE!</v>
      </c>
      <c r="AB212" s="36" t="str" cm="1">
        <f t="array" ref="AB212">_xll.BDP($C212&amp;" Equity","EXPECTED_REPORT_DT")</f>
        <v>#N/A N/A</v>
      </c>
      <c r="AC212" s="15">
        <f>S212*H212*O212/N212</f>
        <v>12622600</v>
      </c>
      <c r="AD212" s="48">
        <f>AC212/'Master P&amp;L'!$AE$5</f>
        <v>5.6199478716242373E-3</v>
      </c>
      <c r="AE212" t="s">
        <v>1876</v>
      </c>
      <c r="AK212" t="s">
        <v>1792</v>
      </c>
    </row>
    <row r="213" spans="1:37">
      <c r="A213" s="237">
        <v>20</v>
      </c>
      <c r="B213" t="s">
        <v>2303</v>
      </c>
      <c r="C213" t="str" cm="1">
        <f t="array" ref="C213">_xll.BDP(B213&amp;" Equity","OPT_UNDL_TICKER")</f>
        <v>QQQ US</v>
      </c>
      <c r="D213" s="64"/>
      <c r="E213" t="str" cm="1">
        <f t="array" ref="E213">_xll.BDP($B213&amp;" Index","opt_days_expire")</f>
        <v>#N/A N/A</v>
      </c>
      <c r="F213" t="str" cm="1">
        <f t="array" ref="F213">_xll.BDP(B213&amp;" Equity","QUOTED_CURRENCY_REALTIME")</f>
        <v>USD</v>
      </c>
      <c r="G213" s="105" t="s">
        <v>247</v>
      </c>
      <c r="H213" s="131">
        <v>200</v>
      </c>
      <c r="I213" s="97">
        <f>IF(G213="Buy",L213,K213)</f>
        <v>0.01</v>
      </c>
      <c r="J213" s="19">
        <f>I213/S213</f>
        <v>1.5844596200465831E-5</v>
      </c>
      <c r="K213" s="36" t="str" cm="1">
        <f t="array" ref="K213">_xll.BDP($B213&amp;" Equity","bid")</f>
        <v>#N/A N/A</v>
      </c>
      <c r="L213" s="36" cm="1">
        <f t="array" ref="L213">_xll.BDP($B213&amp;" Equity","ask")</f>
        <v>0.01</v>
      </c>
      <c r="M213" s="40" t="e">
        <f>(L213/K213-1)</f>
        <v>#VALUE!</v>
      </c>
      <c r="N213" s="36" cm="1">
        <f t="array" ref="N213">_xll.BDP(F213&amp;" Curncy","PX_LAST")</f>
        <v>1</v>
      </c>
      <c r="O213" s="162" cm="1">
        <f t="array" ref="O213">_xll.BDP(B213&amp;" Equity","OPT_MULTIPLIER")</f>
        <v>100</v>
      </c>
      <c r="P213" s="15">
        <f>IF(G213="Buy",((I213/N213)*H213*O213),((I213/N213)*-H213*O213))</f>
        <v>200</v>
      </c>
      <c r="Q213" s="58">
        <f>P213/'Master P&amp;L'!$AD$5*10000</f>
        <v>8.9045804693553424E-4</v>
      </c>
      <c r="R213" s="37" t="e" cm="1">
        <f t="array" ref="R213">_xll.BDP($C213&amp;" Equity","EST_PE_NXT_YR")*(T213/S213)</f>
        <v>#VALUE!</v>
      </c>
      <c r="S213" s="36" cm="1">
        <f t="array" ref="S213">_xll.BDP(C213&amp;" Equity","LAST_PRICE")</f>
        <v>631.13</v>
      </c>
      <c r="T213" s="53" cm="1">
        <f t="array" ref="T213">_xll.BDP(B213&amp;" Equity","OPT_STRIKE_PX")</f>
        <v>615</v>
      </c>
      <c r="U213" s="40">
        <f>T213/S213-1</f>
        <v>-2.5557333671351379E-2</v>
      </c>
      <c r="V213" s="37" cm="1">
        <f t="array" ref="V213">_xll.BDP(B213&amp;" Equity","ivol_mid")</f>
        <v>299.94959999999998</v>
      </c>
      <c r="W213" s="38" cm="1">
        <f t="array" ref="W213">_xll.BDP(B213&amp;" Equity","DELTA_MID_RT")</f>
        <v>-4.4539556838572025E-3</v>
      </c>
      <c r="X213" s="48">
        <f>Y213/'Master P&amp;L'!$AE$5</f>
        <v>-2.5030998765801962E-5</v>
      </c>
      <c r="Y213" s="15">
        <f>IF(G213="Sell", S213*W213*-H213*O213/N213, S213*W213*H213*O213/N213)</f>
        <v>-56220.501015055925</v>
      </c>
      <c r="Z213" s="15" cm="1">
        <f t="array" ref="Z213">_xll.BDP($B213&amp;" Equity","opt_theta")*H213*O213/N213</f>
        <v>0</v>
      </c>
      <c r="AA213" s="19" cm="1">
        <f t="array" ref="AA213">_xll.BDP($B213&amp;" Equity","opt_theta")/I213</f>
        <v>0</v>
      </c>
      <c r="AB213" s="36" t="str" cm="1">
        <f t="array" ref="AB213">_xll.BDP($C213&amp;" Equity","EXPECTED_REPORT_DT")</f>
        <v>#N/A N/A</v>
      </c>
      <c r="AC213" s="15">
        <f>S213*H213*O213/N213</f>
        <v>12622600</v>
      </c>
      <c r="AD213" s="19">
        <f>AC213/'Master P&amp;L'!$AE$5</f>
        <v>5.6199478716242373E-3</v>
      </c>
      <c r="AE213" t="s">
        <v>1877</v>
      </c>
      <c r="AK213" t="s">
        <v>1793</v>
      </c>
    </row>
    <row r="214" spans="1:37">
      <c r="A214" s="237"/>
      <c r="B214" s="59"/>
      <c r="D214" s="64"/>
      <c r="G214" s="105"/>
      <c r="H214" s="131"/>
      <c r="I214" s="97"/>
      <c r="J214" s="19"/>
      <c r="K214" s="36"/>
      <c r="L214" s="36"/>
      <c r="M214" s="40"/>
      <c r="N214" s="36"/>
      <c r="O214" s="162"/>
      <c r="P214" s="15"/>
      <c r="Q214" s="58"/>
      <c r="R214" s="37"/>
      <c r="S214" s="36"/>
      <c r="T214" s="53"/>
      <c r="U214" s="40"/>
      <c r="V214" s="37"/>
      <c r="W214" s="38"/>
      <c r="X214" s="48"/>
      <c r="Y214" s="15"/>
      <c r="Z214" s="15"/>
      <c r="AA214" s="19"/>
      <c r="AB214" s="36"/>
      <c r="AC214" s="15"/>
      <c r="AD214" s="19"/>
    </row>
    <row r="215" spans="1:37">
      <c r="H215" s="100" t="s">
        <v>116</v>
      </c>
      <c r="I215" s="102" t="e">
        <f>I212+I214-I213-I211</f>
        <v>#VALUE!</v>
      </c>
      <c r="J215" s="100" t="s">
        <v>249</v>
      </c>
      <c r="K215" s="101">
        <f>K214/L212</f>
        <v>0</v>
      </c>
      <c r="P215" s="130" t="e">
        <f>P212+P214+P211+P213</f>
        <v>#VALUE!</v>
      </c>
      <c r="Q215" s="58" t="e">
        <f>P215/'Master P&amp;L'!$AD$5*10000</f>
        <v>#VALUE!</v>
      </c>
      <c r="S215" s="100" t="s">
        <v>251</v>
      </c>
      <c r="T215" s="102"/>
      <c r="W215" s="100" t="s">
        <v>252</v>
      </c>
      <c r="X215" s="122">
        <f>X212+X214+X211+X213</f>
        <v>-5.9189346514594015E-5</v>
      </c>
      <c r="AC215" s="100" t="s">
        <v>229</v>
      </c>
      <c r="AD215" s="122">
        <f>AD212</f>
        <v>5.6199478716242373E-3</v>
      </c>
    </row>
    <row r="216" spans="1:37">
      <c r="H216" s="100" t="s">
        <v>253</v>
      </c>
      <c r="I216" s="102"/>
      <c r="J216" s="100" t="s">
        <v>145</v>
      </c>
      <c r="K216" s="109" t="e">
        <f>-AVERAGE(K211:L211)+AVERAGE(K212:L212)+AVERAGE(K214:L214)-AVERAGE(K213:L213)</f>
        <v>#DIV/0!</v>
      </c>
      <c r="P216" s="100"/>
      <c r="Q216" s="108"/>
      <c r="S216" s="100"/>
      <c r="T216" s="102"/>
      <c r="W216" s="100"/>
      <c r="X216" s="122"/>
      <c r="Y216" s="13">
        <f>(Y211+Y212+Y214)/S212</f>
        <v>-121.56108394265175</v>
      </c>
      <c r="AC216" s="100"/>
      <c r="AD216" s="104"/>
    </row>
    <row r="217" spans="1:37">
      <c r="C217" t="e">
        <f>H211*(T211-T212)*100+P215</f>
        <v>#VALUE!</v>
      </c>
      <c r="D217" s="64"/>
      <c r="H217" s="96"/>
      <c r="I217" s="64" t="e">
        <f>I212-I211</f>
        <v>#VALUE!</v>
      </c>
      <c r="K217" s="64" t="e">
        <f>(I211/25*A211)+(I212/25*A212)-(I214/25*A214)</f>
        <v>#VALUE!</v>
      </c>
      <c r="N217" s="36"/>
      <c r="O217" s="162"/>
      <c r="P217" s="15"/>
      <c r="Q217" s="58"/>
    </row>
    <row r="218" spans="1:37">
      <c r="C218" t="e">
        <f>C217/'Master P&amp;L'!$AD$5*10000</f>
        <v>#VALUE!</v>
      </c>
      <c r="I218" s="64">
        <f>I213-I214</f>
        <v>0.01</v>
      </c>
      <c r="K218">
        <v>11.59</v>
      </c>
      <c r="M218" s="267" t="e">
        <f>(I215-K216)*500*100</f>
        <v>#VALUE!</v>
      </c>
      <c r="P218">
        <v>-7500</v>
      </c>
      <c r="S218">
        <v>521.79999999999995</v>
      </c>
    </row>
    <row r="219" spans="1:37">
      <c r="I219" s="40" t="e">
        <f>I218/I217</f>
        <v>#VALUE!</v>
      </c>
    </row>
    <row r="220" spans="1:37">
      <c r="I220" s="64"/>
    </row>
    <row r="221" spans="1:37">
      <c r="A221">
        <v>300</v>
      </c>
      <c r="H221" s="276">
        <v>1</v>
      </c>
      <c r="I221" s="64">
        <f>I223-I222</f>
        <v>18.400000000000002</v>
      </c>
      <c r="J221" s="64">
        <f>I224-I225</f>
        <v>9.35</v>
      </c>
      <c r="K221" s="129"/>
      <c r="W221" s="50">
        <f>W223-W222+W225-W224</f>
        <v>0.30244863033294678</v>
      </c>
    </row>
    <row r="222" spans="1:37">
      <c r="A222" s="237">
        <v>9</v>
      </c>
      <c r="B222" s="59" t="s">
        <v>2107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142</v>
      </c>
      <c r="F222" t="str" cm="1">
        <f t="array" ref="F222">_xll.BDP(B222&amp;" Equity","QUOTED_CURRENCY_REALTIME")</f>
        <v>USD</v>
      </c>
      <c r="G222" s="105" t="s">
        <v>248</v>
      </c>
      <c r="H222" s="131">
        <f>H223</f>
        <v>50</v>
      </c>
      <c r="I222" s="97">
        <f>IF(G222="Buy",L222,K222)</f>
        <v>17.55</v>
      </c>
      <c r="J222" s="19">
        <f>I222/S222</f>
        <v>5.2735959614171095E-2</v>
      </c>
      <c r="K222" s="36" cm="1">
        <f t="array" ref="K222">_xll.BDP($B222&amp;" Equity","bid")</f>
        <v>17.55</v>
      </c>
      <c r="L222" s="36" cm="1">
        <f t="array" ref="L222">_xll.BDP($B222&amp;" Equity","ask")</f>
        <v>17.850000000000001</v>
      </c>
      <c r="M222" s="40">
        <f>(L222/K222-1)</f>
        <v>1.7094017094017033E-2</v>
      </c>
      <c r="N222" s="36" cm="1">
        <f t="array" ref="N222">_xll.BDP(F222&amp;" Curncy","PX_LAST")</f>
        <v>1</v>
      </c>
      <c r="O222" s="162" cm="1">
        <f t="array" ref="O222">_xll.BDP(B222&amp;" Equity","OPT_MULTIPLIER")</f>
        <v>100</v>
      </c>
      <c r="P222" s="15">
        <f>IF(G222="Buy",((I222/N222)*H222*O222),((I222/N222)*-H222*O222))</f>
        <v>-87750</v>
      </c>
      <c r="Q222" s="58">
        <f>P222/'Master P&amp;L'!$AD$5*10000</f>
        <v>-0.39068846809296565</v>
      </c>
      <c r="R222" s="37" cm="1">
        <f t="array" ref="R222">_xll.BDP($C222&amp;" Equity","EST_PE_NXT_YR")*(T222/S222)</f>
        <v>29.02446266176813</v>
      </c>
      <c r="S222" s="36" cm="1">
        <f t="array" ref="S222">_xll.BDP(C222&amp;" Equity","LAST_PRICE")</f>
        <v>332.79</v>
      </c>
      <c r="T222" s="53" cm="1">
        <f t="array" ref="T222">_xll.BDP(B222&amp;" Equity","OPT_STRIKE_PX")</f>
        <v>410</v>
      </c>
      <c r="U222" s="40">
        <f>T222/S222-1</f>
        <v>0.23200817332251567</v>
      </c>
      <c r="V222" s="37" cm="1">
        <f t="array" ref="V222">_xll.BDP($B222&amp;" Equity","ivol_mid")</f>
        <v>48.777529999999999</v>
      </c>
      <c r="W222" s="38" cm="1">
        <f t="array" ref="W222">_xll.BDP(B222&amp;" Equity","DELTA_MID_RT")</f>
        <v>0.31377920508384705</v>
      </c>
      <c r="X222" s="48">
        <f>Y222/'Master P&amp;L'!$AE$5</f>
        <v>-2.3245982030199863E-4</v>
      </c>
      <c r="Y222" s="15">
        <f>IF(G222="Sell", S222*W222*-H222*O222/N222, S222*W222*H222*O222/N222)</f>
        <v>-522112.90829926729</v>
      </c>
      <c r="Z222" s="15" cm="1">
        <f t="array" ref="Z222">_xll.BDP($B222&amp;" Equity","opt_theta")*H222*O222/N222</f>
        <v>-619.13499999999999</v>
      </c>
      <c r="AA222" s="19" cm="1">
        <f t="array" ref="AA222">_xll.BDP($B222&amp;" Equity","opt_theta")/I222</f>
        <v>-7.0556695156695154E-3</v>
      </c>
      <c r="AB222" s="36" t="str" cm="1">
        <f t="array" ref="AB222">_xll.BDP($C222&amp;" Equity","EXPECTED_REPORT_DT")</f>
        <v>06/03/2026</v>
      </c>
      <c r="AC222" s="15">
        <f>S222*H222*O222/N222</f>
        <v>1663950</v>
      </c>
      <c r="AD222" s="19">
        <f>AC222/'Master P&amp;L'!$AE$5</f>
        <v>7.4083883359919115E-4</v>
      </c>
      <c r="AE222" t="s">
        <v>1875</v>
      </c>
      <c r="AK222" t="s">
        <v>1791</v>
      </c>
    </row>
    <row r="223" spans="1:37">
      <c r="A223" s="237">
        <v>3</v>
      </c>
      <c r="B223" s="59" t="s">
        <v>2105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142</v>
      </c>
      <c r="F223" t="str" cm="1">
        <f t="array" ref="F223">_xll.BDP(B223&amp;" Equity","QUOTED_CURRENCY_REALTIME")</f>
        <v>USD</v>
      </c>
      <c r="G223" s="105" t="s">
        <v>247</v>
      </c>
      <c r="H223" s="131">
        <v>50</v>
      </c>
      <c r="I223" s="97">
        <f>IF(G223="Buy",L223,K223)</f>
        <v>35.950000000000003</v>
      </c>
      <c r="J223" s="19">
        <f>I223/S223</f>
        <v>0.10802608251449863</v>
      </c>
      <c r="K223" s="36" cm="1">
        <f t="array" ref="K223">_xll.BDP($B223&amp;" Equity","bid")</f>
        <v>35.65</v>
      </c>
      <c r="L223" s="36" cm="1">
        <f t="array" ref="L223">_xll.BDP($B223&amp;" Equity","ask")</f>
        <v>35.950000000000003</v>
      </c>
      <c r="M223" s="40">
        <f>(L223/K223-1)</f>
        <v>8.4151472650773051E-3</v>
      </c>
      <c r="N223" s="36" cm="1">
        <f t="array" ref="N223">_xll.BDP(F223&amp;" Curncy","PX_LAST")</f>
        <v>1</v>
      </c>
      <c r="O223" s="162" cm="1">
        <f t="array" ref="O223">_xll.BDP(B223&amp;" Equity","OPT_MULTIPLIER")</f>
        <v>100</v>
      </c>
      <c r="P223" s="15">
        <f>IF(G223="Buy",((I223/N223)*H223*O223),((I223/N223)*-H223*O223))</f>
        <v>179750.00000000003</v>
      </c>
      <c r="Q223" s="58">
        <f>P223/'Master P&amp;L'!$AD$5*10000</f>
        <v>0.80029916968331161</v>
      </c>
      <c r="R223" s="37" cm="1">
        <f t="array" ref="R223">_xll.BDP($C223&amp;" Equity","EST_PE_NXT_YR")*(T223/S223)</f>
        <v>24.776980321021572</v>
      </c>
      <c r="S223" s="36" cm="1">
        <f t="array" ref="S223">_xll.BDP(C223&amp;" Equity","LAST_PRICE")</f>
        <v>332.79</v>
      </c>
      <c r="T223" s="53" cm="1">
        <f t="array" ref="T223">_xll.BDP(B223&amp;" Equity","OPT_STRIKE_PX")</f>
        <v>350</v>
      </c>
      <c r="U223" s="40">
        <f>T223/S223-1</f>
        <v>5.1714294299708419E-2</v>
      </c>
      <c r="V223" s="37" cm="1">
        <f t="array" ref="V223">_xll.BDP($B223&amp;" Equity","ivol_mid")</f>
        <v>49.421460000000003</v>
      </c>
      <c r="W223" s="38" cm="1">
        <f t="array" ref="W223">_xll.BDP(B223&amp;" Equity","DELTA_MID_RT")</f>
        <v>0.51516985893249512</v>
      </c>
      <c r="X223" s="48">
        <f>Y223/'Master P&amp;L'!$AE$5</f>
        <v>3.8165783739700963E-4</v>
      </c>
      <c r="Y223" s="15">
        <f>IF(G223="Sell", S223*W223*-H223*O223/N223, S223*W223*H223*O223/N223)</f>
        <v>857216.88677072548</v>
      </c>
      <c r="Z223" s="15" cm="1">
        <f t="array" ref="Z223">_xll.BDP($B223&amp;" Equity","opt_theta")*H223*O223/N223</f>
        <v>-702.05000000000007</v>
      </c>
      <c r="AA223" s="19" cm="1">
        <f t="array" ref="AA223">_xll.BDP($B223&amp;" Equity","opt_theta")/I223</f>
        <v>-3.905702364394993E-3</v>
      </c>
      <c r="AB223" s="36" t="str" cm="1">
        <f t="array" ref="AB223">_xll.BDP($C223&amp;" Equity","EXPECTED_REPORT_DT")</f>
        <v>06/03/2026</v>
      </c>
      <c r="AC223" s="15">
        <f>S223*H223*O223/N223</f>
        <v>1663950</v>
      </c>
      <c r="AD223" s="48">
        <f>AC223/'Master P&amp;L'!$AE$5</f>
        <v>7.4083883359919115E-4</v>
      </c>
      <c r="AE223" t="s">
        <v>1876</v>
      </c>
      <c r="AK223" t="s">
        <v>1792</v>
      </c>
    </row>
    <row r="224" spans="1:37">
      <c r="A224" s="237"/>
      <c r="B224" s="59" t="s">
        <v>2104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142</v>
      </c>
      <c r="F224" t="str" cm="1">
        <f t="array" ref="F224">_xll.BDP(B224&amp;" Equity","QUOTED_CURRENCY_REALTIME")</f>
        <v>USD</v>
      </c>
      <c r="G224" s="105" t="s">
        <v>248</v>
      </c>
      <c r="H224" s="131">
        <f>H223</f>
        <v>50</v>
      </c>
      <c r="I224" s="97">
        <f>IF(G224="Buy",L224,K224)</f>
        <v>23.7</v>
      </c>
      <c r="J224" s="19">
        <f>I224/S224</f>
        <v>7.1216082214008825E-2</v>
      </c>
      <c r="K224" s="36" cm="1">
        <f t="array" ref="K224">_xll.BDP($B224&amp;" Equity","bid")</f>
        <v>23.7</v>
      </c>
      <c r="L224" s="36" cm="1">
        <f t="array" ref="L224">_xll.BDP($B224&amp;" Equity","ask")</f>
        <v>24.05</v>
      </c>
      <c r="M224" s="40">
        <f>(L224/K224-1)</f>
        <v>1.476793248945163E-2</v>
      </c>
      <c r="N224" s="36" cm="1">
        <f t="array" ref="N224">_xll.BDP(F224&amp;" Curncy","PX_LAST")</f>
        <v>1</v>
      </c>
      <c r="O224" s="162" cm="1">
        <f t="array" ref="O224">_xll.BDP(B224&amp;" Equity","OPT_MULTIPLIER")</f>
        <v>100</v>
      </c>
      <c r="P224" s="15">
        <f>IF(G224="Buy",((I224/N224)*H224*O224),((I224/N224)*-H224*O224))</f>
        <v>-118500</v>
      </c>
      <c r="Q224" s="58">
        <f>P224/'Master P&amp;L'!$AD$5*10000</f>
        <v>-0.52759639280930404</v>
      </c>
      <c r="R224" s="37" cm="1">
        <f t="array" ref="R224">_xll.BDP($C224&amp;" Equity","EST_PE_NXT_YR")*(T224/S224)</f>
        <v>21.237411703732779</v>
      </c>
      <c r="S224" s="36" cm="1">
        <f t="array" ref="S224">_xll.BDP(C224&amp;" Equity","LAST_PRICE")</f>
        <v>332.79</v>
      </c>
      <c r="T224" s="53" cm="1">
        <f t="array" ref="T224">_xll.BDP(B224&amp;" Equity","OPT_STRIKE_PX")</f>
        <v>300</v>
      </c>
      <c r="U224" s="40">
        <f>T224/S224-1</f>
        <v>-9.8530604885964213E-2</v>
      </c>
      <c r="V224" s="37" cm="1">
        <f t="array" ref="V224">_xll.BDP(B224&amp;" Equity","ivol_mid")</f>
        <v>50.606659999999998</v>
      </c>
      <c r="W224" s="38" cm="1">
        <f t="array" ref="W224">_xll.BDP(B224&amp;" Equity","DELTA_MID_RT")</f>
        <v>-0.30106958746910095</v>
      </c>
      <c r="X224" s="48">
        <f>Y224/'Master P&amp;L'!$AE$5</f>
        <v>2.2304404201279842E-4</v>
      </c>
      <c r="Y224" s="15">
        <f>IF(G224="Sell", S224*W224*-H224*O224/N224, S224*W224*H224*O224/N224)</f>
        <v>500964.74006921053</v>
      </c>
      <c r="Z224" s="15" cm="1">
        <f t="array" ref="Z224">_xll.BDP($B224&amp;" Equity","opt_theta")*H224*O224/N224</f>
        <v>-634.05500000000006</v>
      </c>
      <c r="AA224" s="19" cm="1">
        <f t="array" ref="AA224">_xll.BDP($B224&amp;" Equity","opt_theta")/I224</f>
        <v>-5.3506751054852326E-3</v>
      </c>
      <c r="AB224" s="36" t="str" cm="1">
        <f t="array" ref="AB224">_xll.BDP($C224&amp;" Equity","EXPECTED_REPORT_DT")</f>
        <v>06/03/2026</v>
      </c>
      <c r="AC224" s="15">
        <f>S224*H224*O224/N224</f>
        <v>1663950</v>
      </c>
      <c r="AD224" s="19">
        <f>AC224/'Master P&amp;L'!$AE$5</f>
        <v>7.4083883359919115E-4</v>
      </c>
      <c r="AE224" t="s">
        <v>1877</v>
      </c>
      <c r="AK224" t="s">
        <v>1793</v>
      </c>
    </row>
    <row r="225" spans="1:37">
      <c r="A225" s="237"/>
      <c r="B225" s="59" t="s">
        <v>2106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142</v>
      </c>
      <c r="F225" t="str" cm="1">
        <f t="array" ref="F225">_xll.BDP(B225&amp;" Equity","QUOTED_CURRENCY_REALTIME")</f>
        <v>USD</v>
      </c>
      <c r="G225" s="105" t="s">
        <v>247</v>
      </c>
      <c r="H225" s="131">
        <f>H224</f>
        <v>50</v>
      </c>
      <c r="I225" s="97">
        <f>IF(G225="Buy",L225,K225)</f>
        <v>14.35</v>
      </c>
      <c r="J225" s="19">
        <f>I225/S225</f>
        <v>4.3120286066288045E-2</v>
      </c>
      <c r="K225" s="36" cm="1">
        <f t="array" ref="K225">_xll.BDP($B225&amp;" Equity","bid")</f>
        <v>14.05</v>
      </c>
      <c r="L225" s="36" cm="1">
        <f t="array" ref="L225">_xll.BDP($B225&amp;" Equity","ask")</f>
        <v>14.35</v>
      </c>
      <c r="M225" s="40">
        <f>(L225/K225-1)</f>
        <v>2.1352313167259718E-2</v>
      </c>
      <c r="N225" s="36" cm="1">
        <f t="array" ref="N225">_xll.BDP(F225&amp;" Curncy","PX_LAST")</f>
        <v>1</v>
      </c>
      <c r="O225" s="162" cm="1">
        <f t="array" ref="O225">_xll.BDP(B225&amp;" Equity","OPT_MULTIPLIER")</f>
        <v>100</v>
      </c>
      <c r="P225" s="15">
        <f>IF(G225="Buy",((I225/N225)*H225*O225),((I225/N225)*-H225*O225))</f>
        <v>71750</v>
      </c>
      <c r="Q225" s="58">
        <f>P225/'Master P&amp;L'!$AD$5*10000</f>
        <v>0.31945182433812291</v>
      </c>
      <c r="R225" s="37" cm="1">
        <f t="array" ref="R225">_xll.BDP($C225&amp;" Equity","EST_PE_NXT_YR")*(T225/S225)</f>
        <v>19.1136705333595</v>
      </c>
      <c r="S225" s="36" cm="1">
        <f t="array" ref="S225">_xll.BDP(C225&amp;" Equity","LAST_PRICE")</f>
        <v>332.79</v>
      </c>
      <c r="T225" s="53" cm="1">
        <f t="array" ref="T225">_xll.BDP(B225&amp;" Equity","OPT_STRIKE_PX")</f>
        <v>270</v>
      </c>
      <c r="U225" s="40">
        <f>T225/S225-1</f>
        <v>-0.18867754439736772</v>
      </c>
      <c r="V225" s="37" cm="1">
        <f t="array" ref="V225">_xll.BDP(B225&amp;" Equity","ivol_mid")</f>
        <v>52.026130000000002</v>
      </c>
      <c r="W225" s="38" cm="1">
        <f t="array" ref="W225">_xll.BDP(B225&amp;" Equity","DELTA_MID_RT")</f>
        <v>-0.20001161098480225</v>
      </c>
      <c r="X225" s="48">
        <f>Y225/'Master P&amp;L'!$AE$5</f>
        <v>-1.4817636858827606E-4</v>
      </c>
      <c r="Y225" s="15">
        <f>IF(G225="Sell", S225*W225*-H225*O225/N225, S225*W225*H225*O225/N225)</f>
        <v>-332809.3200981617</v>
      </c>
      <c r="Z225" s="15" cm="1">
        <f t="array" ref="Z225">_xll.BDP($B225&amp;" Equity","opt_theta")*H225*O225/N225</f>
        <v>-524.39499999999998</v>
      </c>
      <c r="AA225" s="19" cm="1">
        <f t="array" ref="AA225">_xll.BDP($B225&amp;" Equity","opt_theta")/I225</f>
        <v>-7.3086411149825784E-3</v>
      </c>
      <c r="AB225" s="36" t="str" cm="1">
        <f t="array" ref="AB225">_xll.BDP($C225&amp;" Equity","EXPECTED_REPORT_DT")</f>
        <v>06/03/2026</v>
      </c>
      <c r="AC225" s="15">
        <f>S225*H225*O225/N225</f>
        <v>1663950</v>
      </c>
      <c r="AD225" s="19">
        <f>AC225/'Master P&amp;L'!$AE$5</f>
        <v>7.4083883359919115E-4</v>
      </c>
      <c r="AE225" t="s">
        <v>1877</v>
      </c>
      <c r="AK225" t="s">
        <v>1793</v>
      </c>
    </row>
    <row r="226" spans="1:37">
      <c r="H226" s="100" t="s">
        <v>116</v>
      </c>
      <c r="I226" s="102">
        <f>I223+I225-I224-I222</f>
        <v>9.0500000000000043</v>
      </c>
      <c r="J226" s="100" t="s">
        <v>249</v>
      </c>
      <c r="K226" s="101">
        <f>K225/L223</f>
        <v>0.39082058414464532</v>
      </c>
      <c r="P226" s="130">
        <f>P223+P225+P222+P224</f>
        <v>45250.000000000029</v>
      </c>
      <c r="Q226" s="58">
        <f>P226/'Master P&amp;L'!$AD$5*10000</f>
        <v>0.20146613311916478</v>
      </c>
      <c r="S226" s="100" t="s">
        <v>251</v>
      </c>
      <c r="T226" s="102"/>
      <c r="W226" s="100" t="s">
        <v>252</v>
      </c>
      <c r="X226" s="122">
        <f>X223+X225+X222+X224</f>
        <v>2.2406569051953336E-4</v>
      </c>
      <c r="AC226" s="100" t="s">
        <v>229</v>
      </c>
      <c r="AD226" s="122">
        <f>AD223</f>
        <v>7.4083883359919115E-4</v>
      </c>
    </row>
    <row r="227" spans="1:37">
      <c r="H227" s="100" t="s">
        <v>253</v>
      </c>
      <c r="I227" s="102"/>
      <c r="J227" s="100" t="s">
        <v>145</v>
      </c>
      <c r="K227" s="109">
        <f>-AVERAGE(K222:L222)+AVERAGE(K223:L223)+AVERAGE(K225:L225)-AVERAGE(K224:L224)</f>
        <v>8.4249999999999972</v>
      </c>
      <c r="P227" s="100"/>
      <c r="Q227" s="108"/>
      <c r="S227" s="100"/>
      <c r="T227" s="102"/>
      <c r="W227" s="100"/>
      <c r="X227" s="122"/>
      <c r="Y227" s="13">
        <f>(Y222+Y223+Y224)/S223</f>
        <v>2512.3012065887456</v>
      </c>
      <c r="AC227" s="100"/>
      <c r="AD227" s="104"/>
    </row>
    <row r="228" spans="1:37">
      <c r="D228" s="64"/>
      <c r="H228" s="96"/>
      <c r="I228" s="64">
        <f>I223-I222</f>
        <v>18.400000000000002</v>
      </c>
      <c r="K228" s="64">
        <f>(I222/25*A222)+(I223/25*A223)-(I225/25*A225)</f>
        <v>10.632000000000001</v>
      </c>
      <c r="N228" s="36"/>
      <c r="O228" s="162"/>
      <c r="P228" s="15"/>
      <c r="Q228" s="58"/>
    </row>
    <row r="229" spans="1:37">
      <c r="I229" s="64">
        <f>I224-I225</f>
        <v>9.35</v>
      </c>
      <c r="K229">
        <v>11.59</v>
      </c>
      <c r="M229" s="267">
        <f>(I226-K227)*500*100</f>
        <v>31250.000000000353</v>
      </c>
      <c r="P229">
        <v>-7500</v>
      </c>
      <c r="S229">
        <v>521.79999999999995</v>
      </c>
    </row>
    <row r="230" spans="1:37">
      <c r="I230" s="40">
        <f>I229/I228</f>
        <v>0.50815217391304335</v>
      </c>
    </row>
    <row r="231" spans="1:37">
      <c r="I231" s="64"/>
    </row>
    <row r="232" spans="1:37">
      <c r="I232" s="64"/>
    </row>
    <row r="233" spans="1:37">
      <c r="A233" s="448">
        <f>P233/Y233</f>
        <v>0.18554350065500855</v>
      </c>
      <c r="B233" s="59" t="s">
        <v>2314</v>
      </c>
      <c r="C233" t="str" cm="1">
        <f t="array" ref="C233">_xll.BDP(B233&amp;" Equity","OPT_UNDL_TICKER")</f>
        <v>META US</v>
      </c>
      <c r="D233" s="43">
        <f>J233+U233</f>
        <v>0.1144627546547394</v>
      </c>
      <c r="E233" cm="1">
        <f t="array" ref="E233">_xll.BDP($B233&amp;" Index","opt_days_expire")</f>
        <v>171</v>
      </c>
      <c r="F233" t="str" cm="1">
        <f t="array" ref="F233">_xll.BDP(B233&amp;" Equity","QUOTED_CURRENCY_REALTIME")</f>
        <v>USD</v>
      </c>
      <c r="G233" s="105" t="s">
        <v>247</v>
      </c>
      <c r="H233" s="131">
        <v>40</v>
      </c>
      <c r="I233" s="97">
        <f>IF(G233="Buy",L233,K233)</f>
        <v>70</v>
      </c>
      <c r="J233" s="19">
        <f>I233/S233</f>
        <v>0.10401652376777568</v>
      </c>
      <c r="K233" s="36" cm="1">
        <f t="array" ref="K233">_xll.BDP($B233&amp;" Equity","bid")</f>
        <v>69.650000000000006</v>
      </c>
      <c r="L233" s="36" cm="1">
        <f t="array" ref="L233">_xll.BDP($B233&amp;" Equity","ask")</f>
        <v>70</v>
      </c>
      <c r="M233" s="40">
        <f>(L233/K233-1)</f>
        <v>5.0251256281406143E-3</v>
      </c>
      <c r="N233" s="36" cm="1">
        <f t="array" ref="N233">_xll.BDP(F233&amp;" Curncy","PX_LAST")</f>
        <v>1</v>
      </c>
      <c r="O233" s="162" cm="1">
        <f t="array" ref="O233">_xll.BDP(B233&amp;" Equity","OPT_MULTIPLIER")</f>
        <v>100</v>
      </c>
      <c r="P233" s="15">
        <f>IF(G233="Buy",((I233/N233)*H233*O233),((I233/N233)*-H233*O233))</f>
        <v>280000</v>
      </c>
      <c r="Q233" s="58">
        <f>P233/'Master P&amp;L'!$AD$5*10000</f>
        <v>1.2466412657097481</v>
      </c>
      <c r="R233" s="37" cm="1">
        <f t="array" ref="R233">_xll.BDP($C233&amp;" Equity","EST_PE_NXT_YR")*(T233/S233)</f>
        <v>20.259193334859937</v>
      </c>
      <c r="S233" s="36" cm="1">
        <f t="array" ref="S233">_xll.BDP(C233&amp;" Equity","LAST_PRICE")</f>
        <v>672.97</v>
      </c>
      <c r="T233" s="53" cm="1">
        <f t="array" ref="T233">_xll.BDP(B233&amp;" Equity","OPT_STRIKE_PX")</f>
        <v>680</v>
      </c>
      <c r="U233" s="40">
        <f>T233/S233-1</f>
        <v>1.0446230886963725E-2</v>
      </c>
      <c r="V233" s="37" cm="1">
        <f t="array" ref="V233">_xll.BDP($B233&amp;" Equity","ivol_mid")</f>
        <v>37.053910000000002</v>
      </c>
      <c r="W233" s="38" cm="1">
        <f t="array" ref="W233">_xll.BDP(B233&amp;" Equity","DELTA_MID_RT")</f>
        <v>0.5606045126914978</v>
      </c>
      <c r="X233" s="48">
        <f>Y233/'Master P&amp;L'!$AE$5</f>
        <v>6.7188624840473299E-4</v>
      </c>
      <c r="Y233" s="15">
        <f>IF(G233="Sell", S233*W233*-H233*O233/N233, S233*W233*H233*O233/N233)</f>
        <v>1509080.0756239893</v>
      </c>
      <c r="Z233" s="15" cm="1">
        <f t="array" ref="Z233">_xll.BDP($B233&amp;" Equity","opt_theta")*H233*O233/N233</f>
        <v>-762.12400000000002</v>
      </c>
      <c r="AA233" s="19" cm="1">
        <f t="array" ref="AA233">_xll.BDP($B233&amp;" Equity","opt_theta")/I233</f>
        <v>-2.7218714285714286E-3</v>
      </c>
      <c r="AB233" s="36" t="str" cm="1">
        <f t="array" ref="AB233">_xll.BDP($C233&amp;" Equity","EXPECTED_REPORT_DT")</f>
        <v>28/01/2026</v>
      </c>
      <c r="AC233" s="15">
        <f>S233*H233*O233/N233</f>
        <v>2691880.0000000005</v>
      </c>
      <c r="AD233" s="48">
        <f>AC233/'Master P&amp;L'!$AE$5</f>
        <v>1.1985031036924132E-3</v>
      </c>
      <c r="AE233" t="str">
        <f>B233&amp;" -&gt; Buy to open "&amp;H233&amp;"x"</f>
        <v>META US 07/17/26 C680 -&gt; Buy to open 40x</v>
      </c>
    </row>
    <row r="234" spans="1:37">
      <c r="A234" s="448">
        <f t="shared" ref="A234:A235" si="0">P234/Y234</f>
        <v>0.17328446881183124</v>
      </c>
      <c r="B234" s="59" t="s">
        <v>2305</v>
      </c>
      <c r="C234" t="str" cm="1">
        <f t="array" ref="C234">_xll.BDP(B234&amp;" Equity","OPT_UNDL_TICKER")</f>
        <v>AMZN US</v>
      </c>
      <c r="D234" s="43">
        <f>J234+U234</f>
        <v>0.11533431420631027</v>
      </c>
      <c r="E234" cm="1">
        <f t="array" ref="E234">_xll.BDP($B234&amp;" Index","opt_days_expire")</f>
        <v>171</v>
      </c>
      <c r="F234" t="str" cm="1">
        <f t="array" ref="F234">_xll.BDP(B234&amp;" Equity","QUOTED_CURRENCY_REALTIME")</f>
        <v>USD</v>
      </c>
      <c r="G234" s="105" t="s">
        <v>247</v>
      </c>
      <c r="H234" s="131">
        <v>105</v>
      </c>
      <c r="I234" s="97">
        <f>IF(G234="Buy",L234,K234)</f>
        <v>22.9</v>
      </c>
      <c r="J234" s="19">
        <f>I234/S234</f>
        <v>9.3591629883930022E-2</v>
      </c>
      <c r="K234" s="36" cm="1">
        <f t="array" ref="K234">_xll.BDP($B234&amp;" Equity","bid")</f>
        <v>22.75</v>
      </c>
      <c r="L234" s="36" cm="1">
        <f t="array" ref="L234">_xll.BDP($B234&amp;" Equity","ask")</f>
        <v>22.9</v>
      </c>
      <c r="M234" s="40">
        <f>(L234/K234-1)</f>
        <v>6.59340659340657E-3</v>
      </c>
      <c r="N234" s="36" cm="1">
        <f t="array" ref="N234">_xll.BDP(F234&amp;" Curncy","PX_LAST")</f>
        <v>1</v>
      </c>
      <c r="O234" s="162" cm="1">
        <f t="array" ref="O234">_xll.BDP(B234&amp;" Equity","OPT_MULTIPLIER")</f>
        <v>100</v>
      </c>
      <c r="P234" s="15">
        <f>IF(G234="Buy",((I234/N234)*H234*O234),((I234/N234)*-H234*O234))</f>
        <v>240450</v>
      </c>
      <c r="Q234" s="58">
        <f>P234/'Master P&amp;L'!$AD$5*10000</f>
        <v>1.0705531869282461</v>
      </c>
      <c r="R234" s="37" cm="1">
        <f t="array" ref="R234">_xll.BDP($C234&amp;" Equity","EST_PE_NXT_YR")*(T234/S234)</f>
        <v>26.83774526123727</v>
      </c>
      <c r="S234" s="36" cm="1">
        <f t="array" ref="S234">_xll.BDP(C234&amp;" Equity","LAST_PRICE")</f>
        <v>244.68</v>
      </c>
      <c r="T234" s="53" cm="1">
        <f t="array" ref="T234">_xll.BDP(B234&amp;" Equity","OPT_STRIKE_PX")</f>
        <v>250</v>
      </c>
      <c r="U234" s="40">
        <f>T234/S234-1</f>
        <v>2.1742684322380246E-2</v>
      </c>
      <c r="V234" s="37" cm="1">
        <f t="array" ref="V234">_xll.BDP(B234&amp;" Equity","ivol_mid")</f>
        <v>35.088099999999997</v>
      </c>
      <c r="W234" s="38" cm="1">
        <f t="array" ref="W234">_xll.BDP(B234&amp;" Equity","DELTA_MID_RT")</f>
        <v>0.5401039719581604</v>
      </c>
      <c r="X234" s="48">
        <f>Y234/'Master P&amp;L'!$AE$5</f>
        <v>6.1780100332635966E-4</v>
      </c>
      <c r="Y234" s="15">
        <f>IF(G234="Sell", S234*W234*-H234*O234/N234, S234*W234*H234*O234/N234)</f>
        <v>1387602.7185165884</v>
      </c>
      <c r="Z234" s="15" cm="1">
        <f t="array" ref="Z234">_xll.BDP($B234&amp;" Equity","opt_theta")*H234*O234/N234</f>
        <v>-691.89749999999992</v>
      </c>
      <c r="AA234" s="19" cm="1">
        <f t="array" ref="AA234">_xll.BDP($B234&amp;" Equity","opt_theta")/I234</f>
        <v>-2.8775109170305676E-3</v>
      </c>
      <c r="AB234" s="36" t="str" cm="1">
        <f t="array" ref="AB234">_xll.BDP($C234&amp;" Equity","EXPECTED_REPORT_DT")</f>
        <v>05/02/2026</v>
      </c>
      <c r="AC234" s="15">
        <f>S234*H234*O234/N234</f>
        <v>2569140</v>
      </c>
      <c r="AD234" s="19">
        <f>AC234/'Master P&amp;L'!$AE$5</f>
        <v>1.1438556933519794E-3</v>
      </c>
      <c r="AE234" t="str">
        <f>B234  &amp; " -&gt; Sell to open " &amp;   H234 &amp;"x"</f>
        <v>AMZN US 07/17/26 C250 -&gt; Sell to open 105x</v>
      </c>
    </row>
    <row r="235" spans="1:37">
      <c r="A235" s="448">
        <f t="shared" si="0"/>
        <v>0.1579851065788806</v>
      </c>
      <c r="B235" s="59" t="s">
        <v>2308</v>
      </c>
      <c r="C235" t="str" cm="1">
        <f t="array" ref="C235">_xll.BDP(B235&amp;" Equity","OPT_UNDL_TICKER")</f>
        <v>MSFT US</v>
      </c>
      <c r="D235" s="43">
        <f>J235+U235</f>
        <v>7.50551417037746E-2</v>
      </c>
      <c r="E235" cm="1">
        <f t="array" ref="E235">_xll.BDP($B235&amp;" Index","opt_days_expire")</f>
        <v>171</v>
      </c>
      <c r="F235" t="str" cm="1">
        <f t="array" ref="F235">_xll.BDP(B235&amp;" Equity","QUOTED_CURRENCY_REALTIME")</f>
        <v>USD</v>
      </c>
      <c r="G235" s="105" t="s">
        <v>247</v>
      </c>
      <c r="H235" s="131">
        <v>55</v>
      </c>
      <c r="I235" s="97">
        <f t="shared" ref="I235" si="1">IF(G235="Buy",L235,K235)</f>
        <v>46.65</v>
      </c>
      <c r="J235" s="19">
        <f t="shared" ref="J235" si="2">I235/S235</f>
        <v>9.7070206833409625E-2</v>
      </c>
      <c r="K235" s="36" cm="1">
        <f t="array" ref="K235">_xll.BDP($B235&amp;" Equity","bid")</f>
        <v>45.05</v>
      </c>
      <c r="L235" s="36" cm="1">
        <f t="array" ref="L235">_xll.BDP($B235&amp;" Equity","ask")</f>
        <v>46.65</v>
      </c>
      <c r="M235" s="40">
        <f t="shared" ref="M235" si="3">(L235/K235-1)</f>
        <v>3.5516093229744694E-2</v>
      </c>
      <c r="N235" s="36" cm="1">
        <f t="array" ref="N235">_xll.BDP(F235&amp;" Curncy","PX_LAST")</f>
        <v>1</v>
      </c>
      <c r="O235" s="162" cm="1">
        <f t="array" ref="O235">_xll.BDP(B235&amp;" Equity","OPT_MULTIPLIER")</f>
        <v>100</v>
      </c>
      <c r="P235" s="15">
        <f t="shared" ref="P235" si="4">IF(G235="Buy",((I235/N235)*H235*O235),((I235/N235)*-H235*O235))</f>
        <v>256575</v>
      </c>
      <c r="Q235" s="58">
        <f>P235/'Master P&amp;L'!$AD$5*10000</f>
        <v>1.1423463669624236</v>
      </c>
      <c r="R235" s="37" cm="1">
        <f t="array" ref="R235">_xll.BDP($C235&amp;" Equity","EST_PE_NXT_YR")*(T235/S235)</f>
        <v>25.041079337481406</v>
      </c>
      <c r="S235" s="36" cm="1">
        <f t="array" ref="S235">_xll.BDP(C235&amp;" Equity","LAST_PRICE")</f>
        <v>480.58</v>
      </c>
      <c r="T235" s="53" cm="1">
        <f t="array" ref="T235">_xll.BDP(B235&amp;" Equity","OPT_STRIKE_PX")</f>
        <v>470</v>
      </c>
      <c r="U235" s="40">
        <f t="shared" ref="U235" si="5">T235/S235-1</f>
        <v>-2.2015065129635025E-2</v>
      </c>
      <c r="V235" s="37" cm="1">
        <f t="array" ref="V235">_xll.BDP(B235&amp;" Equity","ivol_mid")</f>
        <v>28.00038</v>
      </c>
      <c r="W235" s="38" cm="1">
        <f t="array" ref="W235">_xll.BDP(B235&amp;" Equity","DELTA_MID_RT")</f>
        <v>0.61442631483078003</v>
      </c>
      <c r="X235" s="48">
        <f>Y235/'Master P&amp;L'!$AE$5</f>
        <v>7.2307218806860122E-4</v>
      </c>
      <c r="Y235" s="15">
        <f t="shared" ref="Y235" si="6">IF(G235="Sell", S235*W235*-H235*O235/N235, S235*W235*H235*O235/N235)</f>
        <v>1624045.4910975695</v>
      </c>
      <c r="Z235" s="15" cm="1">
        <f t="array" ref="Z235">_xll.BDP($B235&amp;" Equity","opt_theta")*H235*O235/N235</f>
        <v>-559.96600000000001</v>
      </c>
      <c r="AA235" s="19" cm="1">
        <f t="array" ref="AA235">_xll.BDP($B235&amp;" Equity","opt_theta")/I235</f>
        <v>-2.1824651661307612E-3</v>
      </c>
      <c r="AB235" s="36" t="str" cm="1">
        <f t="array" ref="AB235">_xll.BDP($C235&amp;" Equity","EXPECTED_REPORT_DT")</f>
        <v>28/01/2026</v>
      </c>
      <c r="AC235" s="15">
        <f t="shared" ref="AC235" si="7">S235*H235*O235/N235</f>
        <v>2643190</v>
      </c>
      <c r="AD235" s="19">
        <f>AC235/'Master P&amp;L'!$AE$5</f>
        <v>1.1768249025397675E-3</v>
      </c>
      <c r="AE235" t="str">
        <f t="shared" ref="AE235" si="8">B235  &amp; " -&gt; Sell to open " &amp;   H235 &amp;"x"</f>
        <v>MSFT US 07/17/26 C470 -&gt; Sell to open 55x</v>
      </c>
    </row>
    <row r="236" spans="1:37">
      <c r="A236" s="448">
        <f t="shared" ref="A236" si="9">P236/Y236</f>
        <v>0.16723428383916167</v>
      </c>
      <c r="B236" s="59" t="s">
        <v>2310</v>
      </c>
      <c r="C236" t="str" cm="1">
        <f t="array" ref="C236">_xll.BDP(B236&amp;" Equity","OPT_UNDL_TICKER")</f>
        <v>GOOG US</v>
      </c>
      <c r="D236" s="43">
        <f>J236+U236</f>
        <v>0.12895522388059694</v>
      </c>
      <c r="E236" cm="1">
        <f t="array" ref="E236">_xll.BDP($B236&amp;" Index","opt_days_expire")</f>
        <v>171</v>
      </c>
      <c r="F236" t="str" cm="1">
        <f t="array" ref="F236">_xll.BDP(B236&amp;" Equity","QUOTED_CURRENCY_REALTIME")</f>
        <v>USD</v>
      </c>
      <c r="G236" s="105" t="s">
        <v>247</v>
      </c>
      <c r="H236" s="131">
        <v>70</v>
      </c>
      <c r="I236" s="97">
        <f t="shared" ref="I236" si="10">IF(G236="Buy",L236,K236)</f>
        <v>28.2</v>
      </c>
      <c r="J236" s="19">
        <f t="shared" ref="J236" si="11">I236/S236</f>
        <v>8.4179104477611941E-2</v>
      </c>
      <c r="K236" s="36" cm="1">
        <f t="array" ref="K236">_xll.BDP($B236&amp;" Equity","bid")</f>
        <v>28.05</v>
      </c>
      <c r="L236" s="36" cm="1">
        <f t="array" ref="L236">_xll.BDP($B236&amp;" Equity","ask")</f>
        <v>28.2</v>
      </c>
      <c r="M236" s="40">
        <f t="shared" ref="M236" si="12">(L236/K236-1)</f>
        <v>5.3475935828877219E-3</v>
      </c>
      <c r="N236" s="36" cm="1">
        <f t="array" ref="N236">_xll.BDP(F236&amp;" Curncy","PX_LAST")</f>
        <v>1</v>
      </c>
      <c r="O236" s="162" cm="1">
        <f t="array" ref="O236">_xll.BDP(B236&amp;" Equity","OPT_MULTIPLIER")</f>
        <v>100</v>
      </c>
      <c r="P236" s="15">
        <f t="shared" ref="P236" si="13">IF(G236="Buy",((I236/N236)*H236*O236),((I236/N236)*-H236*O236))</f>
        <v>197400</v>
      </c>
      <c r="Q236" s="58">
        <f>P236/'Master P&amp;L'!$AD$5*10000</f>
        <v>0.87888209232537229</v>
      </c>
      <c r="R236" s="37" cm="1">
        <f t="array" ref="R236">_xll.BDP($C236&amp;" Equity","EST_PE_NXT_YR")*(T236/S236)</f>
        <v>29.661069388651967</v>
      </c>
      <c r="S236" s="36" cm="1">
        <f t="array" ref="S236">_xll.BDP(C236&amp;" Equity","LAST_PRICE")</f>
        <v>335</v>
      </c>
      <c r="T236" s="53" cm="1">
        <f t="array" ref="T236">_xll.BDP(B236&amp;" Equity","OPT_STRIKE_PX")</f>
        <v>350</v>
      </c>
      <c r="U236" s="40">
        <f t="shared" ref="U236" si="14">T236/S236-1</f>
        <v>4.4776119402984982E-2</v>
      </c>
      <c r="V236" s="37" cm="1">
        <f t="array" ref="V236">_xll.BDP(B236&amp;" Equity","ivol_mid")</f>
        <v>35.142850000000003</v>
      </c>
      <c r="W236" s="38" cm="1">
        <f t="array" ref="W236">_xll.BDP(B236&amp;" Equity","DELTA_MID_RT")</f>
        <v>0.5033603310585022</v>
      </c>
      <c r="X236" s="48">
        <f>Y236/'Master P&amp;L'!$AE$5</f>
        <v>5.2553942418328604E-4</v>
      </c>
      <c r="Y236" s="15">
        <f t="shared" ref="Y236" si="15">IF(G236="Sell", S236*W236*-H236*O236/N236, S236*W236*H236*O236/N236)</f>
        <v>1180379.9763321877</v>
      </c>
      <c r="Z236" s="15" cm="1">
        <f t="array" ref="Z236">_xll.BDP($B236&amp;" Equity","opt_theta")*H236*O236/N236</f>
        <v>-640.18499999999995</v>
      </c>
      <c r="AA236" s="19" cm="1">
        <f t="array" ref="AA236">_xll.BDP($B236&amp;" Equity","opt_theta")/I236</f>
        <v>-3.2430851063829785E-3</v>
      </c>
      <c r="AB236" s="36" t="str" cm="1">
        <f t="array" ref="AB236">_xll.BDP($C236&amp;" Equity","EXPECTED_REPORT_DT")</f>
        <v>04/02/2026</v>
      </c>
      <c r="AC236" s="15">
        <f t="shared" ref="AC236" si="16">S236*H236*O236/N236</f>
        <v>2345000</v>
      </c>
      <c r="AD236" s="19">
        <f>AC236/'Master P&amp;L'!$AE$5</f>
        <v>1.044062060031914E-3</v>
      </c>
      <c r="AE236" t="str">
        <f t="shared" ref="AE236" si="17">B236  &amp; " -&gt; Sell to open " &amp;   H236 &amp;"x"</f>
        <v>GOOG US 07/17/26 C350 -&gt; Sell to open 70x</v>
      </c>
    </row>
    <row r="237" spans="1:37">
      <c r="A237" s="448">
        <f t="shared" ref="A237" si="18">P237/Y237</f>
        <v>0.2096692061883878</v>
      </c>
      <c r="B237" s="59" t="s">
        <v>2313</v>
      </c>
      <c r="C237" t="str" cm="1">
        <f t="array" ref="C237">_xll.BDP(B237&amp;" Equity","OPT_UNDL_TICKER")</f>
        <v>NVDA US</v>
      </c>
      <c r="D237" s="43">
        <f t="shared" ref="D237" si="19">J237+U237</f>
        <v>0.14709314661574374</v>
      </c>
      <c r="E237" cm="1">
        <f t="array" ref="E237">_xll.BDP($B237&amp;" Index","opt_days_expire")</f>
        <v>171</v>
      </c>
      <c r="F237" t="str" cm="1">
        <f t="array" ref="F237">_xll.BDP(B237&amp;" Equity","QUOTED_CURRENCY_REALTIME")</f>
        <v>USD</v>
      </c>
      <c r="G237" s="105" t="s">
        <v>247</v>
      </c>
      <c r="H237" s="131">
        <v>135</v>
      </c>
      <c r="I237" s="97">
        <f t="shared" ref="I237" si="20">IF(G237="Buy",L237,K237)</f>
        <v>21.25</v>
      </c>
      <c r="J237" s="19">
        <f t="shared" ref="J237" si="21">I237/S237</f>
        <v>0.11272013579461064</v>
      </c>
      <c r="K237" s="36" cm="1">
        <f t="array" ref="K237">_xll.BDP($B237&amp;" Equity","bid")</f>
        <v>21.1</v>
      </c>
      <c r="L237" s="36" cm="1">
        <f t="array" ref="L237">_xll.BDP($B237&amp;" Equity","ask")</f>
        <v>21.25</v>
      </c>
      <c r="M237" s="40">
        <f t="shared" ref="M237" si="22">(L237/K237-1)</f>
        <v>7.1090047393365108E-3</v>
      </c>
      <c r="N237" s="36" cm="1">
        <f t="array" ref="N237">_xll.BDP(F237&amp;" Curncy","PX_LAST")</f>
        <v>1</v>
      </c>
      <c r="O237" s="162" cm="1">
        <f t="array" ref="O237">_xll.BDP(B237&amp;" Equity","OPT_MULTIPLIER")</f>
        <v>100</v>
      </c>
      <c r="P237" s="15">
        <f t="shared" ref="P237" si="23">IF(G237="Buy",((I237/N237)*H237*O237),((I237/N237)*-H237*O237))</f>
        <v>286875</v>
      </c>
      <c r="Q237" s="58">
        <f>P237/'Master P&amp;L'!$AD$5*10000</f>
        <v>1.2772507610731572</v>
      </c>
      <c r="R237" s="37" cm="1">
        <f t="array" ref="R237">_xll.BDP($C237&amp;" Equity","EST_PE_NXT_YR")*(T237/S237)</f>
        <v>25.299608299971506</v>
      </c>
      <c r="S237" s="36" cm="1">
        <f t="array" ref="S237">_xll.BDP(C237&amp;" Equity","LAST_PRICE")</f>
        <v>188.52</v>
      </c>
      <c r="T237" s="53" cm="1">
        <f t="array" ref="T237">_xll.BDP(B237&amp;" Equity","OPT_STRIKE_PX")</f>
        <v>195</v>
      </c>
      <c r="U237" s="40">
        <f t="shared" ref="U237" si="24">T237/S237-1</f>
        <v>3.4373010821133088E-2</v>
      </c>
      <c r="V237" s="37" cm="1">
        <f t="array" ref="V237">_xll.BDP(B237&amp;" Equity","ivol_mid")</f>
        <v>43.941749999999999</v>
      </c>
      <c r="W237" s="38" cm="1">
        <f t="array" ref="W237">_xll.BDP(B237&amp;" Equity","DELTA_MID_RT")</f>
        <v>0.53760939836502075</v>
      </c>
      <c r="X237" s="48">
        <f>Y237/'Master P&amp;L'!$AE$5</f>
        <v>6.0917422462388067E-4</v>
      </c>
      <c r="Y237" s="15">
        <f t="shared" ref="Y237" si="25">IF(G237="Sell", S237*W237*-H237*O237/N237, S237*W237*H237*O237/N237)</f>
        <v>1368226.6710269451</v>
      </c>
      <c r="Z237" s="15" cm="1">
        <f t="array" ref="Z237">_xll.BDP($B237&amp;" Equity","opt_theta")*H237*O237/N237</f>
        <v>-861.38100000000009</v>
      </c>
      <c r="AA237" s="19" cm="1">
        <f t="array" ref="AA237">_xll.BDP($B237&amp;" Equity","opt_theta")/I237</f>
        <v>-3.0026352941176469E-3</v>
      </c>
      <c r="AB237" s="36" t="str" cm="1">
        <f t="array" ref="AB237">_xll.BDP($C237&amp;" Equity","EXPECTED_REPORT_DT")</f>
        <v>25/02/2026</v>
      </c>
      <c r="AC237" s="15">
        <f t="shared" ref="AC237" si="26">S237*H237*O237/N237</f>
        <v>2545020</v>
      </c>
      <c r="AD237" s="19">
        <f>AC237/'Master P&amp;L'!$AE$5</f>
        <v>1.1331167693059369E-3</v>
      </c>
      <c r="AE237" t="str">
        <f t="shared" ref="AE237" si="27">B237  &amp; " -&gt; Sell to open " &amp;   H237 &amp;"x"</f>
        <v>NVDA US 07/17/26 C195 -&gt; Sell to open 135x</v>
      </c>
    </row>
    <row r="239" spans="1:37">
      <c r="A239" s="237"/>
      <c r="B239" s="73"/>
      <c r="D239" s="64"/>
      <c r="G239" s="105"/>
      <c r="H239" s="131"/>
      <c r="I239" s="97">
        <f>I234-I233</f>
        <v>-47.1</v>
      </c>
      <c r="J239" s="19"/>
      <c r="K239" s="109">
        <f>AVERAGE(K233:L233)-AVERAGE(K234:L234)</f>
        <v>47</v>
      </c>
      <c r="L239" s="36"/>
      <c r="M239" s="40"/>
      <c r="N239" s="36"/>
      <c r="O239" s="162"/>
      <c r="P239" s="15"/>
      <c r="Q239" s="58"/>
      <c r="R239" s="37"/>
      <c r="S239" s="36"/>
      <c r="T239" s="53"/>
      <c r="U239" s="40"/>
      <c r="V239" s="37"/>
      <c r="W239" s="38"/>
      <c r="X239" s="48"/>
      <c r="Y239" s="15"/>
      <c r="Z239" s="15"/>
      <c r="AA239" s="19"/>
      <c r="AB239" s="36"/>
      <c r="AC239" s="15"/>
      <c r="AD239" s="48"/>
    </row>
    <row r="240" spans="1:37">
      <c r="A240" s="237"/>
      <c r="B240" s="73"/>
      <c r="D240" s="64"/>
      <c r="G240" s="105"/>
      <c r="H240" s="131"/>
      <c r="I240" s="97"/>
      <c r="J240" s="19"/>
      <c r="K240" s="36"/>
      <c r="L240" s="36"/>
      <c r="M240" s="40"/>
      <c r="N240" s="36"/>
      <c r="O240" s="162"/>
      <c r="P240" s="15"/>
      <c r="Q240" s="58"/>
      <c r="R240" s="37"/>
      <c r="S240" s="36"/>
      <c r="T240" s="53"/>
      <c r="U240" s="40"/>
      <c r="V240" s="37"/>
      <c r="W240" s="38"/>
      <c r="X240" s="48"/>
      <c r="Y240" s="15"/>
      <c r="Z240" s="15"/>
      <c r="AA240" s="19"/>
      <c r="AB240" s="36"/>
      <c r="AC240" s="15"/>
      <c r="AD240" s="19"/>
    </row>
    <row r="244" spans="4:6">
      <c r="D244">
        <v>1</v>
      </c>
      <c r="E244">
        <v>1.45</v>
      </c>
      <c r="F244">
        <f>E244</f>
        <v>1.45</v>
      </c>
    </row>
    <row r="245" spans="4:6">
      <c r="D245">
        <v>1</v>
      </c>
      <c r="E245">
        <v>1.17</v>
      </c>
      <c r="F245">
        <f>F244*E245</f>
        <v>1.6964999999999999</v>
      </c>
    </row>
    <row r="246" spans="4:6">
      <c r="D246">
        <v>1</v>
      </c>
      <c r="E246">
        <v>1.07</v>
      </c>
      <c r="F246">
        <f>F245*E246</f>
        <v>1.8152550000000001</v>
      </c>
    </row>
    <row r="247" spans="4:6">
      <c r="D247">
        <v>1</v>
      </c>
      <c r="E247">
        <v>1.03</v>
      </c>
      <c r="F247">
        <f>F246*E247</f>
        <v>1.8697126500000001</v>
      </c>
    </row>
    <row r="248" spans="4:6">
      <c r="E248">
        <f>SUM(E244:E247)/4</f>
        <v>1.1800000000000002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K59"/>
  <sheetViews>
    <sheetView topLeftCell="A28" zoomScaleNormal="100" workbookViewId="0">
      <selection activeCell="D58" sqref="D58"/>
    </sheetView>
  </sheetViews>
  <sheetFormatPr defaultRowHeight="15"/>
  <cols>
    <col min="2" max="2" width="10.42578125" bestFit="1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</cols>
  <sheetData>
    <row r="1" spans="2:8">
      <c r="C1" t="s">
        <v>414</v>
      </c>
      <c r="D1" t="s">
        <v>415</v>
      </c>
      <c r="E1" t="s">
        <v>169</v>
      </c>
      <c r="G1" s="3"/>
    </row>
    <row r="2" spans="2:8">
      <c r="B2" t="s">
        <v>416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416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417</v>
      </c>
      <c r="C4" s="3"/>
      <c r="D4" s="3">
        <v>75000</v>
      </c>
      <c r="E4" s="3">
        <v>75000</v>
      </c>
      <c r="G4" s="3"/>
    </row>
    <row r="5" spans="2:8">
      <c r="B5" t="s">
        <v>418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80">
        <v>45460</v>
      </c>
      <c r="C9" t="s">
        <v>419</v>
      </c>
      <c r="D9" s="3">
        <v>-14000000</v>
      </c>
      <c r="E9" s="1">
        <v>73.75</v>
      </c>
      <c r="F9" t="s">
        <v>420</v>
      </c>
      <c r="G9" s="81">
        <f>192395+11198</f>
        <v>203593</v>
      </c>
      <c r="H9" s="82">
        <f t="shared" ref="H9:H14" si="0">G9/D9</f>
        <v>-1.4542357142857143E-2</v>
      </c>
    </row>
    <row r="10" spans="2:8">
      <c r="B10" s="80">
        <v>45460</v>
      </c>
      <c r="C10" t="s">
        <v>421</v>
      </c>
      <c r="D10" s="3">
        <v>14000000</v>
      </c>
      <c r="E10" s="1">
        <v>65</v>
      </c>
      <c r="F10" t="s">
        <v>420</v>
      </c>
      <c r="G10" s="3">
        <f>246264+14333</f>
        <v>260597</v>
      </c>
      <c r="H10" s="5">
        <f t="shared" si="0"/>
        <v>1.8614071428571428E-2</v>
      </c>
    </row>
    <row r="11" spans="2:8">
      <c r="B11" s="80">
        <v>45460</v>
      </c>
      <c r="C11" t="s">
        <v>419</v>
      </c>
      <c r="D11" s="3">
        <v>-11000000</v>
      </c>
      <c r="E11" s="1">
        <v>74.099999999999994</v>
      </c>
      <c r="F11" t="s">
        <v>422</v>
      </c>
      <c r="G11" s="81">
        <f>149481.1+8699.96</f>
        <v>158181.06</v>
      </c>
      <c r="H11" s="82">
        <f t="shared" si="0"/>
        <v>-1.4380096363636364E-2</v>
      </c>
    </row>
    <row r="12" spans="2:8">
      <c r="B12" s="80">
        <v>45460</v>
      </c>
      <c r="C12" t="s">
        <v>421</v>
      </c>
      <c r="D12" s="3">
        <v>11000000</v>
      </c>
      <c r="E12" s="1">
        <v>64</v>
      </c>
      <c r="F12" t="s">
        <v>422</v>
      </c>
      <c r="G12" s="3">
        <f>198349.3+11544.14</f>
        <v>209893.44</v>
      </c>
      <c r="H12" s="5">
        <f t="shared" si="0"/>
        <v>1.908122181818182E-2</v>
      </c>
    </row>
    <row r="13" spans="2:8">
      <c r="B13" s="80">
        <v>45457</v>
      </c>
      <c r="C13" t="s">
        <v>419</v>
      </c>
      <c r="D13" s="3">
        <v>40000000</v>
      </c>
      <c r="E13" s="1">
        <v>72.8</v>
      </c>
      <c r="F13" t="s">
        <v>420</v>
      </c>
      <c r="G13" s="81">
        <f>426259.38+24808.75</f>
        <v>451068.13</v>
      </c>
      <c r="H13" s="82">
        <f t="shared" si="0"/>
        <v>1.1276703250000001E-2</v>
      </c>
    </row>
    <row r="14" spans="2:8">
      <c r="B14" s="80">
        <v>45457</v>
      </c>
      <c r="C14" t="s">
        <v>419</v>
      </c>
      <c r="D14" s="3">
        <v>30000000</v>
      </c>
      <c r="E14" s="1">
        <v>72.48</v>
      </c>
      <c r="F14" t="s">
        <v>422</v>
      </c>
      <c r="G14" s="81">
        <f>426259.38+24808.75</f>
        <v>451068.13</v>
      </c>
      <c r="H14" s="82">
        <f t="shared" si="0"/>
        <v>1.5035604333333334E-2</v>
      </c>
    </row>
    <row r="16" spans="2:8">
      <c r="G16" s="3"/>
    </row>
    <row r="17" spans="2:11">
      <c r="B17" t="s">
        <v>247</v>
      </c>
      <c r="C17" t="s">
        <v>419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419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419</v>
      </c>
      <c r="D19" s="18">
        <v>-22500000</v>
      </c>
      <c r="E19" s="1">
        <v>73.349999999999994</v>
      </c>
      <c r="F19" s="80">
        <v>45471</v>
      </c>
      <c r="G19" s="3"/>
      <c r="K19" s="64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421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423</v>
      </c>
      <c r="C26" t="s">
        <v>424</v>
      </c>
      <c r="D26" t="s">
        <v>425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8">
        <f>C31/C27*D27</f>
        <v>33406803.706333235</v>
      </c>
      <c r="I31" s="3">
        <f>0.01%*12500000000/5.5</f>
        <v>227272.72727272726</v>
      </c>
    </row>
    <row r="32" spans="2:11">
      <c r="I32" s="18">
        <f>I31/I30</f>
        <v>27.185732927359719</v>
      </c>
    </row>
    <row r="33" spans="2:9">
      <c r="B33" t="s">
        <v>423</v>
      </c>
      <c r="C33" t="s">
        <v>424</v>
      </c>
      <c r="D33" t="s">
        <v>425</v>
      </c>
    </row>
    <row r="34" spans="2:9">
      <c r="B34">
        <v>1</v>
      </c>
      <c r="C34" s="1">
        <v>4206.29</v>
      </c>
      <c r="D34" s="3">
        <v>10000000</v>
      </c>
    </row>
    <row r="36" spans="2:9">
      <c r="B36">
        <v>10</v>
      </c>
      <c r="C36" s="3">
        <f>0.01%*10000000000/5.3</f>
        <v>188679.24528301888</v>
      </c>
      <c r="F36" s="64"/>
      <c r="H36" s="64"/>
    </row>
    <row r="37" spans="2:9">
      <c r="F37" s="64"/>
      <c r="H37" s="64"/>
    </row>
    <row r="38" spans="2:9">
      <c r="B38">
        <v>1</v>
      </c>
      <c r="C38" s="3">
        <f>B38/B36*C36</f>
        <v>18867.92452830189</v>
      </c>
      <c r="D38" s="18">
        <f>C38/C34*D34</f>
        <v>44856451.952437632</v>
      </c>
      <c r="F38" s="64"/>
      <c r="H38" s="64"/>
      <c r="I38" s="79"/>
    </row>
    <row r="40" spans="2:9">
      <c r="B40" s="59" t="s">
        <v>423</v>
      </c>
      <c r="C40" s="59" t="s">
        <v>424</v>
      </c>
      <c r="D40" s="59" t="s">
        <v>425</v>
      </c>
      <c r="E40" s="59" t="s">
        <v>2387</v>
      </c>
    </row>
    <row r="41" spans="2:9">
      <c r="B41" s="59">
        <v>1</v>
      </c>
      <c r="C41" s="14">
        <v>4510</v>
      </c>
      <c r="D41" s="8">
        <v>10000000</v>
      </c>
      <c r="E41" s="276">
        <v>0.25</v>
      </c>
      <c r="F41" s="32">
        <f>E41/10000</f>
        <v>2.5000000000000001E-5</v>
      </c>
    </row>
    <row r="42" spans="2:9">
      <c r="B42" s="59"/>
      <c r="C42" s="59"/>
      <c r="D42" s="59"/>
      <c r="F42" s="64"/>
    </row>
    <row r="43" spans="2:9">
      <c r="B43" s="59">
        <v>10</v>
      </c>
      <c r="C43" s="8">
        <f>E41*2400000000/10000</f>
        <v>60000</v>
      </c>
      <c r="D43" s="59"/>
      <c r="F43" s="64"/>
      <c r="G43" s="79"/>
    </row>
    <row r="44" spans="2:9">
      <c r="B44" s="59"/>
      <c r="C44" s="59"/>
      <c r="D44" s="59"/>
    </row>
    <row r="45" spans="2:9">
      <c r="B45" s="59">
        <v>1</v>
      </c>
      <c r="C45" s="8">
        <f>B45/B43*C43</f>
        <v>6000</v>
      </c>
      <c r="D45" s="483">
        <f>C45/C41*D41</f>
        <v>13303769.401330376</v>
      </c>
    </row>
    <row r="50" spans="1:10">
      <c r="I50" s="93" cm="1">
        <f t="array" ref="I50">_xll.BDP("cny Curncy","LAST_PRICE")</f>
        <v>6.9546000000000001</v>
      </c>
    </row>
    <row r="51" spans="1:10">
      <c r="F51" s="80" t="s">
        <v>2374</v>
      </c>
      <c r="G51" s="80" t="s">
        <v>2375</v>
      </c>
      <c r="H51" s="80" t="str">
        <f>F51</f>
        <v>YEST</v>
      </c>
      <c r="I51" s="80" t="str">
        <f>G51</f>
        <v>TODAY</v>
      </c>
      <c r="J51" t="s">
        <v>2346</v>
      </c>
    </row>
    <row r="52" spans="1:10">
      <c r="A52" s="442" t="s">
        <v>1930</v>
      </c>
      <c r="B52" s="443">
        <v>46101</v>
      </c>
      <c r="C52" s="442">
        <v>276451</v>
      </c>
      <c r="D52" s="442" t="s">
        <v>1932</v>
      </c>
      <c r="E52" s="442" t="s">
        <v>2149</v>
      </c>
      <c r="F52" s="450">
        <f>Precificação!N2</f>
        <v>9.9975927599999999</v>
      </c>
      <c r="G52" s="276">
        <v>10.45</v>
      </c>
      <c r="H52" s="267">
        <f>$C52*F52/$I$50</f>
        <v>397412.43437361746</v>
      </c>
      <c r="I52" s="267">
        <f>$C52*G52/$I$50</f>
        <v>415395.98970465589</v>
      </c>
      <c r="J52" s="267">
        <f>I52-H52</f>
        <v>17983.555331038428</v>
      </c>
    </row>
    <row r="53" spans="1:10">
      <c r="A53" s="442" t="s">
        <v>1930</v>
      </c>
      <c r="B53" s="443">
        <v>46101</v>
      </c>
      <c r="C53" s="442">
        <v>276451</v>
      </c>
      <c r="D53" s="442" t="s">
        <v>1932</v>
      </c>
      <c r="E53" s="442" t="s">
        <v>2150</v>
      </c>
      <c r="F53" s="450">
        <f>Precificação!N3</f>
        <v>2.42781139</v>
      </c>
      <c r="G53" s="276">
        <v>2.35</v>
      </c>
      <c r="H53" s="267">
        <f>$C53*F53/$I$50</f>
        <v>96507.475135434099</v>
      </c>
      <c r="I53" s="267">
        <f>$C53*G53/$I$50</f>
        <v>93414.409168032667</v>
      </c>
      <c r="J53" s="267">
        <f>I53-H53</f>
        <v>-3093.0659674014314</v>
      </c>
    </row>
    <row r="54" spans="1:10">
      <c r="E54" s="276">
        <f>E53-E52</f>
        <v>15</v>
      </c>
      <c r="F54" s="276">
        <f>F52-F53</f>
        <v>7.5697813699999994</v>
      </c>
      <c r="G54" s="276">
        <f>G52-G53</f>
        <v>8.1</v>
      </c>
      <c r="H54" s="408">
        <f>H52-H53</f>
        <v>300904.95923818334</v>
      </c>
      <c r="I54" s="408">
        <f>I52-I53</f>
        <v>321981.58053662325</v>
      </c>
      <c r="J54" s="408">
        <f>J52-J53</f>
        <v>21076.621298439859</v>
      </c>
    </row>
    <row r="55" spans="1:10">
      <c r="I55" t="s">
        <v>2347</v>
      </c>
      <c r="J55" s="276">
        <f>J54/'Master P&amp;L'!AD7*10000</f>
        <v>8.7959840670611647E-2</v>
      </c>
    </row>
    <row r="58" spans="1:10">
      <c r="A58">
        <v>99.18</v>
      </c>
      <c r="B58" s="5">
        <f>A58/A59-1</f>
        <v>1.5146925174189807E-3</v>
      </c>
      <c r="C58">
        <v>59</v>
      </c>
      <c r="D58" s="5">
        <f>C58/C59-1</f>
        <v>9.259259259259256E-2</v>
      </c>
    </row>
    <row r="59" spans="1:10">
      <c r="A59">
        <v>99.03</v>
      </c>
      <c r="C59">
        <v>54</v>
      </c>
    </row>
  </sheetData>
  <conditionalFormatting sqref="F52:F53">
    <cfRule type="cellIs" dxfId="45" priority="1" operator="equal">
      <formula>0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E23" sqref="E23"/>
    </sheetView>
  </sheetViews>
  <sheetFormatPr defaultRowHeight="15" outlineLevelCol="1"/>
  <cols>
    <col min="2" max="2" width="25" style="171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8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1" bestFit="1" customWidth="1"/>
    <col min="16" max="16" width="17.85546875" bestFit="1" customWidth="1"/>
    <col min="17" max="17" width="15.85546875" bestFit="1" customWidth="1"/>
    <col min="18" max="18" width="14.28515625" bestFit="1" customWidth="1"/>
    <col min="19" max="19" width="12.140625" bestFit="1" customWidth="1"/>
  </cols>
  <sheetData>
    <row r="1" spans="2:22">
      <c r="F1" s="234" t="s">
        <v>282</v>
      </c>
      <c r="G1" s="234" t="s">
        <v>283</v>
      </c>
      <c r="H1" s="7"/>
      <c r="N1">
        <f>2900+860</f>
        <v>3760</v>
      </c>
    </row>
    <row r="2" spans="2:22">
      <c r="H2"/>
      <c r="K2" s="218"/>
    </row>
    <row r="3" spans="2:22">
      <c r="H3"/>
      <c r="K3" s="22" t="s">
        <v>168</v>
      </c>
      <c r="L3" s="22" t="s">
        <v>168</v>
      </c>
      <c r="M3" s="163" t="s">
        <v>1749</v>
      </c>
    </row>
    <row r="4" spans="2:22">
      <c r="B4" s="275" t="s">
        <v>284</v>
      </c>
      <c r="C4" s="232" t="s">
        <v>285</v>
      </c>
      <c r="D4" s="232" t="s">
        <v>286</v>
      </c>
      <c r="E4" s="216" t="s">
        <v>287</v>
      </c>
      <c r="F4" s="232" t="s">
        <v>288</v>
      </c>
      <c r="G4" s="232" t="s">
        <v>289</v>
      </c>
      <c r="H4" s="216" t="s">
        <v>290</v>
      </c>
      <c r="I4" s="216" t="s">
        <v>286</v>
      </c>
      <c r="J4" s="216" t="s">
        <v>287</v>
      </c>
      <c r="K4" s="232" t="s">
        <v>288</v>
      </c>
      <c r="L4" s="232" t="s">
        <v>289</v>
      </c>
      <c r="M4" s="232" t="s">
        <v>291</v>
      </c>
      <c r="O4" s="275" t="s">
        <v>292</v>
      </c>
      <c r="P4" s="216" t="s">
        <v>286</v>
      </c>
      <c r="Q4" s="216" t="s">
        <v>293</v>
      </c>
      <c r="R4" s="220" t="s">
        <v>294</v>
      </c>
    </row>
    <row r="5" spans="2:22">
      <c r="B5" s="171" t="s">
        <v>173</v>
      </c>
      <c r="C5" s="233">
        <f>IF(B5="","",IF(LEN(B5)&gt;9,SUMIFS(Options!$H$3:$H$26,Options!$B$3:$B$26,Check!B5),SUMIFS('Master P&amp;L'!$H$11:$H$93,'Master P&amp;L'!$B$11:$B$93,Check!B5)))</f>
        <v>0</v>
      </c>
      <c r="D5" s="233">
        <f>IF(B5="","",SUMIFS(Input_APM!N:N,Input_APM!L:L,Check!B5,Input_APM!M:M,Check!$F$1))</f>
        <v>0</v>
      </c>
      <c r="E5" s="219">
        <f>IF(B5="","",C5-M5)</f>
        <v>0</v>
      </c>
      <c r="F5" s="233">
        <f>IF(B5="","",SUMIFS(Input_APM!N:N,Input_APM!M:M,Check!$F$1,Input_APM!L:L,Check!B5))</f>
        <v>0</v>
      </c>
      <c r="G5" s="233">
        <f>IF(B5="","",SUMIFS(Input_APM!N:N,Input_APM!M:M,Check!$G$1,Input_APM!L:L,Check!B5))</f>
        <v>0</v>
      </c>
      <c r="H5" s="217">
        <f>IF(B5="","",F5-G5)</f>
        <v>0</v>
      </c>
      <c r="I5" s="217">
        <f>SUMIFS(Input_APM!N:N,Input_APM!L:L,Check!B5)</f>
        <v>0</v>
      </c>
      <c r="J5" s="219">
        <f>IF(B5="","",(F5+G5)-I5)</f>
        <v>0</v>
      </c>
      <c r="K5" s="22">
        <f>IF(B5="","",SUMIFS('Input_APM (Zenith)'!N:N,'Input_APM (Zenith)'!L:L,Check!B5,'Input_APM (Zenith)'!M:M,Check!$F$1))</f>
        <v>0</v>
      </c>
      <c r="L5" s="22">
        <f>IF(B5="","",SUMIFS('Input_APM (Zenith)'!N:N,'Input_APM (Zenith)'!L:L,Check!B5,'Input_APM (Zenith)'!M:M,Check!$G$1))</f>
        <v>0</v>
      </c>
      <c r="M5" s="240">
        <f>IF(B5="","",F5+G5+K5+L5)</f>
        <v>0</v>
      </c>
      <c r="O5" s="171" t="s">
        <v>2372</v>
      </c>
      <c r="P5" s="217">
        <f>IF(O5="","",IF(OR(LEFT(O5,4)="Cash",LEFT(O5,4)="Prov"),0,SUMIFS(Input_APM!N:N,Input_APM!L:L,Check!O5)))</f>
        <v>0</v>
      </c>
      <c r="Q5" s="22">
        <f>IF(O5="","",IF(LEN(O5)&gt;9,SUMIFS(Options!$H$3:$H$26,Options!$B$3:$B$26,Check!O5),SUMIFS('Master P&amp;L'!$H$11:$H$93,'Master P&amp;L'!$B$11:$B$93,Check!O5)))</f>
        <v>0</v>
      </c>
      <c r="R5" s="217">
        <f>IF(O5="","",P5-Q5)</f>
        <v>0</v>
      </c>
      <c r="S5" s="361" t="str">
        <f>IF(O5="","",IF((P5+Q5)=0,"Ok",IF(OR(P5=0,Q5=0),"Erro",P5/Q5)))</f>
        <v>Ok</v>
      </c>
      <c r="V5" s="13"/>
    </row>
    <row r="6" spans="2:22">
      <c r="B6" t="s">
        <v>461</v>
      </c>
      <c r="C6" s="233">
        <f>IF(B6="","",IF(LEN(B6)&gt;9,SUMIFS(Options!$H$3:$H$26,Options!$B$3:$B$26,Check!B6),SUMIFS('Master P&amp;L'!$H$11:$H$93,'Master P&amp;L'!$B$11:$B$93,Check!B6)))</f>
        <v>3378</v>
      </c>
      <c r="D6" s="233">
        <f>IF(B6="","",SUMIFS(Input_APM!N:N,Input_APM!L:L,Check!B6,Input_APM!M:M,Check!$F$1))</f>
        <v>3163</v>
      </c>
      <c r="E6" s="219">
        <f>IF(B6="","",C6-M6)</f>
        <v>0</v>
      </c>
      <c r="F6" s="233">
        <f>IF(B6="","",SUMIFS(Input_APM!N:N,Input_APM!M:M,Check!$F$1,Input_APM!L:L,Check!B6))</f>
        <v>3163</v>
      </c>
      <c r="G6" s="233">
        <f>IF(B6="","",SUMIFS(Input_APM!N:N,Input_APM!M:M,Check!$G$1,Input_APM!L:L,Check!B6))</f>
        <v>0</v>
      </c>
      <c r="H6" s="217">
        <f t="shared" ref="H6:H69" si="0">IF(B6="","",F6-G6)</f>
        <v>3163</v>
      </c>
      <c r="I6" s="217">
        <f>SUMIFS(Input_APM!N:N,Input_APM!L:L,Check!B6)</f>
        <v>3163</v>
      </c>
      <c r="J6" s="219">
        <f>IF(B6="","",(F6+G6)-I6)</f>
        <v>0</v>
      </c>
      <c r="K6" s="22">
        <f>IF(B6="","",SUMIFS('Input_APM (Zenith)'!N:N,'Input_APM (Zenith)'!L:L,Check!B6,'Input_APM (Zenith)'!M:M,Check!$F$1))</f>
        <v>215</v>
      </c>
      <c r="L6" s="22">
        <f>IF(B6="","",SUMIFS('Input_APM (Zenith)'!N:N,'Input_APM (Zenith)'!L:L,Check!B6,'Input_APM (Zenith)'!M:M,Check!$G$1))</f>
        <v>0</v>
      </c>
      <c r="M6" s="240">
        <f>IF(B6="","",F6+G6+K6+L6)</f>
        <v>3378</v>
      </c>
      <c r="O6" t="s">
        <v>2273</v>
      </c>
      <c r="P6" s="217">
        <f>IF(O6="","",IF(OR(LEFT(O6,4)="Cash",LEFT(O6,4)="Prov"),0,SUMIFS(Input_APM!N:N,Input_APM!L:L,Check!O6)))</f>
        <v>0</v>
      </c>
      <c r="Q6" s="22">
        <f>IF(O6="","",IF(LEN(O6)&gt;9,SUMIFS(Options!$H$3:$H$26,Options!$B$3:$B$26,Check!O6),SUMIFS('Master P&amp;L'!$H$11:$H$93,'Master P&amp;L'!$B$11:$B$93,Check!O6)))</f>
        <v>0</v>
      </c>
      <c r="R6" s="217">
        <f t="shared" ref="R6:R69" si="1">IF(O6="","",P6-Q6)</f>
        <v>0</v>
      </c>
      <c r="S6" s="361" t="str">
        <f t="shared" ref="S6:S69" si="2">IF(O6="","",IF((P6+Q6)=0,"Ok",IF(OR(P6=0,Q6=0),"Erro",P6/Q6)))</f>
        <v>Ok</v>
      </c>
      <c r="V6" s="13"/>
    </row>
    <row r="7" spans="2:22">
      <c r="B7" t="s">
        <v>2141</v>
      </c>
      <c r="C7" s="233">
        <f>IF(B7="","",IF(LEN(B7)&gt;9,SUMIFS(Options!$H$3:$H$26,Options!$B$3:$B$26,Check!B7),SUMIFS('Master P&amp;L'!$H$11:$H$93,'Master P&amp;L'!$B$11:$B$93,Check!B7)))</f>
        <v>3510</v>
      </c>
      <c r="D7" s="233">
        <f>IF(B7="","",SUMIFS(Input_APM!N:N,Input_APM!L:L,Check!B7,Input_APM!M:M,Check!$F$1))</f>
        <v>3285</v>
      </c>
      <c r="E7" s="219">
        <f>IF(B7="","",C7-M7)</f>
        <v>0</v>
      </c>
      <c r="F7" s="233">
        <f>IF(B7="","",SUMIFS(Input_APM!N:N,Input_APM!M:M,Check!$F$1,Input_APM!L:L,Check!B7))</f>
        <v>3285</v>
      </c>
      <c r="G7" s="233">
        <f>IF(B7="","",SUMIFS(Input_APM!N:N,Input_APM!M:M,Check!$G$1,Input_APM!L:L,Check!B7))</f>
        <v>0</v>
      </c>
      <c r="H7" s="217">
        <f>IF(B7="","",F7-G7)</f>
        <v>3285</v>
      </c>
      <c r="I7" s="217">
        <f>SUMIFS(Input_APM!N:N,Input_APM!L:L,Check!B7)</f>
        <v>3285</v>
      </c>
      <c r="J7" s="219">
        <f t="shared" ref="J7:J69" si="3">IF(B7="","",(F7+G7)-I7)</f>
        <v>0</v>
      </c>
      <c r="K7" s="22">
        <f>IF(B7="","",SUMIFS('Input_APM (Zenith)'!N:N,'Input_APM (Zenith)'!L:L,Check!B7,'Input_APM (Zenith)'!M:M,Check!$F$1))</f>
        <v>225</v>
      </c>
      <c r="L7" s="22">
        <f>IF(B7="","",SUMIFS('Input_APM (Zenith)'!N:N,'Input_APM (Zenith)'!L:L,Check!B7,'Input_APM (Zenith)'!M:M,Check!$G$1))</f>
        <v>0</v>
      </c>
      <c r="M7" s="240">
        <f t="shared" ref="M7:M69" si="4">IF(B7="","",F7+G7+K7+L7)</f>
        <v>3510</v>
      </c>
      <c r="O7" t="s">
        <v>79</v>
      </c>
      <c r="P7" s="217">
        <f>IF(O7="","",IF(OR(LEFT(O7,4)="Cash",LEFT(O7,4)="Prov"),0,SUMIFS(Input_APM!N:N,Input_APM!L:L,Check!O7)))</f>
        <v>9384</v>
      </c>
      <c r="Q7" s="22">
        <f>IF(O7="","",IF(LEN(O7)&gt;9,SUMIFS(Options!$H$3:$H$26,Options!$B$3:$B$26,Check!O7),SUMIFS('Master P&amp;L'!$H$11:$H$93,'Master P&amp;L'!$B$11:$B$93,Check!O7)))</f>
        <v>12700</v>
      </c>
      <c r="R7" s="217">
        <f t="shared" si="1"/>
        <v>-3316</v>
      </c>
      <c r="S7" s="361">
        <f t="shared" si="2"/>
        <v>0.73889763779527562</v>
      </c>
      <c r="V7" s="13"/>
    </row>
    <row r="8" spans="2:22">
      <c r="B8" t="s">
        <v>38</v>
      </c>
      <c r="C8" s="233">
        <f>IF(B8="","",IF(LEN(B8)&gt;9,SUMIFS(Options!$H$3:$H$26,Options!$B$3:$B$26,Check!B8),SUMIFS('Master P&amp;L'!$H$11:$H$93,'Master P&amp;L'!$B$11:$B$93,Check!B8)))</f>
        <v>21000</v>
      </c>
      <c r="D8" s="233">
        <f>IF(B8="","",SUMIFS(Input_APM!N:N,Input_APM!L:L,Check!B8,Input_APM!M:M,Check!$F$1))</f>
        <v>0</v>
      </c>
      <c r="E8" s="219">
        <f>IF(B8="","",C8-M8)</f>
        <v>21000</v>
      </c>
      <c r="F8" s="233">
        <f>IF(B8="","",SUMIFS(Input_APM!N:N,Input_APM!M:M,Check!$F$1,Input_APM!L:L,Check!B8))</f>
        <v>0</v>
      </c>
      <c r="G8" s="233">
        <f>IF(B8="","",SUMIFS(Input_APM!N:N,Input_APM!M:M,Check!$G$1,Input_APM!L:L,Check!B8))</f>
        <v>0</v>
      </c>
      <c r="H8" s="217">
        <f t="shared" si="0"/>
        <v>0</v>
      </c>
      <c r="I8" s="217">
        <f>SUMIFS(Input_APM!N:N,Input_APM!L:L,Check!B8)</f>
        <v>0</v>
      </c>
      <c r="J8" s="219">
        <f t="shared" si="3"/>
        <v>0</v>
      </c>
      <c r="K8" s="22">
        <f>IF(B8="","",SUMIFS('Input_APM (Zenith)'!N:N,'Input_APM (Zenith)'!L:L,Check!B8,'Input_APM (Zenith)'!M:M,Check!$F$1))</f>
        <v>0</v>
      </c>
      <c r="L8" s="22">
        <f>IF(B8="","",SUMIFS('Input_APM (Zenith)'!N:N,'Input_APM (Zenith)'!L:L,Check!B8,'Input_APM (Zenith)'!M:M,Check!$G$1))</f>
        <v>0</v>
      </c>
      <c r="M8" s="240">
        <f t="shared" si="4"/>
        <v>0</v>
      </c>
      <c r="O8" t="s">
        <v>448</v>
      </c>
      <c r="P8" s="217">
        <f>IF(O8="","",IF(OR(LEFT(O8,4)="Cash",LEFT(O8,4)="Prov"),0,SUMIFS(Input_APM!N:N,Input_APM!L:L,Check!O8)))</f>
        <v>4223</v>
      </c>
      <c r="Q8" s="22">
        <f>IF(O8="","",IF(LEN(O8)&gt;9,SUMIFS(Options!$H$3:$H$26,Options!$B$3:$B$26,Check!O8),SUMIFS('Master P&amp;L'!$H$11:$H$93,'Master P&amp;L'!$B$11:$B$93,Check!O8)))</f>
        <v>4500</v>
      </c>
      <c r="R8" s="217">
        <f t="shared" si="1"/>
        <v>-277</v>
      </c>
      <c r="S8" s="361">
        <f t="shared" si="2"/>
        <v>0.93844444444444441</v>
      </c>
      <c r="V8" s="13"/>
    </row>
    <row r="9" spans="2:22">
      <c r="B9" t="s">
        <v>3</v>
      </c>
      <c r="C9" s="233">
        <f>IF(B9="","",IF(LEN(B9)&gt;9,SUMIFS(Options!$H$3:$H$26,Options!$B$3:$B$26,Check!B9),SUMIFS('Master P&amp;L'!$H$11:$H$93,'Master P&amp;L'!$B$11:$B$93,Check!B9)))</f>
        <v>-13000</v>
      </c>
      <c r="D9" s="233">
        <f>IF(B9="","",SUMIFS(Input_APM!N:N,Input_APM!L:L,Check!B9,Input_APM!M:M,Check!$F$1))</f>
        <v>-12201</v>
      </c>
      <c r="E9" s="219">
        <f>IF(B9="","",C9-M9)</f>
        <v>0</v>
      </c>
      <c r="F9" s="233">
        <f>IF(B9="","",SUMIFS(Input_APM!N:N,Input_APM!M:M,Check!$F$1,Input_APM!L:L,Check!B9))</f>
        <v>-12201</v>
      </c>
      <c r="G9" s="233">
        <f>IF(B9="","",SUMIFS(Input_APM!N:N,Input_APM!M:M,Check!$G$1,Input_APM!L:L,Check!B9))</f>
        <v>0</v>
      </c>
      <c r="H9" s="217">
        <f t="shared" si="0"/>
        <v>-12201</v>
      </c>
      <c r="I9" s="217">
        <f>SUMIFS(Input_APM!N:N,Input_APM!L:L,Check!B9)</f>
        <v>-12201</v>
      </c>
      <c r="J9" s="219">
        <f t="shared" si="3"/>
        <v>0</v>
      </c>
      <c r="K9" s="22">
        <f>IF(B9="","",SUMIFS('Input_APM (Zenith)'!N:N,'Input_APM (Zenith)'!L:L,Check!B9,'Input_APM (Zenith)'!M:M,Check!$F$1))</f>
        <v>-799</v>
      </c>
      <c r="L9" s="22">
        <f>IF(B9="","",SUMIFS('Input_APM (Zenith)'!N:N,'Input_APM (Zenith)'!L:L,Check!B9,'Input_APM (Zenith)'!M:M,Check!$G$1))</f>
        <v>0</v>
      </c>
      <c r="M9" s="240">
        <f t="shared" si="4"/>
        <v>-13000</v>
      </c>
      <c r="O9" t="s">
        <v>399</v>
      </c>
      <c r="P9" s="217">
        <f>IF(O9="","",IF(OR(LEFT(O9,4)="Cash",LEFT(O9,4)="Prov"),0,SUMIFS(Input_APM!N:N,Input_APM!L:L,Check!O9)))</f>
        <v>20751</v>
      </c>
      <c r="Q9" s="22">
        <f>IF(O9="","",IF(LEN(O9)&gt;9,SUMIFS(Options!$H$3:$H$26,Options!$B$3:$B$26,Check!O9),SUMIFS('Master P&amp;L'!$H$11:$H$93,'Master P&amp;L'!$B$11:$B$93,Check!O9)))</f>
        <v>18135</v>
      </c>
      <c r="R9" s="217">
        <f t="shared" si="1"/>
        <v>2616</v>
      </c>
      <c r="S9" s="361">
        <f t="shared" si="2"/>
        <v>1.1442514474772538</v>
      </c>
      <c r="V9" s="13"/>
    </row>
    <row r="10" spans="2:22">
      <c r="B10" t="s">
        <v>131</v>
      </c>
      <c r="C10" s="233">
        <f>IF(B10="","",IF(LEN(B10)&gt;9,SUMIFS(Options!$H$3:$H$26,Options!$B$3:$B$26,Check!B10),SUMIFS('Master P&amp;L'!$H$11:$H$93,'Master P&amp;L'!$B$11:$B$93,Check!B10)))</f>
        <v>13510</v>
      </c>
      <c r="D10" s="233">
        <f>IF(B10="","",SUMIFS(Input_APM!N:N,Input_APM!L:L,Check!B10,Input_APM!M:M,Check!$F$1))</f>
        <v>0</v>
      </c>
      <c r="E10" s="217">
        <f t="shared" ref="E10:E65" si="5">IF(B10="","",C10-M10)</f>
        <v>13510</v>
      </c>
      <c r="F10" s="233">
        <f>IF(B10="","",SUMIFS(Input_APM!N:N,Input_APM!M:M,Check!$F$1,Input_APM!L:L,Check!B10))</f>
        <v>0</v>
      </c>
      <c r="G10" s="233">
        <f>IF(B10="","",SUMIFS(Input_APM!N:N,Input_APM!M:M,Check!$G$1,Input_APM!L:L,Check!B10))</f>
        <v>0</v>
      </c>
      <c r="H10" s="217">
        <f t="shared" si="0"/>
        <v>0</v>
      </c>
      <c r="I10" s="217">
        <f>SUMIFS(Input_APM!N:N,Input_APM!L:L,Check!B10)</f>
        <v>0</v>
      </c>
      <c r="J10" s="219">
        <f t="shared" si="3"/>
        <v>0</v>
      </c>
      <c r="K10" s="22">
        <f>IF(B10="","",SUMIFS('Input_APM (Zenith)'!N:N,'Input_APM (Zenith)'!L:L,Check!B10,'Input_APM (Zenith)'!M:M,Check!$F$1))</f>
        <v>0</v>
      </c>
      <c r="L10" s="22">
        <f>IF(B10="","",SUMIFS('Input_APM (Zenith)'!N:N,'Input_APM (Zenith)'!L:L,Check!B10,'Input_APM (Zenith)'!M:M,Check!$G$1))</f>
        <v>0</v>
      </c>
      <c r="M10" s="240">
        <f t="shared" si="4"/>
        <v>0</v>
      </c>
      <c r="O10" t="s">
        <v>2306</v>
      </c>
      <c r="P10" s="217">
        <f>IF(O10="","",IF(OR(LEFT(O10,4)="Cash",LEFT(O10,4)="Prov"),0,SUMIFS(Input_APM!N:N,Input_APM!L:L,Check!O10)))</f>
        <v>46</v>
      </c>
      <c r="Q10" s="22">
        <f>IF(O10="","",IF(LEN(O10)&gt;9,SUMIFS(Options!$H$3:$H$26,Options!$B$3:$B$26,Check!O10),SUMIFS('Master P&amp;L'!$H$11:$H$93,'Master P&amp;L'!$B$11:$B$93,Check!O10)))</f>
        <v>50</v>
      </c>
      <c r="R10" s="217">
        <f t="shared" si="1"/>
        <v>-4</v>
      </c>
      <c r="S10" s="361">
        <f t="shared" si="2"/>
        <v>0.92</v>
      </c>
      <c r="V10" s="13"/>
    </row>
    <row r="11" spans="2:22">
      <c r="B11" t="s">
        <v>2148</v>
      </c>
      <c r="C11" s="233">
        <f>IF(B11="","",IF(LEN(B11)&gt;9,SUMIFS(Options!$H$3:$H$26,Options!$B$3:$B$26,Check!B11),SUMIFS('Master P&amp;L'!$H$11:$H$93,'Master P&amp;L'!$B$11:$B$93,Check!B11)))</f>
        <v>8750</v>
      </c>
      <c r="D11" s="233">
        <f>IF(B11="","",SUMIFS(Input_APM!N:N,Input_APM!L:L,Check!B11,Input_APM!M:M,Check!$F$1))</f>
        <v>9602</v>
      </c>
      <c r="E11" s="217">
        <f t="shared" si="5"/>
        <v>-1500</v>
      </c>
      <c r="F11" s="233">
        <f>IF(B11="","",SUMIFS(Input_APM!N:N,Input_APM!M:M,Check!$F$1,Input_APM!L:L,Check!B11))</f>
        <v>9602</v>
      </c>
      <c r="G11" s="233">
        <f>IF(B11="","",SUMIFS(Input_APM!N:N,Input_APM!M:M,Check!$G$1,Input_APM!L:L,Check!B11))</f>
        <v>0</v>
      </c>
      <c r="H11" s="217">
        <f t="shared" si="0"/>
        <v>9602</v>
      </c>
      <c r="I11" s="217">
        <f>SUMIFS(Input_APM!N:N,Input_APM!L:L,Check!B11)</f>
        <v>9602</v>
      </c>
      <c r="J11" s="219">
        <f t="shared" si="3"/>
        <v>0</v>
      </c>
      <c r="K11" s="22">
        <f>IF(B11="","",SUMIFS('Input_APM (Zenith)'!N:N,'Input_APM (Zenith)'!L:L,Check!B11,'Input_APM (Zenith)'!M:M,Check!$F$1))</f>
        <v>648</v>
      </c>
      <c r="L11" s="22">
        <f>IF(B11="","",SUMIFS('Input_APM (Zenith)'!N:N,'Input_APM (Zenith)'!L:L,Check!B11,'Input_APM (Zenith)'!M:M,Check!$G$1))</f>
        <v>0</v>
      </c>
      <c r="M11" s="240">
        <f t="shared" si="4"/>
        <v>10250</v>
      </c>
      <c r="O11" t="s">
        <v>2227</v>
      </c>
      <c r="P11" s="217">
        <f>IF(O11="","",IF(OR(LEFT(O11,4)="Cash",LEFT(O11,4)="Prov"),0,SUMIFS(Input_APM!N:N,Input_APM!L:L,Check!O11)))</f>
        <v>1874</v>
      </c>
      <c r="Q11" s="22">
        <f>IF(O11="","",IF(LEN(O11)&gt;9,SUMIFS(Options!$H$3:$H$26,Options!$B$3:$B$26,Check!O11),SUMIFS('Master P&amp;L'!$H$11:$H$93,'Master P&amp;L'!$B$11:$B$93,Check!O11)))</f>
        <v>1000</v>
      </c>
      <c r="R11" s="217">
        <f t="shared" si="1"/>
        <v>874</v>
      </c>
      <c r="S11" s="361">
        <f t="shared" si="2"/>
        <v>1.8740000000000001</v>
      </c>
      <c r="V11" s="13"/>
    </row>
    <row r="12" spans="2:22">
      <c r="B12" t="s">
        <v>79</v>
      </c>
      <c r="C12" s="233">
        <f>IF(B12="","",IF(LEN(B12)&gt;9,SUMIFS(Options!$H$3:$H$26,Options!$B$3:$B$26,Check!B12),SUMIFS('Master P&amp;L'!$H$11:$H$93,'Master P&amp;L'!$B$11:$B$93,Check!B12)))</f>
        <v>12700</v>
      </c>
      <c r="D12" s="233">
        <f>IF(B12="","",SUMIFS(Input_APM!N:N,Input_APM!L:L,Check!B12,Input_APM!M:M,Check!$F$1))</f>
        <v>9384</v>
      </c>
      <c r="E12" s="217">
        <f t="shared" si="5"/>
        <v>2700</v>
      </c>
      <c r="F12" s="233">
        <f>IF(B12="","",SUMIFS(Input_APM!N:N,Input_APM!M:M,Check!$F$1,Input_APM!L:L,Check!B12))</f>
        <v>9384</v>
      </c>
      <c r="G12" s="233">
        <f>IF(B12="","",SUMIFS(Input_APM!N:N,Input_APM!M:M,Check!$G$1,Input_APM!L:L,Check!B12))</f>
        <v>0</v>
      </c>
      <c r="H12" s="217">
        <f t="shared" si="0"/>
        <v>9384</v>
      </c>
      <c r="I12" s="217">
        <f>SUMIFS(Input_APM!N:N,Input_APM!L:L,Check!B12)</f>
        <v>9384</v>
      </c>
      <c r="J12" s="219">
        <f t="shared" si="3"/>
        <v>0</v>
      </c>
      <c r="K12" s="22">
        <f>IF(B12="","",SUMIFS('Input_APM (Zenith)'!N:N,'Input_APM (Zenith)'!L:L,Check!B12,'Input_APM (Zenith)'!M:M,Check!$F$1))</f>
        <v>616</v>
      </c>
      <c r="L12" s="22">
        <f>IF(B12="","",SUMIFS('Input_APM (Zenith)'!N:N,'Input_APM (Zenith)'!L:L,Check!B12,'Input_APM (Zenith)'!M:M,Check!$G$1))</f>
        <v>0</v>
      </c>
      <c r="M12" s="240">
        <f t="shared" si="4"/>
        <v>10000</v>
      </c>
      <c r="O12" t="s">
        <v>137</v>
      </c>
      <c r="P12" s="217">
        <f>IF(O12="","",IF(OR(LEFT(O12,4)="Cash",LEFT(O12,4)="Prov"),0,SUMIFS(Input_APM!N:N,Input_APM!L:L,Check!O12)))</f>
        <v>0</v>
      </c>
      <c r="Q12" s="22">
        <f>IF(O12="","",IF(LEN(O12)&gt;9,SUMIFS(Options!$H$3:$H$26,Options!$B$3:$B$26,Check!O12),SUMIFS('Master P&amp;L'!$H$11:$H$93,'Master P&amp;L'!$B$11:$B$93,Check!O12)))</f>
        <v>0</v>
      </c>
      <c r="R12" s="217">
        <f t="shared" si="1"/>
        <v>0</v>
      </c>
      <c r="S12" s="361" t="str">
        <f t="shared" si="2"/>
        <v>Ok</v>
      </c>
      <c r="V12" s="13"/>
    </row>
    <row r="13" spans="2:22">
      <c r="B13" t="s">
        <v>399</v>
      </c>
      <c r="C13" s="233">
        <f>IF(B13="","",IF(LEN(B13)&gt;9,SUMIFS(Options!$H$3:$H$26,Options!$B$3:$B$26,Check!B13),SUMIFS('Master P&amp;L'!$H$11:$H$93,'Master P&amp;L'!$B$11:$B$93,Check!B13)))</f>
        <v>18135</v>
      </c>
      <c r="D13" s="233">
        <f>IF(B13="","",SUMIFS(Input_APM!N:N,Input_APM!L:L,Check!B13,Input_APM!M:M,Check!$F$1))</f>
        <v>20751</v>
      </c>
      <c r="E13" s="219">
        <f t="shared" si="5"/>
        <v>-4000</v>
      </c>
      <c r="F13" s="233">
        <f>IF(B13="","",SUMIFS(Input_APM!N:N,Input_APM!M:M,Check!$F$1,Input_APM!L:L,Check!B13))</f>
        <v>20751</v>
      </c>
      <c r="G13" s="233">
        <f>IF(B13="","",SUMIFS(Input_APM!N:N,Input_APM!M:M,Check!$G$1,Input_APM!L:L,Check!B13))</f>
        <v>0</v>
      </c>
      <c r="H13" s="217">
        <f t="shared" si="0"/>
        <v>20751</v>
      </c>
      <c r="I13" s="217">
        <f>SUMIFS(Input_APM!N:N,Input_APM!L:L,Check!B13)</f>
        <v>20751</v>
      </c>
      <c r="J13" s="219">
        <f t="shared" si="3"/>
        <v>0</v>
      </c>
      <c r="K13" s="22">
        <f>IF(B13="","",SUMIFS('Input_APM (Zenith)'!N:N,'Input_APM (Zenith)'!L:L,Check!B13,'Input_APM (Zenith)'!M:M,Check!$F$1))</f>
        <v>1384</v>
      </c>
      <c r="L13" s="22">
        <f>IF(B13="","",SUMIFS('Input_APM (Zenith)'!N:N,'Input_APM (Zenith)'!L:L,Check!B13,'Input_APM (Zenith)'!M:M,Check!$G$1))</f>
        <v>0</v>
      </c>
      <c r="M13" s="240">
        <f t="shared" si="4"/>
        <v>22135</v>
      </c>
      <c r="O13" t="s">
        <v>2105</v>
      </c>
      <c r="P13" s="217">
        <f>IF(O13="","",IF(OR(LEFT(O13,4)="Cash",LEFT(O13,4)="Prov"),0,SUMIFS(Input_APM!N:N,Input_APM!L:L,Check!O13)))</f>
        <v>114</v>
      </c>
      <c r="Q13" s="22">
        <f>IF(O13="","",IF(LEN(O13)&gt;9,SUMIFS(Options!$H$3:$H$26,Options!$B$3:$B$26,Check!O13),SUMIFS('Master P&amp;L'!$H$11:$H$93,'Master P&amp;L'!$B$11:$B$93,Check!O13)))</f>
        <v>120</v>
      </c>
      <c r="R13" s="217">
        <f t="shared" si="1"/>
        <v>-6</v>
      </c>
      <c r="S13" s="361">
        <f t="shared" si="2"/>
        <v>0.95</v>
      </c>
      <c r="V13" s="13"/>
    </row>
    <row r="14" spans="2:22">
      <c r="B14" t="s">
        <v>81</v>
      </c>
      <c r="C14" s="233">
        <f>IF(B14="","",IF(LEN(B14)&gt;9,SUMIFS(Options!$H$3:$H$26,Options!$B$3:$B$26,Check!B14),SUMIFS('Master P&amp;L'!$H$11:$H$93,'Master P&amp;L'!$B$11:$B$93,Check!B14)))</f>
        <v>-700</v>
      </c>
      <c r="D14" s="233">
        <f>IF(B14="","",SUMIFS(Input_APM!N:N,Input_APM!L:L,Check!B14,Input_APM!M:M,Check!$F$1))</f>
        <v>0</v>
      </c>
      <c r="E14" s="217">
        <f t="shared" si="5"/>
        <v>-700</v>
      </c>
      <c r="F14" s="233">
        <f>IF(B14="","",SUMIFS(Input_APM!N:N,Input_APM!M:M,Check!$F$1,Input_APM!L:L,Check!B14))</f>
        <v>0</v>
      </c>
      <c r="G14" s="233">
        <f>IF(B14="","",SUMIFS(Input_APM!N:N,Input_APM!M:M,Check!$G$1,Input_APM!L:L,Check!B14))</f>
        <v>0</v>
      </c>
      <c r="H14" s="217">
        <f t="shared" si="0"/>
        <v>0</v>
      </c>
      <c r="I14" s="217">
        <f>SUMIFS(Input_APM!N:N,Input_APM!L:L,Check!B14)</f>
        <v>0</v>
      </c>
      <c r="J14" s="219">
        <f t="shared" si="3"/>
        <v>0</v>
      </c>
      <c r="K14" s="22">
        <f>IF(B14="","",SUMIFS('Input_APM (Zenith)'!N:N,'Input_APM (Zenith)'!L:L,Check!B14,'Input_APM (Zenith)'!M:M,Check!$F$1))</f>
        <v>0</v>
      </c>
      <c r="L14" s="22">
        <f>IF(B14="","",SUMIFS('Input_APM (Zenith)'!N:N,'Input_APM (Zenith)'!L:L,Check!B14,'Input_APM (Zenith)'!M:M,Check!$G$1))</f>
        <v>0</v>
      </c>
      <c r="M14" s="240">
        <f t="shared" si="4"/>
        <v>0</v>
      </c>
      <c r="O14" t="s">
        <v>461</v>
      </c>
      <c r="P14" s="217">
        <f>IF(O14="","",IF(OR(LEFT(O14,4)="Cash",LEFT(O14,4)="Prov"),0,SUMIFS(Input_APM!N:N,Input_APM!L:L,Check!O14)))</f>
        <v>3163</v>
      </c>
      <c r="Q14" s="22">
        <f>IF(O14="","",IF(LEN(O14)&gt;9,SUMIFS(Options!$H$3:$H$26,Options!$B$3:$B$26,Check!O14),SUMIFS('Master P&amp;L'!$H$11:$H$93,'Master P&amp;L'!$B$11:$B$93,Check!O14)))</f>
        <v>3378</v>
      </c>
      <c r="R14" s="217">
        <f t="shared" si="1"/>
        <v>-215</v>
      </c>
      <c r="S14" s="361">
        <f t="shared" si="2"/>
        <v>0.9363528715216104</v>
      </c>
      <c r="V14" s="13"/>
    </row>
    <row r="15" spans="2:22">
      <c r="B15" t="s">
        <v>90</v>
      </c>
      <c r="C15" s="233">
        <f>IF(B15="","",IF(LEN(B15)&gt;9,SUMIFS(Options!$H$3:$H$26,Options!$B$3:$B$26,Check!B15),SUMIFS('Master P&amp;L'!$H$11:$H$93,'Master P&amp;L'!$B$11:$B$93,Check!B15)))</f>
        <v>1200</v>
      </c>
      <c r="D15" s="233">
        <f>IF(B15="","",SUMIFS(Input_APM!N:N,Input_APM!L:L,Check!B15,Input_APM!M:M,Check!$F$1))</f>
        <v>2285</v>
      </c>
      <c r="E15" s="219">
        <f t="shared" si="5"/>
        <v>-1250</v>
      </c>
      <c r="F15" s="233">
        <f>IF(B15="","",SUMIFS(Input_APM!N:N,Input_APM!M:M,Check!$F$1,Input_APM!L:L,Check!B15))</f>
        <v>2285</v>
      </c>
      <c r="G15" s="233">
        <f>IF(B15="","",SUMIFS(Input_APM!N:N,Input_APM!M:M,Check!$G$1,Input_APM!L:L,Check!B15))</f>
        <v>0</v>
      </c>
      <c r="H15" s="217">
        <f t="shared" si="0"/>
        <v>2285</v>
      </c>
      <c r="I15" s="217">
        <f>SUMIFS(Input_APM!N:N,Input_APM!L:L,Check!B15)</f>
        <v>2285</v>
      </c>
      <c r="J15" s="219">
        <f t="shared" si="3"/>
        <v>0</v>
      </c>
      <c r="K15" s="22">
        <f>IF(B15="","",SUMIFS('Input_APM (Zenith)'!N:N,'Input_APM (Zenith)'!L:L,Check!B15,'Input_APM (Zenith)'!M:M,Check!$F$1))</f>
        <v>165</v>
      </c>
      <c r="L15" s="22">
        <f>IF(B15="","",SUMIFS('Input_APM (Zenith)'!N:N,'Input_APM (Zenith)'!L:L,Check!B15,'Input_APM (Zenith)'!M:M,Check!$G$1))</f>
        <v>0</v>
      </c>
      <c r="M15" s="240">
        <f t="shared" si="4"/>
        <v>2450</v>
      </c>
      <c r="O15" t="s">
        <v>2141</v>
      </c>
      <c r="P15" s="217">
        <f>IF(O15="","",IF(OR(LEFT(O15,4)="Cash",LEFT(O15,4)="Prov"),0,SUMIFS(Input_APM!N:N,Input_APM!L:L,Check!O15)))</f>
        <v>3285</v>
      </c>
      <c r="Q15" s="22">
        <f>IF(O15="","",IF(LEN(O15)&gt;9,SUMIFS(Options!$H$3:$H$26,Options!$B$3:$B$26,Check!O15),SUMIFS('Master P&amp;L'!$H$11:$H$93,'Master P&amp;L'!$B$11:$B$93,Check!O15)))</f>
        <v>3510</v>
      </c>
      <c r="R15" s="217">
        <f t="shared" si="1"/>
        <v>-225</v>
      </c>
      <c r="S15" s="361">
        <f t="shared" si="2"/>
        <v>0.9358974358974359</v>
      </c>
      <c r="V15" s="13"/>
    </row>
    <row r="16" spans="2:22">
      <c r="B16" t="s">
        <v>2285</v>
      </c>
      <c r="C16" s="233">
        <f>IF(B16="","",IF(LEN(B16)&gt;9,SUMIFS(Options!$H$3:$H$26,Options!$B$3:$B$26,Check!B16),SUMIFS('Master P&amp;L'!$H$11:$H$93,'Master P&amp;L'!$B$11:$B$93,Check!B16)))</f>
        <v>2400</v>
      </c>
      <c r="D16" s="233">
        <f>IF(B16="","",SUMIFS(Input_APM!N:N,Input_APM!L:L,Check!B16,Input_APM!M:M,Check!$F$1))</f>
        <v>0</v>
      </c>
      <c r="E16" s="217">
        <f t="shared" si="5"/>
        <v>2400</v>
      </c>
      <c r="F16" s="233">
        <f>IF(B16="","",SUMIFS(Input_APM!N:N,Input_APM!M:M,Check!$F$1,Input_APM!L:L,Check!B16))</f>
        <v>0</v>
      </c>
      <c r="G16" s="233">
        <f>IF(B16="","",SUMIFS(Input_APM!N:N,Input_APM!M:M,Check!$G$1,Input_APM!L:L,Check!B16))</f>
        <v>0</v>
      </c>
      <c r="H16" s="217">
        <f t="shared" si="0"/>
        <v>0</v>
      </c>
      <c r="I16" s="217">
        <f>SUMIFS(Input_APM!N:N,Input_APM!L:L,Check!B16)</f>
        <v>0</v>
      </c>
      <c r="J16" s="219">
        <f t="shared" si="3"/>
        <v>0</v>
      </c>
      <c r="K16" s="22">
        <f>IF(B16="","",SUMIFS('Input_APM (Zenith)'!N:N,'Input_APM (Zenith)'!L:L,Check!B16,'Input_APM (Zenith)'!M:M,Check!$F$1))</f>
        <v>0</v>
      </c>
      <c r="L16" s="22">
        <f>IF(B16="","",SUMIFS('Input_APM (Zenith)'!N:N,'Input_APM (Zenith)'!L:L,Check!B16,'Input_APM (Zenith)'!M:M,Check!$G$1))</f>
        <v>0</v>
      </c>
      <c r="M16" s="240">
        <f t="shared" si="4"/>
        <v>0</v>
      </c>
      <c r="O16" t="s">
        <v>295</v>
      </c>
      <c r="P16" s="217">
        <f>IF(O16="","",IF(OR(LEFT(O16,4)="Cash",LEFT(O16,4)="Prov"),0,SUMIFS(Input_APM!N:N,Input_APM!L:L,Check!O16)))</f>
        <v>0</v>
      </c>
      <c r="Q16" s="22">
        <f>IF(O16="","",IF(LEN(O16)&gt;9,SUMIFS(Options!$H$3:$H$26,Options!$B$3:$B$26,Check!O16),SUMIFS('Master P&amp;L'!$H$11:$H$93,'Master P&amp;L'!$B$11:$B$93,Check!O16)))</f>
        <v>0</v>
      </c>
      <c r="R16" s="217">
        <f t="shared" si="1"/>
        <v>0</v>
      </c>
      <c r="S16" s="361" t="str">
        <f t="shared" si="2"/>
        <v>Ok</v>
      </c>
      <c r="V16" s="13"/>
    </row>
    <row r="17" spans="2:22">
      <c r="B17" t="s">
        <v>1754</v>
      </c>
      <c r="C17" s="233">
        <f>IF(B17="","",IF(LEN(B17)&gt;9,SUMIFS(Options!$H$3:$H$26,Options!$B$3:$B$26,Check!B17),SUMIFS('Master P&amp;L'!$H$11:$H$93,'Master P&amp;L'!$B$11:$B$93,Check!B17)))</f>
        <v>39500</v>
      </c>
      <c r="D17" s="233">
        <f>IF(B17="","",SUMIFS(Input_APM!N:N,Input_APM!L:L,Check!B17,Input_APM!M:M,Check!$F$1))</f>
        <v>39308</v>
      </c>
      <c r="E17" s="219">
        <f t="shared" si="5"/>
        <v>-2500</v>
      </c>
      <c r="F17" s="233">
        <f>IF(B17="","",SUMIFS(Input_APM!N:N,Input_APM!M:M,Check!$F$1,Input_APM!L:L,Check!B17))</f>
        <v>39308</v>
      </c>
      <c r="G17" s="233">
        <f>IF(B17="","",SUMIFS(Input_APM!N:N,Input_APM!M:M,Check!$G$1,Input_APM!L:L,Check!B17))</f>
        <v>0</v>
      </c>
      <c r="H17" s="217">
        <f t="shared" si="0"/>
        <v>39308</v>
      </c>
      <c r="I17" s="217">
        <f>SUMIFS(Input_APM!N:N,Input_APM!L:L,Check!B17)</f>
        <v>39308</v>
      </c>
      <c r="J17" s="219">
        <f t="shared" si="3"/>
        <v>0</v>
      </c>
      <c r="K17" s="22">
        <f>IF(B17="","",SUMIFS('Input_APM (Zenith)'!N:N,'Input_APM (Zenith)'!L:L,Check!B17,'Input_APM (Zenith)'!M:M,Check!$F$1))</f>
        <v>2692</v>
      </c>
      <c r="L17" s="22">
        <f>IF(B17="","",SUMIFS('Input_APM (Zenith)'!N:N,'Input_APM (Zenith)'!L:L,Check!B17,'Input_APM (Zenith)'!M:M,Check!$G$1))</f>
        <v>0</v>
      </c>
      <c r="M17" s="240">
        <f t="shared" si="4"/>
        <v>42000</v>
      </c>
      <c r="O17" t="s">
        <v>296</v>
      </c>
      <c r="P17" s="217">
        <f>IF(O17="","",IF(OR(LEFT(O17,4)="Cash",LEFT(O17,4)="Prov"),0,SUMIFS(Input_APM!N:N,Input_APM!L:L,Check!O17)))</f>
        <v>0</v>
      </c>
      <c r="Q17" s="22">
        <f>IF(O17="","",IF(LEN(O17)&gt;9,SUMIFS(Options!$H$3:$H$26,Options!$B$3:$B$26,Check!O17),SUMIFS('Master P&amp;L'!$H$11:$H$93,'Master P&amp;L'!$B$11:$B$93,Check!O17)))</f>
        <v>0</v>
      </c>
      <c r="R17" s="217">
        <f t="shared" si="1"/>
        <v>0</v>
      </c>
      <c r="S17" s="361" t="str">
        <f t="shared" si="2"/>
        <v>Ok</v>
      </c>
      <c r="V17" s="13"/>
    </row>
    <row r="18" spans="2:22">
      <c r="B18" t="s">
        <v>2063</v>
      </c>
      <c r="C18" s="233">
        <f>IF(B18="","",IF(LEN(B18)&gt;9,SUMIFS(Options!$H$3:$H$26,Options!$B$3:$B$26,Check!B18),SUMIFS('Master P&amp;L'!$H$11:$H$93,'Master P&amp;L'!$B$11:$B$93,Check!B18)))</f>
        <v>900</v>
      </c>
      <c r="D18" s="233">
        <f>IF(B18="","",SUMIFS(Input_APM!N:N,Input_APM!L:L,Check!B18,Input_APM!M:M,Check!$F$1))</f>
        <v>1780</v>
      </c>
      <c r="E18" s="219">
        <f t="shared" si="5"/>
        <v>-1000</v>
      </c>
      <c r="F18" s="233">
        <f>IF(B18="","",SUMIFS(Input_APM!N:N,Input_APM!M:M,Check!$F$1,Input_APM!L:L,Check!B18))</f>
        <v>1780</v>
      </c>
      <c r="G18" s="233">
        <f>IF(B18="","",SUMIFS(Input_APM!N:N,Input_APM!M:M,Check!$G$1,Input_APM!L:L,Check!B18))</f>
        <v>0</v>
      </c>
      <c r="H18" s="217">
        <f t="shared" si="0"/>
        <v>1780</v>
      </c>
      <c r="I18" s="217">
        <f>SUMIFS(Input_APM!N:N,Input_APM!L:L,Check!B18)</f>
        <v>1780</v>
      </c>
      <c r="J18" s="219">
        <f t="shared" si="3"/>
        <v>0</v>
      </c>
      <c r="K18" s="22">
        <f>IF(B18="","",SUMIFS('Input_APM (Zenith)'!N:N,'Input_APM (Zenith)'!L:L,Check!B18,'Input_APM (Zenith)'!M:M,Check!$F$1))</f>
        <v>120</v>
      </c>
      <c r="L18" s="22">
        <f>IF(B18="","",SUMIFS('Input_APM (Zenith)'!N:N,'Input_APM (Zenith)'!L:L,Check!B18,'Input_APM (Zenith)'!M:M,Check!$G$1))</f>
        <v>0</v>
      </c>
      <c r="M18" s="240">
        <f t="shared" si="4"/>
        <v>1900</v>
      </c>
      <c r="O18" t="s">
        <v>297</v>
      </c>
      <c r="P18" s="217">
        <f>IF(O18="","",IF(OR(LEFT(O18,4)="Cash",LEFT(O18,4)="Prov"),0,SUMIFS(Input_APM!N:N,Input_APM!L:L,Check!O18)))</f>
        <v>0</v>
      </c>
      <c r="Q18" s="22">
        <f>IF(O18="","",IF(LEN(O18)&gt;9,SUMIFS(Options!$H$3:$H$26,Options!$B$3:$B$26,Check!O18),SUMIFS('Master P&amp;L'!$H$11:$H$93,'Master P&amp;L'!$B$11:$B$93,Check!O18)))</f>
        <v>0</v>
      </c>
      <c r="R18" s="217">
        <f t="shared" si="1"/>
        <v>0</v>
      </c>
      <c r="S18" s="361" t="str">
        <f t="shared" si="2"/>
        <v>Ok</v>
      </c>
      <c r="V18" s="13"/>
    </row>
    <row r="19" spans="2:22">
      <c r="B19" t="s">
        <v>2373</v>
      </c>
      <c r="C19" s="233">
        <f>IF(B19="","",IF(LEN(B19)&gt;9,SUMIFS(Options!$H$3:$H$26,Options!$B$3:$B$26,Check!B19),SUMIFS('Master P&amp;L'!$H$11:$H$93,'Master P&amp;L'!$B$11:$B$93,Check!B19)))</f>
        <v>30410</v>
      </c>
      <c r="D19" s="233">
        <f>IF(B19="","",SUMIFS(Input_APM!N:N,Input_APM!L:L,Check!B19,Input_APM!M:M,Check!$F$1))</f>
        <v>16959</v>
      </c>
      <c r="E19" s="219">
        <f t="shared" si="5"/>
        <v>12337</v>
      </c>
      <c r="F19" s="233">
        <f>IF(B19="","",SUMIFS(Input_APM!N:N,Input_APM!M:M,Check!$F$1,Input_APM!L:L,Check!B19))</f>
        <v>16959</v>
      </c>
      <c r="G19" s="233">
        <f>IF(B19="","",SUMIFS(Input_APM!N:N,Input_APM!M:M,Check!$G$1,Input_APM!L:L,Check!B19))</f>
        <v>0</v>
      </c>
      <c r="H19" s="217">
        <f t="shared" si="0"/>
        <v>16959</v>
      </c>
      <c r="I19" s="217">
        <f>SUMIFS(Input_APM!N:N,Input_APM!L:L,Check!B19)</f>
        <v>16959</v>
      </c>
      <c r="J19" s="219">
        <f t="shared" si="3"/>
        <v>0</v>
      </c>
      <c r="K19" s="22">
        <f>IF(B19="","",SUMIFS('Input_APM (Zenith)'!N:N,'Input_APM (Zenith)'!L:L,Check!B19,'Input_APM (Zenith)'!M:M,Check!$F$1))</f>
        <v>1114</v>
      </c>
      <c r="L19" s="22">
        <f>IF(B19="","",SUMIFS('Input_APM (Zenith)'!N:N,'Input_APM (Zenith)'!L:L,Check!B19,'Input_APM (Zenith)'!M:M,Check!$G$1))</f>
        <v>0</v>
      </c>
      <c r="M19" s="240">
        <f t="shared" si="4"/>
        <v>18073</v>
      </c>
      <c r="O19" t="s">
        <v>2126</v>
      </c>
      <c r="P19" s="217">
        <f>IF(O19="","",IF(OR(LEFT(O19,4)="Cash",LEFT(O19,4)="Prov"),0,SUMIFS(Input_APM!N:N,Input_APM!L:L,Check!O19)))</f>
        <v>0</v>
      </c>
      <c r="Q19" s="22">
        <f>IF(O19="","",IF(LEN(O19)&gt;9,SUMIFS(Options!$H$3:$H$26,Options!$B$3:$B$26,Check!O19),SUMIFS('Master P&amp;L'!$H$11:$H$93,'Master P&amp;L'!$B$11:$B$93,Check!O19)))</f>
        <v>0</v>
      </c>
      <c r="R19" s="217">
        <f t="shared" si="1"/>
        <v>0</v>
      </c>
      <c r="S19" s="361" t="str">
        <f t="shared" si="2"/>
        <v>Ok</v>
      </c>
      <c r="V19" s="13"/>
    </row>
    <row r="20" spans="2:22">
      <c r="B20" t="s">
        <v>137</v>
      </c>
      <c r="C20" s="233">
        <f>IF(B20="","",IF(LEN(B20)&gt;9,SUMIFS(Options!$H$3:$H$26,Options!$B$3:$B$26,Check!B20),SUMIFS('Master P&amp;L'!$H$11:$H$93,'Master P&amp;L'!$B$11:$B$93,Check!B20)))</f>
        <v>0</v>
      </c>
      <c r="D20" s="233">
        <f>IF(B20="","",SUMIFS(Input_APM!N:N,Input_APM!L:L,Check!B20,Input_APM!M:M,Check!$F$1))</f>
        <v>0</v>
      </c>
      <c r="E20" s="219">
        <f>IF(B20="","",C20-M20)</f>
        <v>0</v>
      </c>
      <c r="F20" s="233">
        <f>IF(B20="","",SUMIFS(Input_APM!N:N,Input_APM!M:M,Check!$F$1,Input_APM!L:L,Check!B20))</f>
        <v>0</v>
      </c>
      <c r="G20" s="233">
        <f>IF(B20="","",SUMIFS(Input_APM!N:N,Input_APM!M:M,Check!$G$1,Input_APM!L:L,Check!B20))</f>
        <v>0</v>
      </c>
      <c r="H20" s="217">
        <f t="shared" si="0"/>
        <v>0</v>
      </c>
      <c r="I20" s="217">
        <f>SUMIFS(Input_APM!N:N,Input_APM!L:L,Check!B20)</f>
        <v>0</v>
      </c>
      <c r="J20" s="219">
        <f t="shared" si="3"/>
        <v>0</v>
      </c>
      <c r="K20" s="22">
        <f>IF(B20="","",SUMIFS('Input_APM (Zenith)'!N:N,'Input_APM (Zenith)'!L:L,Check!B20,'Input_APM (Zenith)'!M:M,Check!$F$1))</f>
        <v>0</v>
      </c>
      <c r="L20" s="22">
        <f>IF(B20="","",SUMIFS('Input_APM (Zenith)'!N:N,'Input_APM (Zenith)'!L:L,Check!B20,'Input_APM (Zenith)'!M:M,Check!$G$1))</f>
        <v>0</v>
      </c>
      <c r="M20" s="240">
        <f t="shared" si="4"/>
        <v>0</v>
      </c>
      <c r="O20" t="s">
        <v>298</v>
      </c>
      <c r="P20" s="217">
        <f>IF(O20="","",IF(OR(LEFT(O20,4)="Cash",LEFT(O20,4)="Prov"),0,SUMIFS(Input_APM!N:N,Input_APM!L:L,Check!O20)))</f>
        <v>0</v>
      </c>
      <c r="Q20" s="22">
        <f>IF(O20="","",IF(LEN(O20)&gt;9,SUMIFS(Options!$H$3:$H$26,Options!$B$3:$B$26,Check!O20),SUMIFS('Master P&amp;L'!$H$11:$H$93,'Master P&amp;L'!$B$11:$B$93,Check!O20)))</f>
        <v>0</v>
      </c>
      <c r="R20" s="217">
        <f t="shared" si="1"/>
        <v>0</v>
      </c>
      <c r="S20" s="361" t="str">
        <f t="shared" si="2"/>
        <v>Ok</v>
      </c>
      <c r="V20" s="13"/>
    </row>
    <row r="21" spans="2:22">
      <c r="B21" t="s">
        <v>96</v>
      </c>
      <c r="C21" s="233">
        <f>IF(B21="","",IF(LEN(B21)&gt;9,SUMIFS(Options!$H$3:$H$26,Options!$B$3:$B$26,Check!B21),SUMIFS('Master P&amp;L'!$H$11:$H$93,'Master P&amp;L'!$B$11:$B$93,Check!B21)))</f>
        <v>2335</v>
      </c>
      <c r="D21" s="233">
        <f>IF(B21="","",SUMIFS(Input_APM!N:N,Input_APM!L:L,Check!B21,Input_APM!M:M,Check!$F$1))</f>
        <v>3806</v>
      </c>
      <c r="E21" s="217">
        <f t="shared" si="5"/>
        <v>-1765</v>
      </c>
      <c r="F21" s="233">
        <f>IF(B21="","",SUMIFS(Input_APM!N:N,Input_APM!M:M,Check!$F$1,Input_APM!L:L,Check!B21))</f>
        <v>3806</v>
      </c>
      <c r="G21" s="233">
        <f>IF(B21="","",SUMIFS(Input_APM!N:N,Input_APM!M:M,Check!$G$1,Input_APM!L:L,Check!B21))</f>
        <v>0</v>
      </c>
      <c r="H21" s="217">
        <f t="shared" si="0"/>
        <v>3806</v>
      </c>
      <c r="I21" s="217">
        <f>SUMIFS(Input_APM!N:N,Input_APM!L:L,Check!B21)</f>
        <v>3806</v>
      </c>
      <c r="J21" s="219">
        <f t="shared" si="3"/>
        <v>0</v>
      </c>
      <c r="K21" s="22">
        <f>IF(B21="","",SUMIFS('Input_APM (Zenith)'!N:N,'Input_APM (Zenith)'!L:L,Check!B21,'Input_APM (Zenith)'!M:M,Check!$F$1))</f>
        <v>294</v>
      </c>
      <c r="L21" s="22">
        <f>IF(B21="","",SUMIFS('Input_APM (Zenith)'!N:N,'Input_APM (Zenith)'!L:L,Check!B21,'Input_APM (Zenith)'!M:M,Check!$G$1))</f>
        <v>0</v>
      </c>
      <c r="M21" s="240">
        <f t="shared" si="4"/>
        <v>4100</v>
      </c>
      <c r="O21" t="s">
        <v>299</v>
      </c>
      <c r="P21" s="217">
        <f>IF(O21="","",IF(OR(LEFT(O21,4)="Cash",LEFT(O21,4)="Prov"),0,SUMIFS(Input_APM!N:N,Input_APM!L:L,Check!O21)))</f>
        <v>0</v>
      </c>
      <c r="Q21" s="22">
        <f>IF(O21="","",IF(LEN(O21)&gt;9,SUMIFS(Options!$H$3:$H$26,Options!$B$3:$B$26,Check!O21),SUMIFS('Master P&amp;L'!$H$11:$H$93,'Master P&amp;L'!$B$11:$B$93,Check!O21)))</f>
        <v>0</v>
      </c>
      <c r="R21" s="217">
        <f t="shared" si="1"/>
        <v>0</v>
      </c>
      <c r="S21" s="361" t="str">
        <f t="shared" si="2"/>
        <v>Ok</v>
      </c>
      <c r="V21" s="13"/>
    </row>
    <row r="22" spans="2:22">
      <c r="B22" t="s">
        <v>708</v>
      </c>
      <c r="C22" s="233">
        <f>IF(B22="","",IF(LEN(B22)&gt;9,SUMIFS(Options!$H$3:$H$26,Options!$B$3:$B$26,Check!B22),SUMIFS('Master P&amp;L'!$H$11:$H$93,'Master P&amp;L'!$B$11:$B$93,Check!B22)))</f>
        <v>0</v>
      </c>
      <c r="D22" s="233">
        <f>IF(B22="","",SUMIFS(Input_APM!N:N,Input_APM!L:L,Check!B22,Input_APM!M:M,Check!$F$1))</f>
        <v>0</v>
      </c>
      <c r="E22" s="217">
        <f t="shared" si="5"/>
        <v>0</v>
      </c>
      <c r="F22" s="233">
        <f>IF(B22="","",SUMIFS(Input_APM!N:N,Input_APM!M:M,Check!$F$1,Input_APM!L:L,Check!B22))</f>
        <v>0</v>
      </c>
      <c r="G22" s="233">
        <f>IF(B22="","",SUMIFS(Input_APM!N:N,Input_APM!M:M,Check!$G$1,Input_APM!L:L,Check!B22))</f>
        <v>0</v>
      </c>
      <c r="H22" s="217">
        <f t="shared" si="0"/>
        <v>0</v>
      </c>
      <c r="I22" s="217">
        <f>SUMIFS(Input_APM!N:N,Input_APM!L:L,Check!B22)</f>
        <v>0</v>
      </c>
      <c r="J22" s="219">
        <f t="shared" si="3"/>
        <v>0</v>
      </c>
      <c r="K22" s="22">
        <f>IF(B22="","",SUMIFS('Input_APM (Zenith)'!N:N,'Input_APM (Zenith)'!L:L,Check!B22,'Input_APM (Zenith)'!M:M,Check!$F$1))</f>
        <v>0</v>
      </c>
      <c r="L22" s="22">
        <f>IF(B22="","",SUMIFS('Input_APM (Zenith)'!N:N,'Input_APM (Zenith)'!L:L,Check!B22,'Input_APM (Zenith)'!M:M,Check!$G$1))</f>
        <v>0</v>
      </c>
      <c r="M22" s="240">
        <f t="shared" si="4"/>
        <v>0</v>
      </c>
      <c r="O22" t="s">
        <v>300</v>
      </c>
      <c r="P22" s="217">
        <f>IF(O22="","",IF(OR(LEFT(O22,4)="Cash",LEFT(O22,4)="Prov"),0,SUMIFS(Input_APM!N:N,Input_APM!L:L,Check!O22)))</f>
        <v>0</v>
      </c>
      <c r="Q22" s="22">
        <f>IF(O22="","",IF(LEN(O22)&gt;9,SUMIFS(Options!$H$3:$H$26,Options!$B$3:$B$26,Check!O22),SUMIFS('Master P&amp;L'!$H$11:$H$93,'Master P&amp;L'!$B$11:$B$93,Check!O22)))</f>
        <v>0</v>
      </c>
      <c r="R22" s="217">
        <f t="shared" si="1"/>
        <v>0</v>
      </c>
      <c r="S22" s="361" t="str">
        <f t="shared" si="2"/>
        <v>Ok</v>
      </c>
      <c r="V22" s="13"/>
    </row>
    <row r="23" spans="2:22">
      <c r="B23" t="s">
        <v>448</v>
      </c>
      <c r="C23" s="233">
        <f>IF(B23="","",IF(LEN(B23)&gt;9,SUMIFS(Options!$H$3:$H$26,Options!$B$3:$B$26,Check!B23),SUMIFS('Master P&amp;L'!$H$11:$H$93,'Master P&amp;L'!$B$11:$B$93,Check!B23)))</f>
        <v>4500</v>
      </c>
      <c r="D23" s="233">
        <f>IF(B23="","",SUMIFS(Input_APM!N:N,Input_APM!L:L,Check!B23,Input_APM!M:M,Check!$F$1))</f>
        <v>4223</v>
      </c>
      <c r="E23" s="217">
        <f t="shared" si="5"/>
        <v>0</v>
      </c>
      <c r="F23" s="233">
        <f>IF(B23="","",SUMIFS(Input_APM!N:N,Input_APM!M:M,Check!$F$1,Input_APM!L:L,Check!B23))</f>
        <v>4223</v>
      </c>
      <c r="G23" s="233">
        <f>IF(B23="","",SUMIFS(Input_APM!N:N,Input_APM!M:M,Check!$G$1,Input_APM!L:L,Check!B23))</f>
        <v>0</v>
      </c>
      <c r="H23" s="217">
        <f t="shared" si="0"/>
        <v>4223</v>
      </c>
      <c r="I23" s="217">
        <f>SUMIFS(Input_APM!N:N,Input_APM!L:L,Check!B23)</f>
        <v>4223</v>
      </c>
      <c r="J23" s="219">
        <f t="shared" si="3"/>
        <v>0</v>
      </c>
      <c r="K23" s="22">
        <f>IF(B23="","",SUMIFS('Input_APM (Zenith)'!N:N,'Input_APM (Zenith)'!L:L,Check!B23,'Input_APM (Zenith)'!M:M,Check!$F$1))</f>
        <v>277</v>
      </c>
      <c r="L23" s="22">
        <f>IF(B23="","",SUMIFS('Input_APM (Zenith)'!N:N,'Input_APM (Zenith)'!L:L,Check!B23,'Input_APM (Zenith)'!M:M,Check!$G$1))</f>
        <v>0</v>
      </c>
      <c r="M23" s="240">
        <f t="shared" si="4"/>
        <v>4500</v>
      </c>
      <c r="O23" t="s">
        <v>301</v>
      </c>
      <c r="P23" s="217">
        <f>IF(O23="","",IF(OR(LEFT(O23,4)="Cash",LEFT(O23,4)="Prov"),0,SUMIFS(Input_APM!N:N,Input_APM!L:L,Check!O23)))</f>
        <v>0</v>
      </c>
      <c r="Q23" s="22">
        <f>IF(O23="","",IF(LEN(O23)&gt;9,SUMIFS(Options!$H$3:$H$26,Options!$B$3:$B$26,Check!O23),SUMIFS('Master P&amp;L'!$H$11:$H$93,'Master P&amp;L'!$B$11:$B$93,Check!O23)))</f>
        <v>0</v>
      </c>
      <c r="R23" s="217">
        <f t="shared" si="1"/>
        <v>0</v>
      </c>
      <c r="S23" s="361" t="str">
        <f t="shared" si="2"/>
        <v>Ok</v>
      </c>
      <c r="V23" s="13"/>
    </row>
    <row r="24" spans="2:22">
      <c r="B24" t="s">
        <v>94</v>
      </c>
      <c r="C24" s="233">
        <f>IF(B24="","",IF(LEN(B24)&gt;9,SUMIFS(Options!$H$3:$H$26,Options!$B$3:$B$26,Check!B24),SUMIFS('Master P&amp;L'!$H$11:$H$93,'Master P&amp;L'!$B$11:$B$93,Check!B24)))</f>
        <v>23008</v>
      </c>
      <c r="D24" s="233">
        <f>IF(B24="","",SUMIFS(Input_APM!N:N,Input_APM!L:L,Check!B24,Input_APM!M:M,Check!$F$1))</f>
        <v>21522</v>
      </c>
      <c r="E24" s="217">
        <f t="shared" si="5"/>
        <v>0</v>
      </c>
      <c r="F24" s="233">
        <f>IF(B24="","",SUMIFS(Input_APM!N:N,Input_APM!M:M,Check!$F$1,Input_APM!L:L,Check!B24))</f>
        <v>21522</v>
      </c>
      <c r="G24" s="233">
        <f>IF(B24="","",SUMIFS(Input_APM!N:N,Input_APM!M:M,Check!$G$1,Input_APM!L:L,Check!B24))</f>
        <v>0</v>
      </c>
      <c r="H24" s="217">
        <f t="shared" si="0"/>
        <v>21522</v>
      </c>
      <c r="I24" s="217">
        <f>SUMIFS(Input_APM!N:N,Input_APM!L:L,Check!B24)</f>
        <v>21522</v>
      </c>
      <c r="J24" s="219">
        <f t="shared" si="3"/>
        <v>0</v>
      </c>
      <c r="K24" s="22">
        <f>IF(B24="","",SUMIFS('Input_APM (Zenith)'!N:N,'Input_APM (Zenith)'!L:L,Check!B24,'Input_APM (Zenith)'!M:M,Check!$F$1))</f>
        <v>1486</v>
      </c>
      <c r="L24" s="22">
        <f>IF(B24="","",SUMIFS('Input_APM (Zenith)'!N:N,'Input_APM (Zenith)'!L:L,Check!B24,'Input_APM (Zenith)'!M:M,Check!$G$1))</f>
        <v>0</v>
      </c>
      <c r="M24" s="240">
        <f t="shared" si="4"/>
        <v>23008</v>
      </c>
      <c r="O24" t="s">
        <v>302</v>
      </c>
      <c r="P24" s="217">
        <f>IF(O24="","",IF(OR(LEFT(O24,4)="Cash",LEFT(O24,4)="Prov"),0,SUMIFS(Input_APM!N:N,Input_APM!L:L,Check!O24)))</f>
        <v>0</v>
      </c>
      <c r="Q24" s="22">
        <f>IF(O24="","",IF(LEN(O24)&gt;9,SUMIFS(Options!$H$3:$H$26,Options!$B$3:$B$26,Check!O24),SUMIFS('Master P&amp;L'!$H$11:$H$93,'Master P&amp;L'!$B$11:$B$93,Check!O24)))</f>
        <v>0</v>
      </c>
      <c r="R24" s="217">
        <f t="shared" si="1"/>
        <v>0</v>
      </c>
      <c r="S24" s="361" t="str">
        <f t="shared" si="2"/>
        <v>Ok</v>
      </c>
      <c r="V24" s="13"/>
    </row>
    <row r="25" spans="2:22">
      <c r="B25" t="s">
        <v>138</v>
      </c>
      <c r="C25" s="233">
        <f>IF(B25="","",IF(LEN(B25)&gt;9,SUMIFS(Options!$H$3:$H$26,Options!$B$3:$B$26,Check!B25),SUMIFS('Master P&amp;L'!$H$11:$H$93,'Master P&amp;L'!$B$11:$B$93,Check!B25)))</f>
        <v>-49</v>
      </c>
      <c r="D25" s="233">
        <f>IF(B25="","",SUMIFS(Input_APM!N:N,Input_APM!L:L,Check!B25,Input_APM!M:M,Check!$F$1))</f>
        <v>-46</v>
      </c>
      <c r="E25" s="217">
        <f t="shared" si="5"/>
        <v>0</v>
      </c>
      <c r="F25" s="233">
        <f>IF(B25="","",SUMIFS(Input_APM!N:N,Input_APM!M:M,Check!$F$1,Input_APM!L:L,Check!B25))</f>
        <v>-46</v>
      </c>
      <c r="G25" s="233">
        <f>IF(B25="","",SUMIFS(Input_APM!N:N,Input_APM!M:M,Check!$G$1,Input_APM!L:L,Check!B25))</f>
        <v>0</v>
      </c>
      <c r="H25" s="217">
        <f t="shared" si="0"/>
        <v>-46</v>
      </c>
      <c r="I25" s="217">
        <f>SUMIFS(Input_APM!N:N,Input_APM!L:L,Check!B25)</f>
        <v>-46</v>
      </c>
      <c r="J25" s="219">
        <f t="shared" si="3"/>
        <v>0</v>
      </c>
      <c r="K25" s="22">
        <f>IF(B25="","",SUMIFS('Input_APM (Zenith)'!N:N,'Input_APM (Zenith)'!L:L,Check!B25,'Input_APM (Zenith)'!M:M,Check!$F$1))</f>
        <v>-3</v>
      </c>
      <c r="L25" s="22">
        <f>IF(B25="","",SUMIFS('Input_APM (Zenith)'!N:N,'Input_APM (Zenith)'!L:L,Check!B25,'Input_APM (Zenith)'!M:M,Check!$G$1))</f>
        <v>0</v>
      </c>
      <c r="M25" s="240">
        <f t="shared" si="4"/>
        <v>-49</v>
      </c>
      <c r="O25" t="s">
        <v>1906</v>
      </c>
      <c r="P25" s="217">
        <f>IF(O25="","",IF(OR(LEFT(O25,4)="Cash",LEFT(O25,4)="Prov"),0,SUMIFS(Input_APM!N:N,Input_APM!L:L,Check!O25)))</f>
        <v>4625000</v>
      </c>
      <c r="Q25" s="22">
        <f>IF(O25="","",IF(LEN(O25)&gt;9,SUMIFS(Options!$H$3:$H$26,Options!$B$3:$B$26,Check!O25),SUMIFS('Master P&amp;L'!$H$11:$H$93,'Master P&amp;L'!$B$11:$B$93,Check!O25)))</f>
        <v>0</v>
      </c>
      <c r="R25" s="217">
        <f t="shared" si="1"/>
        <v>4625000</v>
      </c>
      <c r="S25" s="361" t="str">
        <f t="shared" si="2"/>
        <v>Erro</v>
      </c>
      <c r="V25" s="13"/>
    </row>
    <row r="26" spans="2:22">
      <c r="B26" t="s">
        <v>2131</v>
      </c>
      <c r="C26" s="233">
        <f>IF(B26="","",IF(LEN(B26)&gt;9,SUMIFS(Options!$H$3:$H$26,Options!$B$3:$B$26,Check!B26),SUMIFS('Master P&amp;L'!$H$11:$H$93,'Master P&amp;L'!$B$11:$B$93,Check!B26)))</f>
        <v>31600</v>
      </c>
      <c r="D26" s="233">
        <f>IF(B26="","",SUMIFS(Input_APM!N:N,Input_APM!L:L,Check!B26,Input_APM!M:M,Check!$F$1))</f>
        <v>29572</v>
      </c>
      <c r="E26" s="219">
        <f>IF(B26="","",C26-M26)</f>
        <v>0</v>
      </c>
      <c r="F26" s="233">
        <f>IF(B26="","",SUMIFS(Input_APM!N:N,Input_APM!M:M,Check!$F$1,Input_APM!L:L,Check!B26))</f>
        <v>29572</v>
      </c>
      <c r="G26" s="233">
        <f>IF(B26="","",SUMIFS(Input_APM!N:N,Input_APM!M:M,Check!$G$1,Input_APM!L:L,Check!B26))</f>
        <v>0</v>
      </c>
      <c r="H26" s="217">
        <f t="shared" si="0"/>
        <v>29572</v>
      </c>
      <c r="I26" s="217">
        <f>SUMIFS(Input_APM!N:N,Input_APM!L:L,Check!B26)</f>
        <v>29572</v>
      </c>
      <c r="J26" s="219">
        <f t="shared" si="3"/>
        <v>0</v>
      </c>
      <c r="K26" s="22">
        <f>IF(B26="","",SUMIFS('Input_APM (Zenith)'!N:N,'Input_APM (Zenith)'!L:L,Check!B26,'Input_APM (Zenith)'!M:M,Check!$F$1))</f>
        <v>2028</v>
      </c>
      <c r="L26" s="22">
        <f>IF(B26="","",SUMIFS('Input_APM (Zenith)'!N:N,'Input_APM (Zenith)'!L:L,Check!B26,'Input_APM (Zenith)'!M:M,Check!$G$1))</f>
        <v>0</v>
      </c>
      <c r="M26" s="240">
        <f t="shared" si="4"/>
        <v>31600</v>
      </c>
      <c r="O26" t="s">
        <v>2373</v>
      </c>
      <c r="P26" s="217">
        <f>IF(O26="","",IF(OR(LEFT(O26,4)="Cash",LEFT(O26,4)="Prov"),0,SUMIFS(Input_APM!N:N,Input_APM!L:L,Check!O26)))</f>
        <v>16959</v>
      </c>
      <c r="Q26" s="22">
        <f>IF(O26="","",IF(LEN(O26)&gt;9,SUMIFS(Options!$H$3:$H$26,Options!$B$3:$B$26,Check!O26),SUMIFS('Master P&amp;L'!$H$11:$H$93,'Master P&amp;L'!$B$11:$B$93,Check!O26)))</f>
        <v>30410</v>
      </c>
      <c r="R26" s="217">
        <f t="shared" si="1"/>
        <v>-13451</v>
      </c>
      <c r="S26" s="361">
        <f t="shared" si="2"/>
        <v>0.55767839526471552</v>
      </c>
      <c r="V26" s="13"/>
    </row>
    <row r="27" spans="2:22">
      <c r="B27" t="s">
        <v>88</v>
      </c>
      <c r="C27" s="233">
        <f>IF(B27="","",IF(LEN(B27)&gt;9,SUMIFS(Options!$H$3:$H$26,Options!$B$3:$B$26,Check!B27),SUMIFS('Master P&amp;L'!$H$11:$H$93,'Master P&amp;L'!$B$11:$B$93,Check!B27)))</f>
        <v>45750</v>
      </c>
      <c r="D27" s="233">
        <f>IF(B27="","",SUMIFS(Input_APM!N:N,Input_APM!L:L,Check!B27,Input_APM!M:M,Check!$F$1))</f>
        <v>42865</v>
      </c>
      <c r="E27" s="219">
        <f t="shared" si="5"/>
        <v>0</v>
      </c>
      <c r="F27" s="233">
        <f>IF(B27="","",SUMIFS(Input_APM!N:N,Input_APM!M:M,Check!$F$1,Input_APM!L:L,Check!B27))</f>
        <v>42865</v>
      </c>
      <c r="G27" s="233">
        <f>IF(B27="","",SUMIFS(Input_APM!N:N,Input_APM!M:M,Check!$G$1,Input_APM!L:L,Check!B27))</f>
        <v>0</v>
      </c>
      <c r="H27" s="217">
        <f t="shared" si="0"/>
        <v>42865</v>
      </c>
      <c r="I27" s="217">
        <f>SUMIFS(Input_APM!N:N,Input_APM!L:L,Check!B27)</f>
        <v>42865</v>
      </c>
      <c r="J27" s="219">
        <f t="shared" si="3"/>
        <v>0</v>
      </c>
      <c r="K27" s="22">
        <f>IF(B27="","",SUMIFS('Input_APM (Zenith)'!N:N,'Input_APM (Zenith)'!L:L,Check!B27,'Input_APM (Zenith)'!M:M,Check!$F$1))</f>
        <v>2885</v>
      </c>
      <c r="L27" s="22">
        <f>IF(B27="","",SUMIFS('Input_APM (Zenith)'!N:N,'Input_APM (Zenith)'!L:L,Check!B27,'Input_APM (Zenith)'!M:M,Check!$G$1))</f>
        <v>0</v>
      </c>
      <c r="M27" s="240">
        <f t="shared" si="4"/>
        <v>45750</v>
      </c>
      <c r="O27" t="s">
        <v>1754</v>
      </c>
      <c r="P27" s="217">
        <f>IF(O27="","",IF(OR(LEFT(O27,4)="Cash",LEFT(O27,4)="Prov"),0,SUMIFS(Input_APM!N:N,Input_APM!L:L,Check!O27)))</f>
        <v>39308</v>
      </c>
      <c r="Q27" s="22">
        <f>IF(O27="","",IF(LEN(O27)&gt;9,SUMIFS(Options!$H$3:$H$26,Options!$B$3:$B$26,Check!O27),SUMIFS('Master P&amp;L'!$H$11:$H$93,'Master P&amp;L'!$B$11:$B$93,Check!O27)))</f>
        <v>39500</v>
      </c>
      <c r="R27" s="217">
        <f t="shared" si="1"/>
        <v>-192</v>
      </c>
      <c r="S27" s="361">
        <f t="shared" si="2"/>
        <v>0.99513924050632907</v>
      </c>
      <c r="V27" s="13"/>
    </row>
    <row r="28" spans="2:22">
      <c r="B28" t="s">
        <v>2276</v>
      </c>
      <c r="C28" s="233">
        <f>IF(B28="","",IF(LEN(B28)&gt;9,SUMIFS(Options!$H$3:$H$26,Options!$B$3:$B$26,Check!B28),SUMIFS('Master P&amp;L'!$H$11:$H$93,'Master P&amp;L'!$B$11:$B$93,Check!B28)))</f>
        <v>-11500</v>
      </c>
      <c r="D28" s="233">
        <f>IF(B28="","",SUMIFS(Input_APM!N:N,Input_APM!L:L,Check!B28,Input_APM!M:M,Check!$F$1))</f>
        <v>-10782</v>
      </c>
      <c r="E28" s="219">
        <f>IF(B28="","",C28-M28)</f>
        <v>0</v>
      </c>
      <c r="F28" s="233">
        <f>IF(B28="","",SUMIFS(Input_APM!N:N,Input_APM!M:M,Check!$F$1,Input_APM!L:L,Check!B28))</f>
        <v>-10782</v>
      </c>
      <c r="G28" s="233">
        <f>IF(B28="","",SUMIFS(Input_APM!N:N,Input_APM!M:M,Check!$G$1,Input_APM!L:L,Check!B28))</f>
        <v>0</v>
      </c>
      <c r="H28" s="217">
        <f t="shared" si="0"/>
        <v>-10782</v>
      </c>
      <c r="I28" s="217">
        <f>SUMIFS(Input_APM!N:N,Input_APM!L:L,Check!B28)</f>
        <v>-10782</v>
      </c>
      <c r="J28" s="219">
        <f t="shared" si="3"/>
        <v>0</v>
      </c>
      <c r="K28" s="22">
        <f>IF(B28="","",SUMIFS('Input_APM (Zenith)'!N:N,'Input_APM (Zenith)'!L:L,Check!B28,'Input_APM (Zenith)'!M:M,Check!$F$1))</f>
        <v>-718</v>
      </c>
      <c r="L28" s="22">
        <f>IF(B28="","",SUMIFS('Input_APM (Zenith)'!N:N,'Input_APM (Zenith)'!L:L,Check!B28,'Input_APM (Zenith)'!M:M,Check!$G$1))</f>
        <v>0</v>
      </c>
      <c r="M28" s="240">
        <f t="shared" si="4"/>
        <v>-11500</v>
      </c>
      <c r="O28" t="s">
        <v>2139</v>
      </c>
      <c r="P28" s="217">
        <f>IF(O28="","",IF(OR(LEFT(O28,4)="Cash",LEFT(O28,4)="Prov"),0,SUMIFS(Input_APM!N:N,Input_APM!L:L,Check!O28)))</f>
        <v>10745</v>
      </c>
      <c r="Q28" s="22">
        <f>IF(O28="","",IF(LEN(O28)&gt;9,SUMIFS(Options!$H$3:$H$26,Options!$B$3:$B$26,Check!O28),SUMIFS('Master P&amp;L'!$H$11:$H$93,'Master P&amp;L'!$B$11:$B$93,Check!O28)))</f>
        <v>0</v>
      </c>
      <c r="R28" s="217">
        <f t="shared" si="1"/>
        <v>10745</v>
      </c>
      <c r="S28" s="361" t="str">
        <f t="shared" si="2"/>
        <v>Erro</v>
      </c>
      <c r="V28" s="13"/>
    </row>
    <row r="29" spans="2:22">
      <c r="B29" t="s">
        <v>4</v>
      </c>
      <c r="C29" s="233">
        <f>IF(B29="","",IF(LEN(B29)&gt;9,SUMIFS(Options!$H$3:$H$26,Options!$B$3:$B$26,Check!B29),SUMIFS('Master P&amp;L'!$H$11:$H$93,'Master P&amp;L'!$B$11:$B$93,Check!B29)))</f>
        <v>-27500</v>
      </c>
      <c r="D29" s="233">
        <f>IF(B29="","",SUMIFS(Input_APM!N:N,Input_APM!L:L,Check!B29,Input_APM!M:M,Check!$F$1))</f>
        <v>-25765</v>
      </c>
      <c r="E29" s="219">
        <f t="shared" si="5"/>
        <v>0</v>
      </c>
      <c r="F29" s="233">
        <f>IF(B29="","",SUMIFS(Input_APM!N:N,Input_APM!M:M,Check!$F$1,Input_APM!L:L,Check!B29))</f>
        <v>-25765</v>
      </c>
      <c r="G29" s="233">
        <f>IF(B29="","",SUMIFS(Input_APM!N:N,Input_APM!M:M,Check!$G$1,Input_APM!L:L,Check!B29))</f>
        <v>0</v>
      </c>
      <c r="H29" s="217">
        <f t="shared" si="0"/>
        <v>-25765</v>
      </c>
      <c r="I29" s="217">
        <f>SUMIFS(Input_APM!N:N,Input_APM!L:L,Check!B29)</f>
        <v>-25765</v>
      </c>
      <c r="J29" s="219">
        <f t="shared" si="3"/>
        <v>0</v>
      </c>
      <c r="K29" s="22">
        <f>IF(B29="","",SUMIFS('Input_APM (Zenith)'!N:N,'Input_APM (Zenith)'!L:L,Check!B29,'Input_APM (Zenith)'!M:M,Check!$F$1))</f>
        <v>-1735</v>
      </c>
      <c r="L29" s="22">
        <f>IF(B29="","",SUMIFS('Input_APM (Zenith)'!N:N,'Input_APM (Zenith)'!L:L,Check!B29,'Input_APM (Zenith)'!M:M,Check!$G$1))</f>
        <v>0</v>
      </c>
      <c r="M29" s="240">
        <f>IF(B29="","",F29+G29+K29+L29)</f>
        <v>-27500</v>
      </c>
      <c r="O29" t="s">
        <v>2274</v>
      </c>
      <c r="P29" s="217">
        <f>IF(O29="","",IF(OR(LEFT(O29,4)="Cash",LEFT(O29,4)="Prov"),0,SUMIFS(Input_APM!N:N,Input_APM!L:L,Check!O29)))</f>
        <v>1031</v>
      </c>
      <c r="Q29" s="22">
        <f>IF(O29="","",IF(LEN(O29)&gt;9,SUMIFS(Options!$H$3:$H$26,Options!$B$3:$B$26,Check!O29),SUMIFS('Master P&amp;L'!$H$11:$H$93,'Master P&amp;L'!$B$11:$B$93,Check!O29)))</f>
        <v>1100</v>
      </c>
      <c r="R29" s="217">
        <f t="shared" si="1"/>
        <v>-69</v>
      </c>
      <c r="S29" s="361">
        <f t="shared" si="2"/>
        <v>0.93727272727272726</v>
      </c>
      <c r="V29" s="13"/>
    </row>
    <row r="30" spans="2:22">
      <c r="B30" t="s">
        <v>2306</v>
      </c>
      <c r="C30" s="233">
        <f>IF(B30="","",IF(LEN(B30)&gt;9,SUMIFS(Options!$H$3:$H$26,Options!$B$3:$B$26,Check!B30),SUMIFS('Master P&amp;L'!$H$11:$H$93,'Master P&amp;L'!$B$11:$B$93,Check!B30)))</f>
        <v>50</v>
      </c>
      <c r="D30" s="233">
        <f>IF(B30="","",SUMIFS(Input_APM!N:N,Input_APM!L:L,Check!B30,Input_APM!M:M,Check!$F$1))</f>
        <v>46</v>
      </c>
      <c r="E30" s="219">
        <f t="shared" si="5"/>
        <v>0</v>
      </c>
      <c r="F30" s="233">
        <f>IF(B30="","",SUMIFS(Input_APM!N:N,Input_APM!M:M,Check!$F$1,Input_APM!L:L,Check!B30))</f>
        <v>46</v>
      </c>
      <c r="G30" s="233">
        <f>IF(B30="","",SUMIFS(Input_APM!N:N,Input_APM!M:M,Check!$G$1,Input_APM!L:L,Check!B30))</f>
        <v>0</v>
      </c>
      <c r="H30" s="217">
        <f t="shared" si="0"/>
        <v>46</v>
      </c>
      <c r="I30" s="217">
        <f>SUMIFS(Input_APM!N:N,Input_APM!L:L,Check!B30)</f>
        <v>46</v>
      </c>
      <c r="J30" s="219">
        <f t="shared" si="3"/>
        <v>0</v>
      </c>
      <c r="K30" s="22">
        <f>IF(B30="","",SUMIFS('Input_APM (Zenith)'!N:N,'Input_APM (Zenith)'!L:L,Check!B30,'Input_APM (Zenith)'!M:M,Check!$F$1))</f>
        <v>4</v>
      </c>
      <c r="L30" s="22">
        <f>IF(B30="","",SUMIFS('Input_APM (Zenith)'!N:N,'Input_APM (Zenith)'!L:L,Check!B30,'Input_APM (Zenith)'!M:M,Check!$G$1))</f>
        <v>0</v>
      </c>
      <c r="M30" s="240">
        <f>IF(B30="","",F30+G30+K30+L30)</f>
        <v>50</v>
      </c>
      <c r="O30" t="s">
        <v>2275</v>
      </c>
      <c r="P30" s="217">
        <f>IF(O30="","",IF(OR(LEFT(O30,4)="Cash",LEFT(O30,4)="Prov"),0,SUMIFS(Input_APM!N:N,Input_APM!L:L,Check!O30)))</f>
        <v>-1031</v>
      </c>
      <c r="Q30" s="22">
        <f>IF(O30="","",IF(LEN(O30)&gt;9,SUMIFS(Options!$H$3:$H$26,Options!$B$3:$B$26,Check!O30),SUMIFS('Master P&amp;L'!$H$11:$H$93,'Master P&amp;L'!$B$11:$B$93,Check!O30)))</f>
        <v>-1100</v>
      </c>
      <c r="R30" s="217">
        <f t="shared" si="1"/>
        <v>69</v>
      </c>
      <c r="S30" s="361">
        <f t="shared" si="2"/>
        <v>0.93727272727272726</v>
      </c>
      <c r="V30" s="13"/>
    </row>
    <row r="31" spans="2:22">
      <c r="B31" t="s">
        <v>2227</v>
      </c>
      <c r="C31" s="233">
        <f>IF(B31="","",IF(LEN(B31)&gt;9,SUMIFS(Options!$H$3:$H$26,Options!$B$3:$B$26,Check!B31),SUMIFS('Master P&amp;L'!$H$11:$H$93,'Master P&amp;L'!$B$11:$B$93,Check!B31)))</f>
        <v>1000</v>
      </c>
      <c r="D31" s="233">
        <f>IF(B31="","",SUMIFS(Input_APM!N:N,Input_APM!L:L,Check!B31,Input_APM!M:M,Check!$F$1))</f>
        <v>1874</v>
      </c>
      <c r="E31" s="219">
        <f>IF(B31="","",C31-M31)</f>
        <v>-1000</v>
      </c>
      <c r="F31" s="233">
        <f>IF(B31="","",SUMIFS(Input_APM!N:N,Input_APM!M:M,Check!$F$1,Input_APM!L:L,Check!B31))</f>
        <v>1874</v>
      </c>
      <c r="G31" s="233">
        <f>IF(B31="","",SUMIFS(Input_APM!N:N,Input_APM!M:M,Check!$G$1,Input_APM!L:L,Check!B31))</f>
        <v>0</v>
      </c>
      <c r="H31" s="217">
        <f t="shared" si="0"/>
        <v>1874</v>
      </c>
      <c r="I31" s="217">
        <f>SUMIFS(Input_APM!N:N,Input_APM!L:L,Check!B31)</f>
        <v>1874</v>
      </c>
      <c r="J31" s="219">
        <f t="shared" si="3"/>
        <v>0</v>
      </c>
      <c r="K31" s="22">
        <f>IF(B31="","",SUMIFS('Input_APM (Zenith)'!N:N,'Input_APM (Zenith)'!L:L,Check!B31,'Input_APM (Zenith)'!M:M,Check!$F$1))</f>
        <v>126</v>
      </c>
      <c r="L31" s="22">
        <f>IF(B31="","",SUMIFS('Input_APM (Zenith)'!N:N,'Input_APM (Zenith)'!L:L,Check!B31,'Input_APM (Zenith)'!M:M,Check!$G$1))</f>
        <v>0</v>
      </c>
      <c r="M31" s="240">
        <f t="shared" si="4"/>
        <v>2000</v>
      </c>
      <c r="O31" t="s">
        <v>2148</v>
      </c>
      <c r="P31" s="217">
        <f>IF(O31="","",IF(OR(LEFT(O31,4)="Cash",LEFT(O31,4)="Prov"),0,SUMIFS(Input_APM!N:N,Input_APM!L:L,Check!O31)))</f>
        <v>9602</v>
      </c>
      <c r="Q31" s="22">
        <f>IF(O31="","",IF(LEN(O31)&gt;9,SUMIFS(Options!$H$3:$H$26,Options!$B$3:$B$26,Check!O31),SUMIFS('Master P&amp;L'!$H$11:$H$93,'Master P&amp;L'!$B$11:$B$93,Check!O31)))</f>
        <v>8750</v>
      </c>
      <c r="R31" s="217">
        <f t="shared" si="1"/>
        <v>852</v>
      </c>
      <c r="S31" s="361">
        <f t="shared" si="2"/>
        <v>1.0973714285714287</v>
      </c>
      <c r="V31" s="13"/>
    </row>
    <row r="32" spans="2:22">
      <c r="B32" t="s">
        <v>2105</v>
      </c>
      <c r="C32" s="233">
        <f>IF(B32="","",IF(LEN(B32)&gt;9,SUMIFS(Options!$H$3:$H$26,Options!$B$3:$B$26,Check!B32),SUMIFS('Master P&amp;L'!$H$11:$H$93,'Master P&amp;L'!$B$11:$B$93,Check!B32)))</f>
        <v>120</v>
      </c>
      <c r="D32" s="233">
        <f>IF(B32="","",SUMIFS(Input_APM!N:N,Input_APM!L:L,Check!B32,Input_APM!M:M,Check!$F$1))</f>
        <v>114</v>
      </c>
      <c r="E32" s="219">
        <f t="shared" si="5"/>
        <v>0</v>
      </c>
      <c r="F32" s="233">
        <f>IF(B32="","",SUMIFS(Input_APM!N:N,Input_APM!M:M,Check!$F$1,Input_APM!L:L,Check!B32))</f>
        <v>114</v>
      </c>
      <c r="G32" s="233">
        <f>IF(B32="","",SUMIFS(Input_APM!N:N,Input_APM!M:M,Check!$G$1,Input_APM!L:L,Check!B32))</f>
        <v>0</v>
      </c>
      <c r="H32" s="217">
        <f t="shared" si="0"/>
        <v>114</v>
      </c>
      <c r="I32" s="217">
        <f>SUMIFS(Input_APM!N:N,Input_APM!L:L,Check!B32)</f>
        <v>114</v>
      </c>
      <c r="J32" s="219">
        <f t="shared" si="3"/>
        <v>0</v>
      </c>
      <c r="K32" s="22">
        <f>IF(B32="","",SUMIFS('Input_APM (Zenith)'!N:N,'Input_APM (Zenith)'!L:L,Check!B32,'Input_APM (Zenith)'!M:M,Check!$F$1))</f>
        <v>6</v>
      </c>
      <c r="L32" s="22">
        <f>IF(B32="","",SUMIFS('Input_APM (Zenith)'!N:N,'Input_APM (Zenith)'!L:L,Check!B32,'Input_APM (Zenith)'!M:M,Check!$G$1))</f>
        <v>0</v>
      </c>
      <c r="M32" s="240">
        <f t="shared" si="4"/>
        <v>120</v>
      </c>
      <c r="O32" t="s">
        <v>1896</v>
      </c>
      <c r="P32" s="217">
        <f>IF(O32="","",IF(OR(LEFT(O32,4)="Cash",LEFT(O32,4)="Prov"),0,SUMIFS(Input_APM!N:N,Input_APM!L:L,Check!O32)))</f>
        <v>276451</v>
      </c>
      <c r="Q32" s="22">
        <f>IF(O32="","",IF(LEN(O32)&gt;9,SUMIFS(Options!$H$3:$H$26,Options!$B$3:$B$26,Check!O32),SUMIFS('Master P&amp;L'!$H$11:$H$93,'Master P&amp;L'!$B$11:$B$93,Check!O32)))</f>
        <v>0</v>
      </c>
      <c r="R32" s="217">
        <f t="shared" si="1"/>
        <v>276451</v>
      </c>
      <c r="S32" s="361" t="str">
        <f t="shared" si="2"/>
        <v>Erro</v>
      </c>
      <c r="V32" s="13"/>
    </row>
    <row r="33" spans="1:22">
      <c r="B33" t="s">
        <v>2274</v>
      </c>
      <c r="C33" s="233">
        <f>IF(B33="","",IF(LEN(B33)&gt;9,SUMIFS(Options!$H$3:$H$26,Options!$B$3:$B$26,Check!B33),SUMIFS('Master P&amp;L'!$H$11:$H$93,'Master P&amp;L'!$B$11:$B$93,Check!B33)))</f>
        <v>1100</v>
      </c>
      <c r="D33" s="233">
        <f>IF(B33="","",SUMIFS(Input_APM!N:N,Input_APM!L:L,Check!B33,Input_APM!M:M,Check!$F$1))</f>
        <v>1031</v>
      </c>
      <c r="E33" s="217">
        <f t="shared" si="5"/>
        <v>0</v>
      </c>
      <c r="F33" s="233">
        <f>IF(B33="","",SUMIFS(Input_APM!N:N,Input_APM!M:M,Check!$F$1,Input_APM!L:L,Check!B33))</f>
        <v>1031</v>
      </c>
      <c r="G33" s="233">
        <f>IF(B33="","",SUMIFS(Input_APM!N:N,Input_APM!M:M,Check!$G$1,Input_APM!L:L,Check!B33))</f>
        <v>0</v>
      </c>
      <c r="H33" s="217">
        <f t="shared" si="0"/>
        <v>1031</v>
      </c>
      <c r="I33" s="217">
        <f>SUMIFS(Input_APM!N:N,Input_APM!L:L,Check!B33)</f>
        <v>1031</v>
      </c>
      <c r="J33" s="219">
        <f t="shared" si="3"/>
        <v>0</v>
      </c>
      <c r="K33" s="22">
        <f>IF(B33="","",SUMIFS('Input_APM (Zenith)'!N:N,'Input_APM (Zenith)'!L:L,Check!B33,'Input_APM (Zenith)'!M:M,Check!$F$1))</f>
        <v>69</v>
      </c>
      <c r="L33" s="22">
        <f>IF(B33="","",SUMIFS('Input_APM (Zenith)'!N:N,'Input_APM (Zenith)'!L:L,Check!B33,'Input_APM (Zenith)'!M:M,Check!$G$1))</f>
        <v>0</v>
      </c>
      <c r="M33" s="240">
        <f t="shared" si="4"/>
        <v>1100</v>
      </c>
      <c r="O33" t="s">
        <v>1897</v>
      </c>
      <c r="P33" s="217">
        <f>IF(O33="","",IF(OR(LEFT(O33,4)="Cash",LEFT(O33,4)="Prov"),0,SUMIFS(Input_APM!N:N,Input_APM!L:L,Check!O33)))</f>
        <v>-276451</v>
      </c>
      <c r="Q33" s="22">
        <f>IF(O33="","",IF(LEN(O33)&gt;9,SUMIFS(Options!$H$3:$H$26,Options!$B$3:$B$26,Check!O33),SUMIFS('Master P&amp;L'!$H$11:$H$93,'Master P&amp;L'!$B$11:$B$93,Check!O33)))</f>
        <v>0</v>
      </c>
      <c r="R33" s="217">
        <f t="shared" si="1"/>
        <v>-276451</v>
      </c>
      <c r="S33" s="361" t="str">
        <f t="shared" si="2"/>
        <v>Erro</v>
      </c>
      <c r="V33" s="13"/>
    </row>
    <row r="34" spans="1:22">
      <c r="B34" t="s">
        <v>2275</v>
      </c>
      <c r="C34" s="233">
        <f>IF(B34="","",IF(LEN(B34)&gt;9,SUMIFS(Options!$H$3:$H$26,Options!$B$3:$B$26,Check!B34),SUMIFS('Master P&amp;L'!$H$11:$H$93,'Master P&amp;L'!$B$11:$B$93,Check!B34)))</f>
        <v>-1100</v>
      </c>
      <c r="D34" s="233">
        <f>IF(B34="","",SUMIFS(Input_APM!N:N,Input_APM!L:L,Check!B34,Input_APM!M:M,Check!$F$1))</f>
        <v>-1031</v>
      </c>
      <c r="E34" s="217">
        <f t="shared" si="5"/>
        <v>0</v>
      </c>
      <c r="F34" s="233">
        <f>IF(B34="","",SUMIFS(Input_APM!N:N,Input_APM!M:M,Check!$F$1,Input_APM!L:L,Check!B34))</f>
        <v>-1031</v>
      </c>
      <c r="G34" s="233">
        <f>IF(B34="","",SUMIFS(Input_APM!N:N,Input_APM!M:M,Check!$G$1,Input_APM!L:L,Check!B34))</f>
        <v>0</v>
      </c>
      <c r="H34" s="217">
        <f t="shared" si="0"/>
        <v>-1031</v>
      </c>
      <c r="I34" s="217">
        <f>SUMIFS(Input_APM!N:N,Input_APM!L:L,Check!B34)</f>
        <v>-1031</v>
      </c>
      <c r="J34" s="219">
        <f t="shared" si="3"/>
        <v>0</v>
      </c>
      <c r="K34" s="22">
        <f>IF(B34="","",SUMIFS('Input_APM (Zenith)'!N:N,'Input_APM (Zenith)'!L:L,Check!B34,'Input_APM (Zenith)'!M:M,Check!$F$1))</f>
        <v>-69</v>
      </c>
      <c r="L34" s="22">
        <f>IF(B34="","",SUMIFS('Input_APM (Zenith)'!N:N,'Input_APM (Zenith)'!L:L,Check!B34,'Input_APM (Zenith)'!M:M,Check!$G$1))</f>
        <v>0</v>
      </c>
      <c r="M34" s="240">
        <f t="shared" si="4"/>
        <v>-1100</v>
      </c>
      <c r="O34" t="s">
        <v>2352</v>
      </c>
      <c r="P34" s="217">
        <f>IF(O34="","",IF(OR(LEFT(O34,4)="Cash",LEFT(O34,4)="Prov"),0,SUMIFS(Input_APM!N:N,Input_APM!L:L,Check!O34)))</f>
        <v>144</v>
      </c>
      <c r="Q34" s="22">
        <f>IF(O34="","",IF(LEN(O34)&gt;9,SUMIFS(Options!$H$3:$H$26,Options!$B$3:$B$26,Check!O34),SUMIFS('Master P&amp;L'!$H$11:$H$93,'Master P&amp;L'!$B$11:$B$93,Check!O34)))</f>
        <v>150</v>
      </c>
      <c r="R34" s="217">
        <f t="shared" si="1"/>
        <v>-6</v>
      </c>
      <c r="S34" s="361">
        <f t="shared" si="2"/>
        <v>0.96</v>
      </c>
      <c r="V34" s="13"/>
    </row>
    <row r="35" spans="1:22">
      <c r="B35" t="s">
        <v>2304</v>
      </c>
      <c r="C35" s="233">
        <f>IF(B35="","",IF(LEN(B35)&gt;9,SUMIFS(Options!$H$3:$H$26,Options!$B$3:$B$26,Check!B35),SUMIFS('Master P&amp;L'!$H$11:$H$93,'Master P&amp;L'!$B$11:$B$93,Check!B35)))</f>
        <v>60</v>
      </c>
      <c r="D35" s="233">
        <f>IF(B35="","",SUMIFS(Input_APM!N:N,Input_APM!L:L,Check!B35,Input_APM!M:M,Check!$F$1))</f>
        <v>56</v>
      </c>
      <c r="E35" s="219">
        <f t="shared" si="5"/>
        <v>0</v>
      </c>
      <c r="F35" s="233">
        <f>IF(B35="","",SUMIFS(Input_APM!N:N,Input_APM!M:M,Check!$F$1,Input_APM!L:L,Check!B35))</f>
        <v>56</v>
      </c>
      <c r="G35" s="233">
        <f>IF(B35="","",SUMIFS(Input_APM!N:N,Input_APM!M:M,Check!$G$1,Input_APM!L:L,Check!B35))</f>
        <v>0</v>
      </c>
      <c r="H35" s="217">
        <f t="shared" si="0"/>
        <v>56</v>
      </c>
      <c r="I35" s="217">
        <f>SUMIFS(Input_APM!N:N,Input_APM!L:L,Check!B35)</f>
        <v>56</v>
      </c>
      <c r="J35" s="219">
        <f t="shared" si="3"/>
        <v>0</v>
      </c>
      <c r="K35" s="22">
        <f>IF(B35="","",SUMIFS('Input_APM (Zenith)'!N:N,'Input_APM (Zenith)'!L:L,Check!B35,'Input_APM (Zenith)'!M:M,Check!$F$1))</f>
        <v>4</v>
      </c>
      <c r="L35" s="22">
        <f>IF(B35="","",SUMIFS('Input_APM (Zenith)'!N:N,'Input_APM (Zenith)'!L:L,Check!B35,'Input_APM (Zenith)'!M:M,Check!$G$1))</f>
        <v>0</v>
      </c>
      <c r="M35" s="240">
        <f t="shared" si="4"/>
        <v>60</v>
      </c>
      <c r="O35" t="s">
        <v>2353</v>
      </c>
      <c r="P35" s="217">
        <f>IF(O35="","",IF(OR(LEFT(O35,4)="Cash",LEFT(O35,4)="Prov"),0,SUMIFS(Input_APM!N:N,Input_APM!L:L,Check!O35)))</f>
        <v>-141</v>
      </c>
      <c r="Q35" s="22">
        <f>IF(O35="","",IF(LEN(O35)&gt;9,SUMIFS(Options!$H$3:$H$26,Options!$B$3:$B$26,Check!O35),SUMIFS('Master P&amp;L'!$H$11:$H$93,'Master P&amp;L'!$B$11:$B$93,Check!O35)))</f>
        <v>-150</v>
      </c>
      <c r="R35" s="217">
        <f t="shared" si="1"/>
        <v>9</v>
      </c>
      <c r="S35" s="361">
        <f t="shared" si="2"/>
        <v>0.94</v>
      </c>
      <c r="V35" s="13"/>
    </row>
    <row r="36" spans="1:22">
      <c r="B36" t="s">
        <v>2068</v>
      </c>
      <c r="C36" s="233">
        <f>IF(B36="","",IF(LEN(B36)&gt;9,SUMIFS(Options!$H$3:$H$26,Options!$B$3:$B$26,Check!B36),SUMIFS('Master P&amp;L'!$H$11:$H$93,'Master P&amp;L'!$B$11:$B$93,Check!B36)))</f>
        <v>60</v>
      </c>
      <c r="D36" s="233">
        <f>IF(B36="","",SUMIFS(Input_APM!N:N,Input_APM!L:L,Check!B36,Input_APM!M:M,Check!$F$1))</f>
        <v>57</v>
      </c>
      <c r="E36" s="219">
        <f>IF(B36="","",C36-M36)</f>
        <v>0</v>
      </c>
      <c r="F36" s="233">
        <f>IF(B36="","",SUMIFS(Input_APM!N:N,Input_APM!M:M,Check!$F$1,Input_APM!L:L,Check!B36))</f>
        <v>57</v>
      </c>
      <c r="G36" s="233">
        <f>IF(B36="","",SUMIFS(Input_APM!N:N,Input_APM!M:M,Check!$G$1,Input_APM!L:L,Check!B36))</f>
        <v>0</v>
      </c>
      <c r="H36" s="217">
        <f t="shared" si="0"/>
        <v>57</v>
      </c>
      <c r="I36" s="217">
        <f>SUMIFS(Input_APM!N:N,Input_APM!L:L,Check!B36)</f>
        <v>57</v>
      </c>
      <c r="J36" s="219">
        <f t="shared" si="3"/>
        <v>0</v>
      </c>
      <c r="K36" s="22">
        <f>IF(B36="","",SUMIFS('Input_APM (Zenith)'!N:N,'Input_APM (Zenith)'!L:L,Check!B36,'Input_APM (Zenith)'!M:M,Check!$F$1))</f>
        <v>3</v>
      </c>
      <c r="L36" s="22">
        <f>IF(B36="","",SUMIFS('Input_APM (Zenith)'!N:N,'Input_APM (Zenith)'!L:L,Check!B36,'Input_APM (Zenith)'!M:M,Check!$G$1))</f>
        <v>0</v>
      </c>
      <c r="M36" s="240">
        <f>IF(B36="","",F36+G36+K36+L36)</f>
        <v>60</v>
      </c>
      <c r="O36" t="s">
        <v>2351</v>
      </c>
      <c r="P36" s="217">
        <f>IF(O36="","",IF(OR(LEFT(O36,4)="Cash",LEFT(O36,4)="Prov"),0,SUMIFS(Input_APM!N:N,Input_APM!L:L,Check!O36)))</f>
        <v>-141</v>
      </c>
      <c r="Q36" s="22">
        <f>IF(O36="","",IF(LEN(O36)&gt;9,SUMIFS(Options!$H$3:$H$26,Options!$B$3:$B$26,Check!O36),SUMIFS('Master P&amp;L'!$H$11:$H$93,'Master P&amp;L'!$B$11:$B$93,Check!O36)))</f>
        <v>-150</v>
      </c>
      <c r="R36" s="217">
        <f t="shared" si="1"/>
        <v>9</v>
      </c>
      <c r="S36" s="361">
        <f t="shared" si="2"/>
        <v>0.94</v>
      </c>
      <c r="V36" s="13"/>
    </row>
    <row r="37" spans="1:22">
      <c r="B37" t="s">
        <v>2307</v>
      </c>
      <c r="C37" s="233">
        <f>IF(B37="","",IF(LEN(B37)&gt;9,SUMIFS(Options!$H$3:$H$26,Options!$B$3:$B$26,Check!B37),SUMIFS('Master P&amp;L'!$H$11:$H$93,'Master P&amp;L'!$B$11:$B$93,Check!B37)))</f>
        <v>75</v>
      </c>
      <c r="D37" s="233">
        <f>IF(B37="","",SUMIFS(Input_APM!N:N,Input_APM!L:L,Check!B37,Input_APM!M:M,Check!$F$1))</f>
        <v>73</v>
      </c>
      <c r="E37" s="219">
        <f>IF(B37="","",C37-M37)</f>
        <v>0</v>
      </c>
      <c r="F37" s="233">
        <f>IF(B37="","",SUMIFS(Input_APM!N:N,Input_APM!M:M,Check!$F$1,Input_APM!L:L,Check!B37))</f>
        <v>73</v>
      </c>
      <c r="G37" s="233">
        <f>IF(B37="","",SUMIFS(Input_APM!N:N,Input_APM!M:M,Check!$G$1,Input_APM!L:L,Check!B37))</f>
        <v>0</v>
      </c>
      <c r="H37" s="217">
        <f t="shared" si="0"/>
        <v>73</v>
      </c>
      <c r="I37" s="217">
        <f>SUMIFS(Input_APM!N:N,Input_APM!L:L,Check!B37)</f>
        <v>73</v>
      </c>
      <c r="J37" s="219">
        <f t="shared" si="3"/>
        <v>0</v>
      </c>
      <c r="K37" s="22">
        <f>IF(B37="","",SUMIFS('Input_APM (Zenith)'!N:N,'Input_APM (Zenith)'!L:L,Check!B37,'Input_APM (Zenith)'!M:M,Check!$F$1))</f>
        <v>2</v>
      </c>
      <c r="L37" s="22">
        <f>IF(B37="","",SUMIFS('Input_APM (Zenith)'!N:N,'Input_APM (Zenith)'!L:L,Check!B37,'Input_APM (Zenith)'!M:M,Check!$G$1))</f>
        <v>0</v>
      </c>
      <c r="M37" s="240">
        <f t="shared" si="4"/>
        <v>75</v>
      </c>
      <c r="O37" t="s">
        <v>2276</v>
      </c>
      <c r="P37" s="217">
        <f>IF(O37="","",IF(OR(LEFT(O37,4)="Cash",LEFT(O37,4)="Prov"),0,SUMIFS(Input_APM!N:N,Input_APM!L:L,Check!O37)))</f>
        <v>-10782</v>
      </c>
      <c r="Q37" s="22">
        <f>IF(O37="","",IF(LEN(O37)&gt;9,SUMIFS(Options!$H$3:$H$26,Options!$B$3:$B$26,Check!O37),SUMIFS('Master P&amp;L'!$H$11:$H$93,'Master P&amp;L'!$B$11:$B$93,Check!O37)))</f>
        <v>-11500</v>
      </c>
      <c r="R37" s="217">
        <f t="shared" si="1"/>
        <v>718</v>
      </c>
      <c r="S37" s="361">
        <f t="shared" si="2"/>
        <v>0.93756521739130438</v>
      </c>
      <c r="V37" s="13"/>
    </row>
    <row r="38" spans="1:22">
      <c r="B38" t="s">
        <v>2097</v>
      </c>
      <c r="C38" s="233">
        <f>IF(B38="","",IF(LEN(B38)&gt;9,SUMIFS(Options!$H$3:$H$26,Options!$B$3:$B$26,Check!B38),SUMIFS('Master P&amp;L'!$H$11:$H$93,'Master P&amp;L'!$B$11:$B$93,Check!B38)))</f>
        <v>200</v>
      </c>
      <c r="D38" s="233">
        <f>IF(B38="","",SUMIFS(Input_APM!N:N,Input_APM!L:L,Check!B38,Input_APM!M:M,Check!$F$1))</f>
        <v>186</v>
      </c>
      <c r="E38" s="217">
        <f t="shared" si="5"/>
        <v>0</v>
      </c>
      <c r="F38" s="233">
        <f>IF(B38="","",SUMIFS(Input_APM!N:N,Input_APM!M:M,Check!$F$1,Input_APM!L:L,Check!B38))</f>
        <v>186</v>
      </c>
      <c r="G38" s="233">
        <f>IF(B38="","",SUMIFS(Input_APM!N:N,Input_APM!M:M,Check!$G$1,Input_APM!L:L,Check!B38))</f>
        <v>0</v>
      </c>
      <c r="H38" s="217">
        <f t="shared" si="0"/>
        <v>186</v>
      </c>
      <c r="I38" s="217">
        <f>SUMIFS(Input_APM!N:N,Input_APM!L:L,Check!B38)</f>
        <v>186</v>
      </c>
      <c r="J38" s="219">
        <f t="shared" si="3"/>
        <v>0</v>
      </c>
      <c r="K38" s="22">
        <f>IF(B38="","",SUMIFS('Input_APM (Zenith)'!N:N,'Input_APM (Zenith)'!L:L,Check!B38,'Input_APM (Zenith)'!M:M,Check!$F$1))</f>
        <v>14</v>
      </c>
      <c r="L38" s="22">
        <f>IF(B38="","",SUMIFS('Input_APM (Zenith)'!N:N,'Input_APM (Zenith)'!L:L,Check!B38,'Input_APM (Zenith)'!M:M,Check!$G$1))</f>
        <v>0</v>
      </c>
      <c r="M38" s="240">
        <f t="shared" si="4"/>
        <v>200</v>
      </c>
      <c r="O38" t="s">
        <v>2325</v>
      </c>
      <c r="P38" s="217">
        <f>IF(O38="","",IF(OR(LEFT(O38,4)="Cash",LEFT(O38,4)="Prov"),0,SUMIFS(Input_APM!N:N,Input_APM!L:L,Check!O38)))</f>
        <v>10349446</v>
      </c>
      <c r="Q38" s="22">
        <f>IF(O38="","",IF(LEN(O38)&gt;9,SUMIFS(Options!$H$3:$H$26,Options!$B$3:$B$26,Check!O38),SUMIFS('Master P&amp;L'!$H$11:$H$93,'Master P&amp;L'!$B$11:$B$93,Check!O38)))</f>
        <v>0</v>
      </c>
      <c r="R38" s="217">
        <f t="shared" si="1"/>
        <v>10349446</v>
      </c>
      <c r="S38" s="361" t="str">
        <f t="shared" si="2"/>
        <v>Erro</v>
      </c>
      <c r="V38" s="13"/>
    </row>
    <row r="39" spans="1:22">
      <c r="B39" t="s">
        <v>2098</v>
      </c>
      <c r="C39" s="233">
        <f>IF(B39="","",IF(LEN(B39)&gt;9,SUMIFS(Options!$H$3:$H$26,Options!$B$3:$B$26,Check!B39),SUMIFS('Master P&amp;L'!$H$11:$H$93,'Master P&amp;L'!$B$11:$B$93,Check!B39)))</f>
        <v>-200</v>
      </c>
      <c r="D39" s="233">
        <f>IF(B39="","",SUMIFS(Input_APM!N:N,Input_APM!L:L,Check!B39,Input_APM!M:M,Check!$F$1))</f>
        <v>-188</v>
      </c>
      <c r="E39" s="217">
        <f t="shared" si="5"/>
        <v>0</v>
      </c>
      <c r="F39" s="233">
        <f>IF(B39="","",SUMIFS(Input_APM!N:N,Input_APM!M:M,Check!$F$1,Input_APM!L:L,Check!B39))</f>
        <v>-188</v>
      </c>
      <c r="G39" s="233">
        <f>IF(B39="","",SUMIFS(Input_APM!N:N,Input_APM!M:M,Check!$G$1,Input_APM!L:L,Check!B39))</f>
        <v>0</v>
      </c>
      <c r="H39" s="217">
        <f t="shared" si="0"/>
        <v>-188</v>
      </c>
      <c r="I39" s="217">
        <f>SUMIFS(Input_APM!N:N,Input_APM!L:L,Check!B39)</f>
        <v>-188</v>
      </c>
      <c r="J39" s="219">
        <f t="shared" si="3"/>
        <v>0</v>
      </c>
      <c r="K39" s="22">
        <f>IF(B39="","",SUMIFS('Input_APM (Zenith)'!N:N,'Input_APM (Zenith)'!L:L,Check!B39,'Input_APM (Zenith)'!M:M,Check!$F$1))</f>
        <v>-12</v>
      </c>
      <c r="L39" s="22">
        <f>IF(B39="","",SUMIFS('Input_APM (Zenith)'!N:N,'Input_APM (Zenith)'!L:L,Check!B39,'Input_APM (Zenith)'!M:M,Check!$G$1))</f>
        <v>0</v>
      </c>
      <c r="M39" s="240">
        <f t="shared" si="4"/>
        <v>-200</v>
      </c>
      <c r="O39" t="s">
        <v>2063</v>
      </c>
      <c r="P39" s="217">
        <f>IF(O39="","",IF(OR(LEFT(O39,4)="Cash",LEFT(O39,4)="Prov"),0,SUMIFS(Input_APM!N:N,Input_APM!L:L,Check!O39)))</f>
        <v>1780</v>
      </c>
      <c r="Q39" s="22">
        <f>IF(O39="","",IF(LEN(O39)&gt;9,SUMIFS(Options!$H$3:$H$26,Options!$B$3:$B$26,Check!O39),SUMIFS('Master P&amp;L'!$H$11:$H$93,'Master P&amp;L'!$B$11:$B$93,Check!O39)))</f>
        <v>900</v>
      </c>
      <c r="R39" s="217">
        <f t="shared" si="1"/>
        <v>880</v>
      </c>
      <c r="S39" s="361">
        <f t="shared" si="2"/>
        <v>1.9777777777777779</v>
      </c>
      <c r="V39" s="13"/>
    </row>
    <row r="40" spans="1:22">
      <c r="B40" t="s">
        <v>2058</v>
      </c>
      <c r="C40" s="233">
        <f>IF(B40="","",IF(LEN(B40)&gt;9,SUMIFS(Options!$H$3:$H$26,Options!$B$3:$B$26,Check!B40),SUMIFS('Master P&amp;L'!$H$11:$H$93,'Master P&amp;L'!$B$11:$B$93,Check!B40)))</f>
        <v>150</v>
      </c>
      <c r="D40" s="233">
        <f>IF(B40="","",SUMIFS(Input_APM!N:N,Input_APM!L:L,Check!B40,Input_APM!M:M,Check!$F$1))</f>
        <v>141</v>
      </c>
      <c r="E40" s="219">
        <f t="shared" si="5"/>
        <v>0</v>
      </c>
      <c r="F40" s="233">
        <f>IF(B40="","",SUMIFS(Input_APM!N:N,Input_APM!M:M,Check!$F$1,Input_APM!L:L,Check!B40))</f>
        <v>141</v>
      </c>
      <c r="G40" s="233">
        <f>IF(B40="","",SUMIFS(Input_APM!N:N,Input_APM!M:M,Check!$G$1,Input_APM!L:L,Check!B40))</f>
        <v>0</v>
      </c>
      <c r="H40" s="217">
        <f t="shared" si="0"/>
        <v>141</v>
      </c>
      <c r="I40" s="217">
        <f>SUMIFS(Input_APM!N:N,Input_APM!L:L,Check!B40)</f>
        <v>141</v>
      </c>
      <c r="J40" s="219">
        <f t="shared" si="3"/>
        <v>0</v>
      </c>
      <c r="K40" s="22">
        <f>IF(B40="","",SUMIFS('Input_APM (Zenith)'!N:N,'Input_APM (Zenith)'!L:L,Check!B40,'Input_APM (Zenith)'!M:M,Check!$F$1))</f>
        <v>9</v>
      </c>
      <c r="L40" s="22">
        <f>IF(B40="","",SUMIFS('Input_APM (Zenith)'!N:N,'Input_APM (Zenith)'!L:L,Check!B40,'Input_APM (Zenith)'!M:M,Check!$G$1))</f>
        <v>0</v>
      </c>
      <c r="M40" s="240">
        <f t="shared" si="4"/>
        <v>150</v>
      </c>
      <c r="O40" t="s">
        <v>2304</v>
      </c>
      <c r="P40" s="217">
        <f>IF(O40="","",IF(OR(LEFT(O40,4)="Cash",LEFT(O40,4)="Prov"),0,SUMIFS(Input_APM!N:N,Input_APM!L:L,Check!O40)))</f>
        <v>56</v>
      </c>
      <c r="Q40" s="22">
        <f>IF(O40="","",IF(LEN(O40)&gt;9,SUMIFS(Options!$H$3:$H$26,Options!$B$3:$B$26,Check!O40),SUMIFS('Master P&amp;L'!$H$11:$H$93,'Master P&amp;L'!$B$11:$B$93,Check!O40)))</f>
        <v>60</v>
      </c>
      <c r="R40" s="217">
        <f t="shared" si="1"/>
        <v>-4</v>
      </c>
      <c r="S40" s="361">
        <f t="shared" si="2"/>
        <v>0.93333333333333335</v>
      </c>
      <c r="V40" s="13"/>
    </row>
    <row r="41" spans="1:22">
      <c r="B41" t="s">
        <v>2287</v>
      </c>
      <c r="C41" s="233">
        <f>IF(B41="","",IF(LEN(B41)&gt;9,SUMIFS(Options!$H$3:$H$26,Options!$B$3:$B$26,Check!B41),SUMIFS('Master P&amp;L'!$H$11:$H$93,'Master P&amp;L'!$B$11:$B$93,Check!B41)))</f>
        <v>-150</v>
      </c>
      <c r="D41" s="233">
        <f>IF(B41="","",SUMIFS(Input_APM!N:N,Input_APM!L:L,Check!B41,Input_APM!M:M,Check!$F$1))</f>
        <v>-141</v>
      </c>
      <c r="E41" s="217">
        <f t="shared" si="5"/>
        <v>0</v>
      </c>
      <c r="F41" s="233">
        <f>IF(B41="","",SUMIFS(Input_APM!N:N,Input_APM!M:M,Check!$F$1,Input_APM!L:L,Check!B41))</f>
        <v>-141</v>
      </c>
      <c r="G41" s="233">
        <f>IF(B41="","",SUMIFS(Input_APM!N:N,Input_APM!M:M,Check!$G$1,Input_APM!L:L,Check!B41))</f>
        <v>0</v>
      </c>
      <c r="H41" s="217">
        <f t="shared" si="0"/>
        <v>-141</v>
      </c>
      <c r="I41" s="217">
        <f>SUMIFS(Input_APM!N:N,Input_APM!L:L,Check!B41)</f>
        <v>-141</v>
      </c>
      <c r="J41" s="219">
        <f t="shared" si="3"/>
        <v>0</v>
      </c>
      <c r="K41" s="22">
        <f>IF(B41="","",SUMIFS('Input_APM (Zenith)'!N:N,'Input_APM (Zenith)'!L:L,Check!B41,'Input_APM (Zenith)'!M:M,Check!$F$1))</f>
        <v>-9</v>
      </c>
      <c r="L41" s="22">
        <f>IF(B41="","",SUMIFS('Input_APM (Zenith)'!N:N,'Input_APM (Zenith)'!L:L,Check!B41,'Input_APM (Zenith)'!M:M,Check!$G$1))</f>
        <v>0</v>
      </c>
      <c r="M41" s="240">
        <f t="shared" si="4"/>
        <v>-150</v>
      </c>
      <c r="O41" t="s">
        <v>81</v>
      </c>
      <c r="P41" s="217">
        <f>IF(O41="","",IF(OR(LEFT(O41,4)="Cash",LEFT(O41,4)="Prov"),0,SUMIFS(Input_APM!N:N,Input_APM!L:L,Check!O41)))</f>
        <v>0</v>
      </c>
      <c r="Q41" s="22">
        <f>IF(O41="","",IF(LEN(O41)&gt;9,SUMIFS(Options!$H$3:$H$26,Options!$B$3:$B$26,Check!O41),SUMIFS('Master P&amp;L'!$H$11:$H$93,'Master P&amp;L'!$B$11:$B$93,Check!O41)))</f>
        <v>-700</v>
      </c>
      <c r="R41" s="217">
        <f t="shared" si="1"/>
        <v>700</v>
      </c>
      <c r="S41" s="361" t="str">
        <f t="shared" si="2"/>
        <v>Erro</v>
      </c>
      <c r="V41" s="13"/>
    </row>
    <row r="42" spans="1:22">
      <c r="B42" t="s">
        <v>2354</v>
      </c>
      <c r="C42" s="233">
        <f>IF(B42="","",IF(LEN(B42)&gt;9,SUMIFS(Options!$H$3:$H$26,Options!$B$3:$B$26,Check!B42),SUMIFS('Master P&amp;L'!$H$11:$H$93,'Master P&amp;L'!$B$11:$B$93,Check!B42)))</f>
        <v>75</v>
      </c>
      <c r="D42" s="233">
        <f>IF(B42="","",SUMIFS(Input_APM!N:N,Input_APM!L:L,Check!B42,Input_APM!M:M,Check!$F$1))</f>
        <v>119</v>
      </c>
      <c r="E42" s="219">
        <f t="shared" si="5"/>
        <v>-50</v>
      </c>
      <c r="F42" s="233">
        <f>IF(B42="","",SUMIFS(Input_APM!N:N,Input_APM!M:M,Check!$F$1,Input_APM!L:L,Check!B42))</f>
        <v>119</v>
      </c>
      <c r="G42" s="233">
        <f>IF(B42="","",SUMIFS(Input_APM!N:N,Input_APM!M:M,Check!$G$1,Input_APM!L:L,Check!B42))</f>
        <v>0</v>
      </c>
      <c r="H42" s="217">
        <f t="shared" si="0"/>
        <v>119</v>
      </c>
      <c r="I42" s="217">
        <f>SUMIFS(Input_APM!N:N,Input_APM!L:L,Check!B42)</f>
        <v>119</v>
      </c>
      <c r="J42" s="219">
        <f t="shared" si="3"/>
        <v>0</v>
      </c>
      <c r="K42" s="22">
        <f>IF(B42="","",SUMIFS('Input_APM (Zenith)'!N:N,'Input_APM (Zenith)'!L:L,Check!B42,'Input_APM (Zenith)'!M:M,Check!$F$1))</f>
        <v>6</v>
      </c>
      <c r="L42" s="22">
        <f>IF(B42="","",SUMIFS('Input_APM (Zenith)'!N:N,'Input_APM (Zenith)'!L:L,Check!B42,'Input_APM (Zenith)'!M:M,Check!$G$1))</f>
        <v>0</v>
      </c>
      <c r="M42" s="240">
        <f t="shared" si="4"/>
        <v>125</v>
      </c>
      <c r="O42" t="s">
        <v>2068</v>
      </c>
      <c r="P42" s="217">
        <f>IF(O42="","",IF(OR(LEFT(O42,4)="Cash",LEFT(O42,4)="Prov"),0,SUMIFS(Input_APM!N:N,Input_APM!L:L,Check!O42)))</f>
        <v>57</v>
      </c>
      <c r="Q42" s="22">
        <f>IF(O42="","",IF(LEN(O42)&gt;9,SUMIFS(Options!$H$3:$H$26,Options!$B$3:$B$26,Check!O42),SUMIFS('Master P&amp;L'!$H$11:$H$93,'Master P&amp;L'!$B$11:$B$93,Check!O42)))</f>
        <v>60</v>
      </c>
      <c r="R42" s="217">
        <f t="shared" si="1"/>
        <v>-3</v>
      </c>
      <c r="S42" s="361">
        <f t="shared" si="2"/>
        <v>0.95</v>
      </c>
      <c r="V42" s="13"/>
    </row>
    <row r="43" spans="1:22">
      <c r="A43" t="s">
        <v>1770</v>
      </c>
      <c r="B43" t="s">
        <v>2049</v>
      </c>
      <c r="C43" s="233">
        <f>IF(B43="","",IF(LEN(B43)&gt;9,SUMIFS(Options!$H$3:$H$26,Options!$B$3:$B$26,Check!B43),SUMIFS('Master P&amp;L'!$H$11:$H$93,'Master P&amp;L'!$B$11:$B$93,Check!B43)))</f>
        <v>-50</v>
      </c>
      <c r="D43" s="233">
        <f>IF(B43="","",SUMIFS(Input_APM!N:N,Input_APM!L:L,Check!B43,Input_APM!M:M,Check!$F$1))</f>
        <v>-46</v>
      </c>
      <c r="E43" s="217">
        <f t="shared" si="5"/>
        <v>0</v>
      </c>
      <c r="F43" s="233">
        <f>IF(B43="","",SUMIFS(Input_APM!N:N,Input_APM!M:M,Check!$F$1,Input_APM!L:L,Check!B43))</f>
        <v>-46</v>
      </c>
      <c r="G43" s="233">
        <f>IF(B43="","",SUMIFS(Input_APM!N:N,Input_APM!M:M,Check!$G$1,Input_APM!L:L,Check!B43))</f>
        <v>0</v>
      </c>
      <c r="H43" s="217">
        <f t="shared" si="0"/>
        <v>-46</v>
      </c>
      <c r="I43" s="217">
        <f>SUMIFS(Input_APM!N:N,Input_APM!L:L,Check!B43)</f>
        <v>-46</v>
      </c>
      <c r="J43" s="219">
        <f t="shared" si="3"/>
        <v>0</v>
      </c>
      <c r="K43" s="22">
        <f>IF(B43="","",SUMIFS('Input_APM (Zenith)'!N:N,'Input_APM (Zenith)'!L:L,Check!B43,'Input_APM (Zenith)'!M:M,Check!$F$1))</f>
        <v>-4</v>
      </c>
      <c r="L43" s="22">
        <f>IF(B43="","",SUMIFS('Input_APM (Zenith)'!N:N,'Input_APM (Zenith)'!L:L,Check!B43,'Input_APM (Zenith)'!M:M,Check!$G$1))</f>
        <v>0</v>
      </c>
      <c r="M43" s="217">
        <f t="shared" si="4"/>
        <v>-50</v>
      </c>
      <c r="O43" t="s">
        <v>2307</v>
      </c>
      <c r="P43" s="217">
        <f>IF(O43="","",IF(OR(LEFT(O43,4)="Cash",LEFT(O43,4)="Prov"),0,SUMIFS(Input_APM!N:N,Input_APM!L:L,Check!O43)))</f>
        <v>73</v>
      </c>
      <c r="Q43" s="22">
        <f>IF(O43="","",IF(LEN(O43)&gt;9,SUMIFS(Options!$H$3:$H$26,Options!$B$3:$B$26,Check!O43),SUMIFS('Master P&amp;L'!$H$11:$H$93,'Master P&amp;L'!$B$11:$B$93,Check!O43)))</f>
        <v>75</v>
      </c>
      <c r="R43" s="217">
        <f t="shared" si="1"/>
        <v>-2</v>
      </c>
      <c r="S43" s="361">
        <f t="shared" si="2"/>
        <v>0.97333333333333338</v>
      </c>
      <c r="V43" s="13"/>
    </row>
    <row r="44" spans="1:22">
      <c r="B44" t="s">
        <v>2353</v>
      </c>
      <c r="C44" s="233">
        <f>IF(B44="","",IF(LEN(B44)&gt;9,SUMIFS(Options!$H$3:$H$26,Options!$B$3:$B$26,Check!B44),SUMIFS('Master P&amp;L'!$H$11:$H$93,'Master P&amp;L'!$B$11:$B$93,Check!B44)))</f>
        <v>-150</v>
      </c>
      <c r="D44" s="233">
        <f>IF(B44="","",SUMIFS(Input_APM!N:N,Input_APM!L:L,Check!B44,Input_APM!M:M,Check!$F$1))</f>
        <v>-141</v>
      </c>
      <c r="E44" s="217">
        <f>IF(B44="","",C44-M44)</f>
        <v>0</v>
      </c>
      <c r="F44" s="233">
        <f>IF(B44="","",SUMIFS(Input_APM!N:N,Input_APM!M:M,Check!$F$1,Input_APM!L:L,Check!B44))</f>
        <v>-141</v>
      </c>
      <c r="G44" s="233">
        <f>IF(B44="","",SUMIFS(Input_APM!N:N,Input_APM!M:M,Check!$G$1,Input_APM!L:L,Check!B44))</f>
        <v>0</v>
      </c>
      <c r="H44" s="217">
        <f t="shared" si="0"/>
        <v>-141</v>
      </c>
      <c r="I44" s="217">
        <f>SUMIFS(Input_APM!N:N,Input_APM!L:L,Check!B44)</f>
        <v>-141</v>
      </c>
      <c r="J44" s="219">
        <f t="shared" si="3"/>
        <v>0</v>
      </c>
      <c r="K44" s="22">
        <f>IF(B44="","",SUMIFS('Input_APM (Zenith)'!N:N,'Input_APM (Zenith)'!L:L,Check!B44,'Input_APM (Zenith)'!M:M,Check!$F$1))</f>
        <v>-9</v>
      </c>
      <c r="L44" s="22">
        <f>IF(B44="","",SUMIFS('Input_APM (Zenith)'!N:N,'Input_APM (Zenith)'!L:L,Check!B44,'Input_APM (Zenith)'!M:M,Check!$G$1))</f>
        <v>0</v>
      </c>
      <c r="M44" s="217">
        <f t="shared" si="4"/>
        <v>-150</v>
      </c>
      <c r="O44" t="s">
        <v>138</v>
      </c>
      <c r="P44" s="217">
        <f>IF(O44="","",IF(OR(LEFT(O44,4)="Cash",LEFT(O44,4)="Prov"),0,SUMIFS(Input_APM!N:N,Input_APM!L:L,Check!O44)))</f>
        <v>-46</v>
      </c>
      <c r="Q44" s="22">
        <f>IF(O44="","",IF(LEN(O44)&gt;9,SUMIFS(Options!$H$3:$H$26,Options!$B$3:$B$26,Check!O44),SUMIFS('Master P&amp;L'!$H$11:$H$93,'Master P&amp;L'!$B$11:$B$93,Check!O44)))</f>
        <v>-49</v>
      </c>
      <c r="R44" s="217">
        <f t="shared" si="1"/>
        <v>3</v>
      </c>
      <c r="S44" s="361">
        <f t="shared" si="2"/>
        <v>0.93877551020408168</v>
      </c>
      <c r="V44" s="13"/>
    </row>
    <row r="45" spans="1:22">
      <c r="B45" t="s">
        <v>2352</v>
      </c>
      <c r="C45" s="233">
        <f>IF(B45="","",IF(LEN(B45)&gt;9,SUMIFS(Options!$H$3:$H$26,Options!$B$3:$B$26,Check!B45),SUMIFS('Master P&amp;L'!$H$11:$H$93,'Master P&amp;L'!$B$11:$B$93,Check!B45)))</f>
        <v>150</v>
      </c>
      <c r="D45" s="233">
        <f>IF(B45="","",SUMIFS(Input_APM!N:N,Input_APM!L:L,Check!B45,Input_APM!M:M,Check!$F$1))</f>
        <v>144</v>
      </c>
      <c r="E45" s="217">
        <f t="shared" si="5"/>
        <v>0</v>
      </c>
      <c r="F45" s="233">
        <f>IF(B45="","",SUMIFS(Input_APM!N:N,Input_APM!M:M,Check!$F$1,Input_APM!L:L,Check!B45))</f>
        <v>144</v>
      </c>
      <c r="G45" s="233">
        <f>IF(B45="","",SUMIFS(Input_APM!N:N,Input_APM!M:M,Check!$G$1,Input_APM!L:L,Check!B45))</f>
        <v>0</v>
      </c>
      <c r="H45" s="217">
        <f t="shared" si="0"/>
        <v>144</v>
      </c>
      <c r="I45" s="217">
        <f>SUMIFS(Input_APM!N:N,Input_APM!L:L,Check!B45)</f>
        <v>144</v>
      </c>
      <c r="J45" s="219">
        <f t="shared" si="3"/>
        <v>0</v>
      </c>
      <c r="K45" s="22">
        <f>IF(B45="","",SUMIFS('Input_APM (Zenith)'!N:N,'Input_APM (Zenith)'!L:L,Check!B45,'Input_APM (Zenith)'!M:M,Check!$F$1))</f>
        <v>6</v>
      </c>
      <c r="L45" s="22">
        <f>IF(B45="","",SUMIFS('Input_APM (Zenith)'!N:N,'Input_APM (Zenith)'!L:L,Check!B45,'Input_APM (Zenith)'!M:M,Check!$G$1))</f>
        <v>0</v>
      </c>
      <c r="M45" s="217">
        <f t="shared" si="4"/>
        <v>150</v>
      </c>
      <c r="O45" t="s">
        <v>2287</v>
      </c>
      <c r="P45" s="217">
        <f>IF(O45="","",IF(OR(LEFT(O45,4)="Cash",LEFT(O45,4)="Prov"),0,SUMIFS(Input_APM!N:N,Input_APM!L:L,Check!O45)))</f>
        <v>-141</v>
      </c>
      <c r="Q45" s="22">
        <f>IF(O45="","",IF(LEN(O45)&gt;9,SUMIFS(Options!$H$3:$H$26,Options!$B$3:$B$26,Check!O45),SUMIFS('Master P&amp;L'!$H$11:$H$93,'Master P&amp;L'!$B$11:$B$93,Check!O45)))</f>
        <v>-150</v>
      </c>
      <c r="R45" s="217">
        <f t="shared" si="1"/>
        <v>9</v>
      </c>
      <c r="S45" s="361">
        <f t="shared" si="2"/>
        <v>0.94</v>
      </c>
      <c r="V45" s="13"/>
    </row>
    <row r="46" spans="1:22">
      <c r="B46" t="s">
        <v>2351</v>
      </c>
      <c r="C46" s="233">
        <f>IF(B46="","",IF(LEN(B46)&gt;9,SUMIFS(Options!$H$3:$H$26,Options!$B$3:$B$26,Check!B46),SUMIFS('Master P&amp;L'!$H$11:$H$93,'Master P&amp;L'!$B$11:$B$93,Check!B46)))</f>
        <v>-150</v>
      </c>
      <c r="D46" s="233">
        <f>IF(B46="","",SUMIFS(Input_APM!N:N,Input_APM!L:L,Check!B46,Input_APM!M:M,Check!$F$1))</f>
        <v>-141</v>
      </c>
      <c r="E46" s="219">
        <f t="shared" si="5"/>
        <v>0</v>
      </c>
      <c r="F46" s="233">
        <f>IF(B46="","",SUMIFS(Input_APM!N:N,Input_APM!M:M,Check!$F$1,Input_APM!L:L,Check!B46))</f>
        <v>-141</v>
      </c>
      <c r="G46" s="233">
        <f>IF(B46="","",SUMIFS(Input_APM!N:N,Input_APM!M:M,Check!$G$1,Input_APM!L:L,Check!B46))</f>
        <v>0</v>
      </c>
      <c r="H46" s="217">
        <f t="shared" si="0"/>
        <v>-141</v>
      </c>
      <c r="I46" s="217">
        <f>SUMIFS(Input_APM!N:N,Input_APM!L:L,Check!B46)</f>
        <v>-141</v>
      </c>
      <c r="J46" s="219">
        <f t="shared" si="3"/>
        <v>0</v>
      </c>
      <c r="K46" s="22">
        <f>IF(B46="","",SUMIFS('Input_APM (Zenith)'!N:N,'Input_APM (Zenith)'!L:L,Check!B46,'Input_APM (Zenith)'!M:M,Check!$F$1))</f>
        <v>-9</v>
      </c>
      <c r="L46" s="22">
        <f>IF(B46="","",SUMIFS('Input_APM (Zenith)'!N:N,'Input_APM (Zenith)'!L:L,Check!B46,'Input_APM (Zenith)'!M:M,Check!$G$1))</f>
        <v>0</v>
      </c>
      <c r="M46" s="217">
        <f t="shared" si="4"/>
        <v>-150</v>
      </c>
      <c r="O46" t="s">
        <v>2098</v>
      </c>
      <c r="P46" s="217">
        <f>IF(O46="","",IF(OR(LEFT(O46,4)="Cash",LEFT(O46,4)="Prov"),0,SUMIFS(Input_APM!N:N,Input_APM!L:L,Check!O46)))</f>
        <v>-188</v>
      </c>
      <c r="Q46" s="22">
        <f>IF(O46="","",IF(LEN(O46)&gt;9,SUMIFS(Options!$H$3:$H$26,Options!$B$3:$B$26,Check!O46),SUMIFS('Master P&amp;L'!$H$11:$H$93,'Master P&amp;L'!$B$11:$B$93,Check!O46)))</f>
        <v>-200</v>
      </c>
      <c r="R46" s="217">
        <f t="shared" si="1"/>
        <v>12</v>
      </c>
      <c r="S46" s="361">
        <f t="shared" si="2"/>
        <v>0.94</v>
      </c>
      <c r="V46" s="13"/>
    </row>
    <row r="47" spans="1:22">
      <c r="B47" t="s">
        <v>2228</v>
      </c>
      <c r="C47" s="233">
        <f>IF(B47="","",IF(LEN(B47)&gt;9,SUMIFS(Options!$H$3:$H$26,Options!$B$3:$B$26,Check!B47),SUMIFS('Master P&amp;L'!$H$11:$H$93,'Master P&amp;L'!$B$11:$B$93,Check!B47)))</f>
        <v>1550</v>
      </c>
      <c r="D47" s="233">
        <f>IF(B47="","",SUMIFS(Input_APM!N:N,Input_APM!L:L,Check!B47,Input_APM!M:M,Check!$F$1))</f>
        <v>1453</v>
      </c>
      <c r="E47" s="219">
        <f t="shared" si="5"/>
        <v>0</v>
      </c>
      <c r="F47" s="233">
        <f>IF(B47="","",SUMIFS(Input_APM!N:N,Input_APM!M:M,Check!$F$1,Input_APM!L:L,Check!B47))</f>
        <v>1453</v>
      </c>
      <c r="G47" s="233">
        <f>IF(B47="","",SUMIFS(Input_APM!N:N,Input_APM!M:M,Check!$G$1,Input_APM!L:L,Check!B47))</f>
        <v>0</v>
      </c>
      <c r="H47" s="217">
        <f t="shared" si="0"/>
        <v>1453</v>
      </c>
      <c r="I47" s="217">
        <f>SUMIFS(Input_APM!N:N,Input_APM!L:L,Check!B47)</f>
        <v>1453</v>
      </c>
      <c r="J47" s="219">
        <f t="shared" si="3"/>
        <v>0</v>
      </c>
      <c r="K47" s="22">
        <f>IF(B47="","",SUMIFS('Input_APM (Zenith)'!N:N,'Input_APM (Zenith)'!L:L,Check!B47,'Input_APM (Zenith)'!M:M,Check!$F$1))</f>
        <v>97</v>
      </c>
      <c r="L47" s="22">
        <f>IF(B47="","",SUMIFS('Input_APM (Zenith)'!N:N,'Input_APM (Zenith)'!L:L,Check!B47,'Input_APM (Zenith)'!M:M,Check!$G$1))</f>
        <v>0</v>
      </c>
      <c r="M47" s="217">
        <f t="shared" si="4"/>
        <v>1550</v>
      </c>
      <c r="O47" t="s">
        <v>2058</v>
      </c>
      <c r="P47" s="217">
        <f>IF(O47="","",IF(OR(LEFT(O47,4)="Cash",LEFT(O47,4)="Prov"),0,SUMIFS(Input_APM!N:N,Input_APM!L:L,Check!O47)))</f>
        <v>141</v>
      </c>
      <c r="Q47" s="22">
        <f>IF(O47="","",IF(LEN(O47)&gt;9,SUMIFS(Options!$H$3:$H$26,Options!$B$3:$B$26,Check!O47),SUMIFS('Master P&amp;L'!$H$11:$H$93,'Master P&amp;L'!$B$11:$B$93,Check!O47)))</f>
        <v>150</v>
      </c>
      <c r="R47" s="217">
        <f t="shared" si="1"/>
        <v>-9</v>
      </c>
      <c r="S47" s="361">
        <f t="shared" si="2"/>
        <v>0.94</v>
      </c>
    </row>
    <row r="48" spans="1:22">
      <c r="B48" t="s">
        <v>2229</v>
      </c>
      <c r="C48" s="233">
        <f>IF(B48="","",IF(LEN(B48)&gt;9,SUMIFS(Options!$H$3:$H$26,Options!$B$3:$B$26,Check!B48),SUMIFS('Master P&amp;L'!$H$11:$H$93,'Master P&amp;L'!$B$11:$B$93,Check!B48)))</f>
        <v>-1400</v>
      </c>
      <c r="D48" s="233">
        <f>IF(B48="","",SUMIFS(Input_APM!N:N,Input_APM!L:L,Check!B48,Input_APM!M:M,Check!$F$1))</f>
        <v>-1312</v>
      </c>
      <c r="E48" s="219">
        <f t="shared" si="5"/>
        <v>0</v>
      </c>
      <c r="F48" s="233">
        <f>IF(B48="","",SUMIFS(Input_APM!N:N,Input_APM!M:M,Check!$F$1,Input_APM!L:L,Check!B48))</f>
        <v>-1312</v>
      </c>
      <c r="G48" s="233">
        <f>IF(B48="","",SUMIFS(Input_APM!N:N,Input_APM!M:M,Check!$G$1,Input_APM!L:L,Check!B48))</f>
        <v>0</v>
      </c>
      <c r="H48" s="217">
        <f t="shared" si="0"/>
        <v>-1312</v>
      </c>
      <c r="I48" s="217">
        <f>SUMIFS(Input_APM!N:N,Input_APM!L:L,Check!B48)</f>
        <v>-1312</v>
      </c>
      <c r="J48" s="219">
        <f t="shared" si="3"/>
        <v>0</v>
      </c>
      <c r="K48" s="22">
        <f>IF(B48="","",SUMIFS('Input_APM (Zenith)'!N:N,'Input_APM (Zenith)'!L:L,Check!B48,'Input_APM (Zenith)'!M:M,Check!$F$1))</f>
        <v>-88</v>
      </c>
      <c r="L48" s="22">
        <f>IF(B48="","",SUMIFS('Input_APM (Zenith)'!N:N,'Input_APM (Zenith)'!L:L,Check!B48,'Input_APM (Zenith)'!M:M,Check!$G$1))</f>
        <v>0</v>
      </c>
      <c r="M48" s="217">
        <f t="shared" si="4"/>
        <v>-1400</v>
      </c>
      <c r="O48" t="s">
        <v>2097</v>
      </c>
      <c r="P48" s="217">
        <f>IF(O48="","",IF(OR(LEFT(O48,4)="Cash",LEFT(O48,4)="Prov"),0,SUMIFS(Input_APM!N:N,Input_APM!L:L,Check!O48)))</f>
        <v>186</v>
      </c>
      <c r="Q48" s="22">
        <f>IF(O48="","",IF(LEN(O48)&gt;9,SUMIFS(Options!$H$3:$H$26,Options!$B$3:$B$26,Check!O48),SUMIFS('Master P&amp;L'!$H$11:$H$93,'Master P&amp;L'!$B$11:$B$93,Check!O48)))</f>
        <v>200</v>
      </c>
      <c r="R48" s="217">
        <f t="shared" si="1"/>
        <v>-14</v>
      </c>
      <c r="S48" s="361">
        <f t="shared" si="2"/>
        <v>0.93</v>
      </c>
    </row>
    <row r="49" spans="1:19">
      <c r="B49"/>
      <c r="C49" s="233" t="str">
        <f>IF(B49="","",IF(LEN(B49)&gt;9,SUMIFS(Options!$H$3:$H$26,Options!$B$3:$B$26,Check!B49),SUMIFS('Master P&amp;L'!$H$11:$H$93,'Master P&amp;L'!$B$11:$B$93,Check!B49)))</f>
        <v/>
      </c>
      <c r="D49" s="233" t="str">
        <f>IF(B49="","",SUMIFS(Input_APM!N:N,Input_APM!L:L,Check!B49,Input_APM!M:M,Check!$F$1))</f>
        <v/>
      </c>
      <c r="E49" s="219" t="str">
        <f t="shared" si="5"/>
        <v/>
      </c>
      <c r="F49" s="233" t="str">
        <f>IF(B49="","",SUMIFS(Input_APM!N:N,Input_APM!M:M,Check!$F$1,Input_APM!L:L,Check!B49))</f>
        <v/>
      </c>
      <c r="G49" s="233" t="str">
        <f>IF(B49="","",SUMIFS(Input_APM!N:N,Input_APM!M:M,Check!$G$1,Input_APM!L:L,Check!B49))</f>
        <v/>
      </c>
      <c r="H49" s="217" t="str">
        <f t="shared" si="0"/>
        <v/>
      </c>
      <c r="I49" s="217">
        <f>SUMIFS(Input_APM!N:N,Input_APM!L:L,Check!B49)</f>
        <v>0</v>
      </c>
      <c r="J49" s="219" t="str">
        <f t="shared" si="3"/>
        <v/>
      </c>
      <c r="K49" s="22" t="str">
        <f>IF(B49="","",SUMIFS('Input_APM (Zenith)'!N:N,'Input_APM (Zenith)'!L:L,Check!B49,'Input_APM (Zenith)'!M:M,Check!$F$1))</f>
        <v/>
      </c>
      <c r="L49" s="22" t="str">
        <f>IF(B49="","",SUMIFS('Input_APM (Zenith)'!N:N,'Input_APM (Zenith)'!L:L,Check!B49,'Input_APM (Zenith)'!M:M,Check!$G$1))</f>
        <v/>
      </c>
      <c r="M49" s="217" t="str">
        <f t="shared" si="4"/>
        <v/>
      </c>
      <c r="O49" t="s">
        <v>90</v>
      </c>
      <c r="P49" s="217">
        <f>IF(O49="","",IF(OR(LEFT(O49,4)="Cash",LEFT(O49,4)="Prov"),0,SUMIFS(Input_APM!N:N,Input_APM!L:L,Check!O49)))</f>
        <v>2285</v>
      </c>
      <c r="Q49" s="22">
        <f>IF(O49="","",IF(LEN(O49)&gt;9,SUMIFS(Options!$H$3:$H$26,Options!$B$3:$B$26,Check!O49),SUMIFS('Master P&amp;L'!$H$11:$H$93,'Master P&amp;L'!$B$11:$B$93,Check!O49)))</f>
        <v>1200</v>
      </c>
      <c r="R49" s="217">
        <f t="shared" si="1"/>
        <v>1085</v>
      </c>
      <c r="S49" s="361">
        <f t="shared" si="2"/>
        <v>1.9041666666666666</v>
      </c>
    </row>
    <row r="50" spans="1:19">
      <c r="A50" t="s">
        <v>1770</v>
      </c>
      <c r="B50"/>
      <c r="C50" s="233" t="str">
        <f>IF(B50="","",IF(LEN(B50)&gt;9,SUMIFS(Options!$H$3:$H$26,Options!$B$3:$B$26,Check!B50),SUMIFS('Master P&amp;L'!$H$11:$H$93,'Master P&amp;L'!$B$11:$B$93,Check!B50)))</f>
        <v/>
      </c>
      <c r="D50" s="233" t="str">
        <f>IF(B50="","",SUMIFS(Input_APM!N:N,Input_APM!L:L,Check!B50,Input_APM!M:M,Check!$F$1))</f>
        <v/>
      </c>
      <c r="E50" s="219" t="str">
        <f t="shared" si="5"/>
        <v/>
      </c>
      <c r="F50" s="233" t="str">
        <f>IF(B50="","",SUMIFS(Input_APM!N:N,Input_APM!M:M,Check!$F$1,Input_APM!L:L,Check!B50))</f>
        <v/>
      </c>
      <c r="G50" s="233" t="str">
        <f>IF(B50="","",SUMIFS(Input_APM!N:N,Input_APM!M:M,Check!$G$1,Input_APM!L:L,Check!B50))</f>
        <v/>
      </c>
      <c r="H50" s="217" t="str">
        <f t="shared" si="0"/>
        <v/>
      </c>
      <c r="I50" s="217">
        <f>SUMIFS(Input_APM!N:N,Input_APM!L:L,Check!B50)</f>
        <v>0</v>
      </c>
      <c r="J50" s="219" t="str">
        <f t="shared" si="3"/>
        <v/>
      </c>
      <c r="K50" s="22" t="str">
        <f>IF(B50="","",SUMIFS('Input_APM (Zenith)'!N:N,'Input_APM (Zenith)'!L:L,Check!B50,'Input_APM (Zenith)'!M:M,Check!$F$1))</f>
        <v/>
      </c>
      <c r="L50" s="22" t="str">
        <f>IF(B50="","",SUMIFS('Input_APM (Zenith)'!N:N,'Input_APM (Zenith)'!L:L,Check!B50,'Input_APM (Zenith)'!M:M,Check!$G$1))</f>
        <v/>
      </c>
      <c r="M50" s="217" t="str">
        <f t="shared" si="4"/>
        <v/>
      </c>
      <c r="O50" t="s">
        <v>2049</v>
      </c>
      <c r="P50" s="217">
        <f>IF(O50="","",IF(OR(LEFT(O50,4)="Cash",LEFT(O50,4)="Prov"),0,SUMIFS(Input_APM!N:N,Input_APM!L:L,Check!O50)))</f>
        <v>-46</v>
      </c>
      <c r="Q50" s="22">
        <f>IF(O50="","",IF(LEN(O50)&gt;9,SUMIFS(Options!$H$3:$H$26,Options!$B$3:$B$26,Check!O50),SUMIFS('Master P&amp;L'!$H$11:$H$93,'Master P&amp;L'!$B$11:$B$93,Check!O50)))</f>
        <v>-50</v>
      </c>
      <c r="R50" s="217">
        <f t="shared" si="1"/>
        <v>4</v>
      </c>
      <c r="S50" s="361">
        <f t="shared" si="2"/>
        <v>0.92</v>
      </c>
    </row>
    <row r="51" spans="1:19">
      <c r="B51"/>
      <c r="C51" s="233" t="str">
        <f>IF(B51="","",IF(LEN(B51)&gt;9,SUMIFS(Options!$H$3:$H$26,Options!$B$3:$B$26,Check!B51),SUMIFS('Master P&amp;L'!$H$11:$H$93,'Master P&amp;L'!$B$11:$B$93,Check!B51)))</f>
        <v/>
      </c>
      <c r="D51" s="233" t="str">
        <f>IF(B51="","",SUMIFS(Input_APM!N:N,Input_APM!L:L,Check!B51,Input_APM!M:M,Check!$F$1))</f>
        <v/>
      </c>
      <c r="E51" s="219" t="str">
        <f t="shared" si="5"/>
        <v/>
      </c>
      <c r="F51" s="233" t="str">
        <f>IF(B51="","",SUMIFS(Input_APM!N:N,Input_APM!M:M,Check!$F$1,Input_APM!L:L,Check!B51))</f>
        <v/>
      </c>
      <c r="G51" s="233" t="str">
        <f>IF(B51="","",SUMIFS(Input_APM!N:N,Input_APM!M:M,Check!$G$1,Input_APM!L:L,Check!B51))</f>
        <v/>
      </c>
      <c r="H51" s="217" t="str">
        <f t="shared" si="0"/>
        <v/>
      </c>
      <c r="I51" s="217">
        <f>SUMIFS(Input_APM!N:N,Input_APM!L:L,Check!B51)</f>
        <v>0</v>
      </c>
      <c r="J51" s="219" t="str">
        <f t="shared" si="3"/>
        <v/>
      </c>
      <c r="K51" s="22" t="str">
        <f>IF(B51="","",SUMIFS('Input_APM (Zenith)'!N:N,'Input_APM (Zenith)'!L:L,Check!B51,'Input_APM (Zenith)'!M:M,Check!$F$1))</f>
        <v/>
      </c>
      <c r="L51" s="22" t="str">
        <f>IF(B51="","",SUMIFS('Input_APM (Zenith)'!N:N,'Input_APM (Zenith)'!L:L,Check!B51,'Input_APM (Zenith)'!M:M,Check!$G$1))</f>
        <v/>
      </c>
      <c r="M51" s="217" t="str">
        <f t="shared" si="4"/>
        <v/>
      </c>
      <c r="O51" t="s">
        <v>2309</v>
      </c>
      <c r="P51" s="217">
        <f>IF(O51="","",IF(OR(LEFT(O51,4)="Cash",LEFT(O51,4)="Prov"),0,SUMIFS(Input_APM!N:N,Input_APM!L:L,Check!O51)))</f>
        <v>0</v>
      </c>
      <c r="Q51" s="22">
        <f>IF(O51="","",IF(LEN(O51)&gt;9,SUMIFS(Options!$H$3:$H$26,Options!$B$3:$B$26,Check!O51),SUMIFS('Master P&amp;L'!$H$11:$H$93,'Master P&amp;L'!$B$11:$B$93,Check!O51)))</f>
        <v>0</v>
      </c>
      <c r="R51" s="217">
        <f t="shared" si="1"/>
        <v>0</v>
      </c>
      <c r="S51" s="361" t="str">
        <f t="shared" si="2"/>
        <v>Ok</v>
      </c>
    </row>
    <row r="52" spans="1:19">
      <c r="B52"/>
      <c r="C52" s="233" t="str">
        <f>IF(B52="","",IF(LEN(B52)&gt;9,SUMIFS(Options!$H$3:$H$26,Options!$B$3:$B$26,Check!B52),SUMIFS('Master P&amp;L'!$H$11:$H$93,'Master P&amp;L'!$B$11:$B$93,Check!B52)))</f>
        <v/>
      </c>
      <c r="D52" s="233" t="str">
        <f>IF(B52="","",SUMIFS(Input_APM!N:N,Input_APM!L:L,Check!B52,Input_APM!M:M,Check!$F$1))</f>
        <v/>
      </c>
      <c r="E52" s="217" t="str">
        <f>IF(B52="","",C52-M52)</f>
        <v/>
      </c>
      <c r="F52" s="233" t="str">
        <f>IF(B52="","",SUMIFS(Input_APM!N:N,Input_APM!M:M,Check!$F$1,Input_APM!L:L,Check!B52))</f>
        <v/>
      </c>
      <c r="G52" s="233" t="str">
        <f>IF(B52="","",SUMIFS(Input_APM!N:N,Input_APM!M:M,Check!$G$1,Input_APM!L:L,Check!B52))</f>
        <v/>
      </c>
      <c r="H52" s="217" t="str">
        <f t="shared" si="0"/>
        <v/>
      </c>
      <c r="I52" s="217">
        <f>SUMIFS(Input_APM!N:N,Input_APM!L:L,Check!B52)</f>
        <v>0</v>
      </c>
      <c r="J52" s="219" t="str">
        <f t="shared" si="3"/>
        <v/>
      </c>
      <c r="K52" s="22" t="str">
        <f>IF(B52="","",SUMIFS('Input_APM (Zenith)'!N:N,'Input_APM (Zenith)'!L:L,Check!B52,'Input_APM (Zenith)'!M:M,Check!$F$1))</f>
        <v/>
      </c>
      <c r="L52" s="22" t="str">
        <f>IF(B52="","",SUMIFS('Input_APM (Zenith)'!N:N,'Input_APM (Zenith)'!L:L,Check!B52,'Input_APM (Zenith)'!M:M,Check!$G$1))</f>
        <v/>
      </c>
      <c r="M52" s="217" t="str">
        <f t="shared" si="4"/>
        <v/>
      </c>
      <c r="O52" t="s">
        <v>2354</v>
      </c>
      <c r="P52" s="217">
        <f>IF(O52="","",IF(OR(LEFT(O52,4)="Cash",LEFT(O52,4)="Prov"),0,SUMIFS(Input_APM!N:N,Input_APM!L:L,Check!O52)))</f>
        <v>119</v>
      </c>
      <c r="Q52" s="22">
        <f>IF(O52="","",IF(LEN(O52)&gt;9,SUMIFS(Options!$H$3:$H$26,Options!$B$3:$B$26,Check!O52),SUMIFS('Master P&amp;L'!$H$11:$H$93,'Master P&amp;L'!$B$11:$B$93,Check!O52)))</f>
        <v>75</v>
      </c>
      <c r="R52" s="217">
        <f t="shared" si="1"/>
        <v>44</v>
      </c>
      <c r="S52" s="361">
        <f t="shared" si="2"/>
        <v>1.5866666666666667</v>
      </c>
    </row>
    <row r="53" spans="1:19">
      <c r="B53"/>
      <c r="C53" s="233" t="str">
        <f>IF(B53="","",IF(LEN(B53)&gt;9,SUMIFS(Options!$H$3:$H$26,Options!$B$3:$B$26,Check!B53),SUMIFS('Master P&amp;L'!$H$11:$H$93,'Master P&amp;L'!$B$11:$B$93,Check!B53)))</f>
        <v/>
      </c>
      <c r="D53" s="233" t="str">
        <f>IF(B53="","",SUMIFS(Input_APM!N:N,Input_APM!L:L,Check!B53,Input_APM!M:M,Check!$F$1))</f>
        <v/>
      </c>
      <c r="E53" s="217" t="str">
        <f>IF(B53="","",C53-M53)</f>
        <v/>
      </c>
      <c r="F53" s="233" t="str">
        <f>IF(B53="","",SUMIFS(Input_APM!N:N,Input_APM!M:M,Check!$F$1,Input_APM!L:L,Check!B53))</f>
        <v/>
      </c>
      <c r="G53" s="233" t="str">
        <f>IF(B53="","",SUMIFS(Input_APM!N:N,Input_APM!M:M,Check!$G$1,Input_APM!L:L,Check!B53))</f>
        <v/>
      </c>
      <c r="H53" s="217" t="str">
        <f t="shared" si="0"/>
        <v/>
      </c>
      <c r="I53" s="217">
        <f>SUMIFS(Input_APM!N:N,Input_APM!L:L,Check!B53)</f>
        <v>0</v>
      </c>
      <c r="J53" s="219" t="str">
        <f t="shared" si="3"/>
        <v/>
      </c>
      <c r="K53" s="22" t="str">
        <f>IF(B53="","",SUMIFS('Input_APM (Zenith)'!N:N,'Input_APM (Zenith)'!L:L,Check!B53,'Input_APM (Zenith)'!M:M,Check!$F$1))</f>
        <v/>
      </c>
      <c r="L53" s="22" t="str">
        <f>IF(B53="","",SUMIFS('Input_APM (Zenith)'!N:N,'Input_APM (Zenith)'!L:L,Check!B53,'Input_APM (Zenith)'!M:M,Check!$G$1))</f>
        <v/>
      </c>
      <c r="M53" s="217" t="str">
        <f>IF(B53="","",F53+G53+K53+L53)</f>
        <v/>
      </c>
      <c r="O53" t="s">
        <v>94</v>
      </c>
      <c r="P53" s="217">
        <f>IF(O53="","",IF(OR(LEFT(O53,4)="Cash",LEFT(O53,4)="Prov"),0,SUMIFS(Input_APM!N:N,Input_APM!L:L,Check!O53)))</f>
        <v>21522</v>
      </c>
      <c r="Q53" s="22">
        <f>IF(O53="","",IF(LEN(O53)&gt;9,SUMIFS(Options!$H$3:$H$26,Options!$B$3:$B$26,Check!O53),SUMIFS('Master P&amp;L'!$H$11:$H$93,'Master P&amp;L'!$B$11:$B$93,Check!O53)))</f>
        <v>23008</v>
      </c>
      <c r="R53" s="217">
        <f t="shared" si="1"/>
        <v>-1486</v>
      </c>
      <c r="S53" s="361">
        <f t="shared" si="2"/>
        <v>0.93541376912378305</v>
      </c>
    </row>
    <row r="54" spans="1:19">
      <c r="B54"/>
      <c r="C54" s="233" t="str">
        <f>IF(B54="","",IF(LEN(B54)&gt;9,SUMIFS(Options!$H$3:$H$26,Options!$B$3:$B$26,Check!B54),SUMIFS('Master P&amp;L'!$H$11:$H$93,'Master P&amp;L'!$B$11:$B$93,Check!B54)))</f>
        <v/>
      </c>
      <c r="D54" s="233" t="str">
        <f>IF(B54="","",SUMIFS(Input_APM!N:N,Input_APM!L:L,Check!B54,Input_APM!M:M,Check!$F$1))</f>
        <v/>
      </c>
      <c r="E54" s="219" t="str">
        <f t="shared" si="5"/>
        <v/>
      </c>
      <c r="F54" s="233" t="str">
        <f>IF(B54="","",SUMIFS(Input_APM!N:N,Input_APM!M:M,Check!$F$1,Input_APM!L:L,Check!B54))</f>
        <v/>
      </c>
      <c r="G54" s="233" t="str">
        <f>IF(B54="","",SUMIFS(Input_APM!N:N,Input_APM!M:M,Check!$G$1,Input_APM!L:L,Check!B54))</f>
        <v/>
      </c>
      <c r="H54" s="217" t="str">
        <f t="shared" si="0"/>
        <v/>
      </c>
      <c r="I54" s="217">
        <f>SUMIFS(Input_APM!N:N,Input_APM!L:L,Check!B54)</f>
        <v>0</v>
      </c>
      <c r="J54" s="219" t="str">
        <f t="shared" si="3"/>
        <v/>
      </c>
      <c r="K54" s="22" t="str">
        <f>IF(B54="","",SUMIFS('Input_APM (Zenith)'!N:N,'Input_APM (Zenith)'!L:L,Check!B54,'Input_APM (Zenith)'!M:M,Check!$F$1))</f>
        <v/>
      </c>
      <c r="L54" s="22" t="str">
        <f>IF(B54="","",SUMIFS('Input_APM (Zenith)'!N:N,'Input_APM (Zenith)'!L:L,Check!B54,'Input_APM (Zenith)'!M:M,Check!$G$1))</f>
        <v/>
      </c>
      <c r="M54" s="217" t="str">
        <f t="shared" si="4"/>
        <v/>
      </c>
      <c r="O54" t="s">
        <v>2311</v>
      </c>
      <c r="P54" s="217">
        <f>IF(O54="","",IF(OR(LEFT(O54,4)="Cash",LEFT(O54,4)="Prov"),0,SUMIFS(Input_APM!N:N,Input_APM!L:L,Check!O54)))</f>
        <v>0</v>
      </c>
      <c r="Q54" s="22">
        <f>IF(O54="","",IF(LEN(O54)&gt;9,SUMIFS(Options!$H$3:$H$26,Options!$B$3:$B$26,Check!O54),SUMIFS('Master P&amp;L'!$H$11:$H$93,'Master P&amp;L'!$B$11:$B$93,Check!O54)))</f>
        <v>0</v>
      </c>
      <c r="R54" s="217">
        <f t="shared" si="1"/>
        <v>0</v>
      </c>
      <c r="S54" s="361" t="str">
        <f t="shared" si="2"/>
        <v>Ok</v>
      </c>
    </row>
    <row r="55" spans="1:19">
      <c r="B55"/>
      <c r="C55" s="233" t="str">
        <f>IF(B55="","",IF(LEN(B55)&gt;9,SUMIFS(Options!$H$3:$H$26,Options!$B$3:$B$26,Check!B55),SUMIFS('Master P&amp;L'!$H$11:$H$93,'Master P&amp;L'!$B$11:$B$93,Check!B55)))</f>
        <v/>
      </c>
      <c r="D55" s="233" t="str">
        <f>IF(B55="","",SUMIFS(Input_APM!N:N,Input_APM!L:L,Check!B55,Input_APM!M:M,Check!$F$1))</f>
        <v/>
      </c>
      <c r="E55" s="219" t="str">
        <f t="shared" si="5"/>
        <v/>
      </c>
      <c r="F55" s="233" t="str">
        <f>IF(B55="","",SUMIFS(Input_APM!N:N,Input_APM!M:M,Check!$F$1,Input_APM!L:L,Check!B55))</f>
        <v/>
      </c>
      <c r="G55" s="233" t="str">
        <f>IF(B55="","",SUMIFS(Input_APM!N:N,Input_APM!M:M,Check!$G$1,Input_APM!L:L,Check!B55))</f>
        <v/>
      </c>
      <c r="H55" s="217" t="str">
        <f t="shared" si="0"/>
        <v/>
      </c>
      <c r="I55" s="217">
        <f>SUMIFS(Input_APM!N:N,Input_APM!L:L,Check!B55)</f>
        <v>0</v>
      </c>
      <c r="J55" s="219" t="str">
        <f t="shared" si="3"/>
        <v/>
      </c>
      <c r="K55" s="22" t="str">
        <f>IF(B55="","",SUMIFS('Input_APM (Zenith)'!N:N,'Input_APM (Zenith)'!L:L,Check!B55,'Input_APM (Zenith)'!M:M,Check!$F$1))</f>
        <v/>
      </c>
      <c r="L55" s="22" t="str">
        <f>IF(B55="","",SUMIFS('Input_APM (Zenith)'!N:N,'Input_APM (Zenith)'!L:L,Check!B55,'Input_APM (Zenith)'!M:M,Check!$G$1))</f>
        <v/>
      </c>
      <c r="M55" s="217" t="str">
        <f t="shared" si="4"/>
        <v/>
      </c>
      <c r="O55" t="s">
        <v>336</v>
      </c>
      <c r="P55" s="217">
        <f>IF(O55="","",IF(OR(LEFT(O55,4)="Cash",LEFT(O55,4)="Prov"),0,SUMIFS(Input_APM!N:N,Input_APM!L:L,Check!O55)))</f>
        <v>0</v>
      </c>
      <c r="Q55" s="22">
        <f>IF(O55="","",IF(LEN(O55)&gt;9,SUMIFS(Options!$H$3:$H$26,Options!$B$3:$B$26,Check!O55),SUMIFS('Master P&amp;L'!$H$11:$H$93,'Master P&amp;L'!$B$11:$B$93,Check!O55)))</f>
        <v>0</v>
      </c>
      <c r="R55" s="217">
        <f t="shared" si="1"/>
        <v>0</v>
      </c>
      <c r="S55" s="361" t="str">
        <f t="shared" si="2"/>
        <v>Ok</v>
      </c>
    </row>
    <row r="56" spans="1:19">
      <c r="B56"/>
      <c r="C56" s="233" t="str">
        <f>IF(B56="","",IF(LEN(B56)&gt;9,SUMIFS(Options!$H$3:$H$26,Options!$B$3:$B$26,Check!B56),SUMIFS('Master P&amp;L'!$H$11:$H$93,'Master P&amp;L'!$B$11:$B$93,Check!B56)))</f>
        <v/>
      </c>
      <c r="D56" s="233" t="str">
        <f>IF(B56="","",SUMIFS(Input_APM!N:N,Input_APM!L:L,Check!B56,Input_APM!M:M,Check!$F$1))</f>
        <v/>
      </c>
      <c r="E56" s="219" t="str">
        <f t="shared" si="5"/>
        <v/>
      </c>
      <c r="F56" s="233" t="str">
        <f>IF(B56="","",SUMIFS(Input_APM!N:N,Input_APM!M:M,Check!$F$1,Input_APM!L:L,Check!B56))</f>
        <v/>
      </c>
      <c r="G56" s="233" t="str">
        <f>IF(B56="","",SUMIFS(Input_APM!N:N,Input_APM!M:M,Check!$G$1,Input_APM!L:L,Check!B56))</f>
        <v/>
      </c>
      <c r="H56" s="217" t="str">
        <f t="shared" si="0"/>
        <v/>
      </c>
      <c r="I56" s="217">
        <f>SUMIFS(Input_APM!N:N,Input_APM!L:L,Check!B56)</f>
        <v>0</v>
      </c>
      <c r="J56" s="219" t="str">
        <f t="shared" si="3"/>
        <v/>
      </c>
      <c r="K56" s="22" t="str">
        <f>IF(B56="","",SUMIFS('Input_APM (Zenith)'!N:N,'Input_APM (Zenith)'!L:L,Check!B56,'Input_APM (Zenith)'!M:M,Check!$F$1))</f>
        <v/>
      </c>
      <c r="L56" s="22" t="str">
        <f>IF(B56="","",SUMIFS('Input_APM (Zenith)'!N:N,'Input_APM (Zenith)'!L:L,Check!B56,'Input_APM (Zenith)'!M:M,Check!$G$1))</f>
        <v/>
      </c>
      <c r="M56" s="217" t="str">
        <f t="shared" si="4"/>
        <v/>
      </c>
      <c r="O56" t="s">
        <v>306</v>
      </c>
      <c r="P56" s="217">
        <f>IF(O56="","",IF(OR(LEFT(O56,4)="Cash",LEFT(O56,4)="Prov"),0,SUMIFS(Input_APM!N:N,Input_APM!L:L,Check!O56)))</f>
        <v>0</v>
      </c>
      <c r="Q56" s="22">
        <f>IF(O56="","",IF(LEN(O56)&gt;9,SUMIFS(Options!$H$3:$H$26,Options!$B$3:$B$26,Check!O56),SUMIFS('Master P&amp;L'!$H$11:$H$93,'Master P&amp;L'!$B$11:$B$93,Check!O56)))</f>
        <v>0</v>
      </c>
      <c r="R56" s="217">
        <f t="shared" si="1"/>
        <v>0</v>
      </c>
      <c r="S56" s="361" t="str">
        <f t="shared" si="2"/>
        <v>Ok</v>
      </c>
    </row>
    <row r="57" spans="1:19">
      <c r="B57"/>
      <c r="C57" s="233" t="str">
        <f>IF(B57="","",IF(LEN(B57)&gt;9,SUMIFS(Options!$H$3:$H$26,Options!$B$3:$B$26,Check!B57),SUMIFS('Master P&amp;L'!$H$11:$H$93,'Master P&amp;L'!$B$11:$B$93,Check!B57)))</f>
        <v/>
      </c>
      <c r="D57" s="233" t="str">
        <f>IF(B57="","",SUMIFS(Input_APM!N:N,Input_APM!L:L,Check!B57,Input_APM!M:M,Check!$F$1))</f>
        <v/>
      </c>
      <c r="E57" s="219" t="str">
        <f>IF(B57="","",C57-M57)</f>
        <v/>
      </c>
      <c r="F57" s="233" t="str">
        <f>IF(B57="","",SUMIFS(Input_APM!N:N,Input_APM!M:M,Check!$F$1,Input_APM!L:L,Check!B57))</f>
        <v/>
      </c>
      <c r="G57" s="233" t="str">
        <f>IF(B57="","",SUMIFS(Input_APM!N:N,Input_APM!M:M,Check!$G$1,Input_APM!L:L,Check!B57))</f>
        <v/>
      </c>
      <c r="H57" s="217" t="str">
        <f t="shared" si="0"/>
        <v/>
      </c>
      <c r="I57" s="217">
        <f>SUMIFS(Input_APM!N:N,Input_APM!L:L,Check!B57)</f>
        <v>0</v>
      </c>
      <c r="J57" s="219" t="str">
        <f t="shared" si="3"/>
        <v/>
      </c>
      <c r="K57" s="22" t="str">
        <f>IF(B57="","",SUMIFS('Input_APM (Zenith)'!N:N,'Input_APM (Zenith)'!L:L,Check!B57,'Input_APM (Zenith)'!M:M,Check!$F$1))</f>
        <v/>
      </c>
      <c r="L57" s="22" t="str">
        <f>IF(B57="","",SUMIFS('Input_APM (Zenith)'!N:N,'Input_APM (Zenith)'!L:L,Check!B57,'Input_APM (Zenith)'!M:M,Check!$G$1))</f>
        <v/>
      </c>
      <c r="M57" s="217" t="str">
        <f t="shared" si="4"/>
        <v/>
      </c>
      <c r="O57" t="s">
        <v>2349</v>
      </c>
      <c r="P57" s="217">
        <f>IF(O57="","",IF(OR(LEFT(O57,4)="Cash",LEFT(O57,4)="Prov"),0,SUMIFS(Input_APM!N:N,Input_APM!L:L,Check!O57)))</f>
        <v>0</v>
      </c>
      <c r="Q57" s="22">
        <f>IF(O57="","",IF(LEN(O57)&gt;9,SUMIFS(Options!$H$3:$H$26,Options!$B$3:$B$26,Check!O57),SUMIFS('Master P&amp;L'!$H$11:$H$93,'Master P&amp;L'!$B$11:$B$93,Check!O57)))</f>
        <v>0</v>
      </c>
      <c r="R57" s="217">
        <f t="shared" si="1"/>
        <v>0</v>
      </c>
      <c r="S57" s="361" t="str">
        <f t="shared" si="2"/>
        <v>Ok</v>
      </c>
    </row>
    <row r="58" spans="1:19">
      <c r="B58"/>
      <c r="C58" s="233" t="str">
        <f>IF(B58="","",IF(LEN(B58)&gt;9,SUMIFS(Options!$H$3:$H$26,Options!$B$3:$B$26,Check!B58),SUMIFS('Master P&amp;L'!$H$11:$H$93,'Master P&amp;L'!$B$11:$B$93,Check!B58)))</f>
        <v/>
      </c>
      <c r="D58" s="233" t="str">
        <f>IF(B58="","",SUMIFS(Input_APM!N:N,Input_APM!L:L,Check!B58,Input_APM!M:M,Check!$F$1))</f>
        <v/>
      </c>
      <c r="E58" s="217" t="str">
        <f t="shared" si="5"/>
        <v/>
      </c>
      <c r="F58" s="233" t="str">
        <f>IF(B58="","",SUMIFS(Input_APM!N:N,Input_APM!M:M,Check!$F$1,Input_APM!L:L,Check!B58))</f>
        <v/>
      </c>
      <c r="G58" s="233" t="str">
        <f>IF(B58="","",SUMIFS(Input_APM!N:N,Input_APM!M:M,Check!$G$1,Input_APM!L:L,Check!B58))</f>
        <v/>
      </c>
      <c r="H58" s="217" t="str">
        <f t="shared" si="0"/>
        <v/>
      </c>
      <c r="I58" s="217">
        <f>SUMIFS(Input_APM!N:N,Input_APM!L:L,Check!B58)</f>
        <v>0</v>
      </c>
      <c r="J58" s="219" t="str">
        <f t="shared" si="3"/>
        <v/>
      </c>
      <c r="K58" s="22" t="str">
        <f>IF(B58="","",SUMIFS('Input_APM (Zenith)'!N:N,'Input_APM (Zenith)'!L:L,Check!B58,'Input_APM (Zenith)'!M:M,Check!$F$1))</f>
        <v/>
      </c>
      <c r="L58" s="22" t="str">
        <f>IF(B58="","",SUMIFS('Input_APM (Zenith)'!N:N,'Input_APM (Zenith)'!L:L,Check!B58,'Input_APM (Zenith)'!M:M,Check!$G$1))</f>
        <v/>
      </c>
      <c r="M58" s="217" t="str">
        <f t="shared" si="4"/>
        <v/>
      </c>
      <c r="O58" t="s">
        <v>337</v>
      </c>
      <c r="P58" s="217">
        <f>IF(O58="","",IF(OR(LEFT(O58,4)="Cash",LEFT(O58,4)="Prov"),0,SUMIFS(Input_APM!N:N,Input_APM!L:L,Check!O58)))</f>
        <v>0</v>
      </c>
      <c r="Q58" s="22">
        <f>IF(O58="","",IF(LEN(O58)&gt;9,SUMIFS(Options!$H$3:$H$26,Options!$B$3:$B$26,Check!O58),SUMIFS('Master P&amp;L'!$H$11:$H$93,'Master P&amp;L'!$B$11:$B$93,Check!O58)))</f>
        <v>0</v>
      </c>
      <c r="R58" s="217">
        <f t="shared" si="1"/>
        <v>0</v>
      </c>
      <c r="S58" s="361" t="str">
        <f t="shared" si="2"/>
        <v>Ok</v>
      </c>
    </row>
    <row r="59" spans="1:19">
      <c r="B59"/>
      <c r="C59" s="233" t="str">
        <f>IF(B59="","",IF(LEN(B59)&gt;9,SUMIFS(Options!$H$3:$H$26,Options!$B$3:$B$26,Check!B59),SUMIFS('Master P&amp;L'!$H$11:$H$93,'Master P&amp;L'!$B$11:$B$93,Check!B59)))</f>
        <v/>
      </c>
      <c r="D59" s="233" t="str">
        <f>IF(B59="","",SUMIFS(Input_APM!N:N,Input_APM!L:L,Check!B59,Input_APM!M:M,Check!$F$1))</f>
        <v/>
      </c>
      <c r="E59" s="217" t="str">
        <f t="shared" si="5"/>
        <v/>
      </c>
      <c r="F59" s="233" t="str">
        <f>IF(B59="","",SUMIFS(Input_APM!N:N,Input_APM!M:M,Check!$F$1,Input_APM!L:L,Check!B59))</f>
        <v/>
      </c>
      <c r="G59" s="233" t="str">
        <f>IF(B59="","",SUMIFS(Input_APM!N:N,Input_APM!M:M,Check!$G$1,Input_APM!L:L,Check!B59))</f>
        <v/>
      </c>
      <c r="H59" s="217" t="str">
        <f t="shared" si="0"/>
        <v/>
      </c>
      <c r="I59" s="217">
        <f>SUMIFS(Input_APM!N:N,Input_APM!L:L,Check!B59)</f>
        <v>0</v>
      </c>
      <c r="J59" s="219" t="str">
        <f t="shared" si="3"/>
        <v/>
      </c>
      <c r="K59" s="22" t="str">
        <f>IF(B59="","",SUMIFS('Input_APM (Zenith)'!N:N,'Input_APM (Zenith)'!L:L,Check!B59,'Input_APM (Zenith)'!M:M,Check!$F$1))</f>
        <v/>
      </c>
      <c r="L59" s="22" t="str">
        <f>IF(B59="","",SUMIFS('Input_APM (Zenith)'!N:N,'Input_APM (Zenith)'!L:L,Check!B59,'Input_APM (Zenith)'!M:M,Check!$G$1))</f>
        <v/>
      </c>
      <c r="M59" s="217" t="str">
        <f t="shared" si="4"/>
        <v/>
      </c>
      <c r="O59" t="s">
        <v>307</v>
      </c>
      <c r="P59" s="217">
        <f>IF(O59="","",IF(OR(LEFT(O59,4)="Cash",LEFT(O59,4)="Prov"),0,SUMIFS(Input_APM!N:N,Input_APM!L:L,Check!O59)))</f>
        <v>0</v>
      </c>
      <c r="Q59" s="22">
        <f>IF(O59="","",IF(LEN(O59)&gt;9,SUMIFS(Options!$H$3:$H$26,Options!$B$3:$B$26,Check!O59),SUMIFS('Master P&amp;L'!$H$11:$H$93,'Master P&amp;L'!$B$11:$B$93,Check!O59)))</f>
        <v>0</v>
      </c>
      <c r="R59" s="217">
        <f t="shared" si="1"/>
        <v>0</v>
      </c>
      <c r="S59" s="361" t="str">
        <f t="shared" si="2"/>
        <v>Ok</v>
      </c>
    </row>
    <row r="60" spans="1:19">
      <c r="B60"/>
      <c r="C60" s="233" t="str">
        <f>IF(B60="","",IF(LEN(B60)&gt;9,SUMIFS(Options!$H$3:$H$26,Options!$B$3:$B$26,Check!B60),SUMIFS('Master P&amp;L'!$H$11:$H$93,'Master P&amp;L'!$B$11:$B$93,Check!B60)))</f>
        <v/>
      </c>
      <c r="D60" s="233" t="str">
        <f>IF(B60="","",SUMIFS(Input_APM!N:N,Input_APM!L:L,Check!B60,Input_APM!M:M,Check!$F$1))</f>
        <v/>
      </c>
      <c r="E60" s="219" t="str">
        <f t="shared" si="5"/>
        <v/>
      </c>
      <c r="F60" s="233" t="str">
        <f>IF(B60="","",SUMIFS(Input_APM!N:N,Input_APM!M:M,Check!$F$1,Input_APM!L:L,Check!B60))</f>
        <v/>
      </c>
      <c r="G60" s="233" t="str">
        <f>IF(B60="","",SUMIFS(Input_APM!N:N,Input_APM!M:M,Check!$G$1,Input_APM!L:L,Check!B60))</f>
        <v/>
      </c>
      <c r="H60" s="217" t="str">
        <f t="shared" si="0"/>
        <v/>
      </c>
      <c r="I60" s="217">
        <f>SUMIFS(Input_APM!N:N,Input_APM!L:L,Check!B60)</f>
        <v>0</v>
      </c>
      <c r="J60" s="219" t="str">
        <f t="shared" si="3"/>
        <v/>
      </c>
      <c r="K60" s="22" t="str">
        <f>IF(B60="","",SUMIFS('Input_APM (Zenith)'!N:N,'Input_APM (Zenith)'!L:L,Check!B60,'Input_APM (Zenith)'!M:M,Check!$F$1))</f>
        <v/>
      </c>
      <c r="L60" s="22" t="str">
        <f>IF(B60="","",SUMIFS('Input_APM (Zenith)'!N:N,'Input_APM (Zenith)'!L:L,Check!B60,'Input_APM (Zenith)'!M:M,Check!$G$1))</f>
        <v/>
      </c>
      <c r="M60" s="217" t="str">
        <f t="shared" si="4"/>
        <v/>
      </c>
      <c r="O60" t="s">
        <v>2131</v>
      </c>
      <c r="P60" s="217">
        <f>IF(O60="","",IF(OR(LEFT(O60,4)="Cash",LEFT(O60,4)="Prov"),0,SUMIFS(Input_APM!N:N,Input_APM!L:L,Check!O60)))</f>
        <v>29572</v>
      </c>
      <c r="Q60" s="22">
        <f>IF(O60="","",IF(LEN(O60)&gt;9,SUMIFS(Options!$H$3:$H$26,Options!$B$3:$B$26,Check!O60),SUMIFS('Master P&amp;L'!$H$11:$H$93,'Master P&amp;L'!$B$11:$B$93,Check!O60)))</f>
        <v>31600</v>
      </c>
      <c r="R60" s="217">
        <f t="shared" si="1"/>
        <v>-2028</v>
      </c>
      <c r="S60" s="361">
        <f t="shared" si="2"/>
        <v>0.9358227848101266</v>
      </c>
    </row>
    <row r="61" spans="1:19">
      <c r="B61"/>
      <c r="C61" s="233" t="str">
        <f>IF(B61="","",IF(LEN(B61)&gt;9,SUMIFS(Options!$H$3:$H$26,Options!$B$3:$B$26,Check!B61),SUMIFS('Master P&amp;L'!$H$11:$H$93,'Master P&amp;L'!$B$11:$B$93,Check!B61)))</f>
        <v/>
      </c>
      <c r="D61" s="233" t="str">
        <f>IF(B61="","",SUMIFS(Input_APM!N:N,Input_APM!L:L,Check!B61,Input_APM!M:M,Check!$F$1))</f>
        <v/>
      </c>
      <c r="E61" s="217" t="str">
        <f t="shared" si="5"/>
        <v/>
      </c>
      <c r="F61" s="233" t="str">
        <f>IF(B61="","",SUMIFS(Input_APM!N:N,Input_APM!M:M,Check!$F$1,Input_APM!L:L,Check!B61))</f>
        <v/>
      </c>
      <c r="G61" s="233" t="str">
        <f>IF(B61="","",SUMIFS(Input_APM!N:N,Input_APM!M:M,Check!$G$1,Input_APM!L:L,Check!B61))</f>
        <v/>
      </c>
      <c r="H61" s="217" t="str">
        <f t="shared" si="0"/>
        <v/>
      </c>
      <c r="I61" s="217">
        <f>SUMIFS(Input_APM!N:N,Input_APM!L:L,Check!B61)</f>
        <v>0</v>
      </c>
      <c r="J61" s="219" t="str">
        <f t="shared" si="3"/>
        <v/>
      </c>
      <c r="K61" s="22" t="str">
        <f>IF(B61="","",SUMIFS('Input_APM (Zenith)'!N:N,'Input_APM (Zenith)'!L:L,Check!B61,'Input_APM (Zenith)'!M:M,Check!$F$1))</f>
        <v/>
      </c>
      <c r="L61" s="22" t="str">
        <f>IF(B61="","",SUMIFS('Input_APM (Zenith)'!N:N,'Input_APM (Zenith)'!L:L,Check!B61,'Input_APM (Zenith)'!M:M,Check!$G$1))</f>
        <v/>
      </c>
      <c r="M61" s="217" t="str">
        <f t="shared" si="4"/>
        <v/>
      </c>
      <c r="O61" t="s">
        <v>3</v>
      </c>
      <c r="P61" s="217">
        <f>IF(O61="","",IF(OR(LEFT(O61,4)="Cash",LEFT(O61,4)="Prov"),0,SUMIFS(Input_APM!N:N,Input_APM!L:L,Check!O61)))</f>
        <v>-12201</v>
      </c>
      <c r="Q61" s="22">
        <f>IF(O61="","",IF(LEN(O61)&gt;9,SUMIFS(Options!$H$3:$H$26,Options!$B$3:$B$26,Check!O61),SUMIFS('Master P&amp;L'!$H$11:$H$93,'Master P&amp;L'!$B$11:$B$93,Check!O61)))</f>
        <v>-13000</v>
      </c>
      <c r="R61" s="217">
        <f t="shared" si="1"/>
        <v>799</v>
      </c>
      <c r="S61" s="361">
        <f t="shared" si="2"/>
        <v>0.93853846153846154</v>
      </c>
    </row>
    <row r="62" spans="1:19">
      <c r="B62"/>
      <c r="C62" s="233" t="str">
        <f>IF(B62="","",IF(LEN(B62)&gt;9,SUMIFS(Options!$H$3:$H$26,Options!$B$3:$B$26,Check!B62),SUMIFS('Master P&amp;L'!$H$11:$H$93,'Master P&amp;L'!$B$11:$B$93,Check!B62)))</f>
        <v/>
      </c>
      <c r="D62" s="233" t="str">
        <f>IF(B62="","",SUMIFS(Input_APM!N:N,Input_APM!L:L,Check!B62,Input_APM!M:M,Check!$F$1))</f>
        <v/>
      </c>
      <c r="E62" s="219" t="str">
        <f t="shared" si="5"/>
        <v/>
      </c>
      <c r="F62" s="233" t="str">
        <f>IF(B62="","",SUMIFS(Input_APM!N:N,Input_APM!M:M,Check!$F$1,Input_APM!L:L,Check!B62))</f>
        <v/>
      </c>
      <c r="G62" s="233" t="str">
        <f>IF(B62="","",SUMIFS(Input_APM!N:N,Input_APM!M:M,Check!$G$1,Input_APM!L:L,Check!B62))</f>
        <v/>
      </c>
      <c r="H62" s="217" t="str">
        <f t="shared" si="0"/>
        <v/>
      </c>
      <c r="I62" s="217">
        <f>SUMIFS(Input_APM!N:N,Input_APM!L:L,Check!B62)</f>
        <v>0</v>
      </c>
      <c r="J62" s="219" t="str">
        <f t="shared" si="3"/>
        <v/>
      </c>
      <c r="K62" s="22" t="str">
        <f>IF(B62="","",SUMIFS('Input_APM (Zenith)'!N:N,'Input_APM (Zenith)'!L:L,Check!B62,'Input_APM (Zenith)'!M:M,Check!$F$1))</f>
        <v/>
      </c>
      <c r="L62" s="22" t="str">
        <f>IF(B62="","",SUMIFS('Input_APM (Zenith)'!N:N,'Input_APM (Zenith)'!L:L,Check!B62,'Input_APM (Zenith)'!M:M,Check!$G$1))</f>
        <v/>
      </c>
      <c r="M62" s="217" t="str">
        <f t="shared" si="4"/>
        <v/>
      </c>
      <c r="O62" t="s">
        <v>2300</v>
      </c>
      <c r="P62" s="217">
        <f>IF(O62="","",IF(OR(LEFT(O62,4)="Cash",LEFT(O62,4)="Prov"),0,SUMIFS(Input_APM!N:N,Input_APM!L:L,Check!O62)))</f>
        <v>0</v>
      </c>
      <c r="Q62" s="22">
        <f>IF(O62="","",IF(LEN(O62)&gt;9,SUMIFS(Options!$H$3:$H$26,Options!$B$3:$B$26,Check!O62),SUMIFS('Master P&amp;L'!$H$11:$H$93,'Master P&amp;L'!$B$11:$B$93,Check!O62)))</f>
        <v>0</v>
      </c>
      <c r="R62" s="217">
        <f t="shared" si="1"/>
        <v>0</v>
      </c>
      <c r="S62" s="361" t="str">
        <f t="shared" si="2"/>
        <v>Ok</v>
      </c>
    </row>
    <row r="63" spans="1:19">
      <c r="B63"/>
      <c r="C63" s="233" t="str">
        <f>IF(B63="","",IF(LEN(B63)&gt;9,SUMIFS(Options!$H$3:$H$26,Options!$B$3:$B$26,Check!B63),SUMIFS('Master P&amp;L'!$H$11:$H$93,'Master P&amp;L'!$B$11:$B$93,Check!B63)))</f>
        <v/>
      </c>
      <c r="D63" s="233" t="str">
        <f>IF(B63="","",SUMIFS(Input_APM!N:N,Input_APM!L:L,Check!B63,Input_APM!M:M,Check!$F$1))</f>
        <v/>
      </c>
      <c r="E63" s="219" t="str">
        <f t="shared" si="5"/>
        <v/>
      </c>
      <c r="F63" s="233" t="str">
        <f>IF(B63="","",SUMIFS(Input_APM!N:N,Input_APM!M:M,Check!$F$1,Input_APM!L:L,Check!B63))</f>
        <v/>
      </c>
      <c r="G63" s="233" t="str">
        <f>IF(B63="","",SUMIFS(Input_APM!N:N,Input_APM!M:M,Check!$G$1,Input_APM!L:L,Check!B63))</f>
        <v/>
      </c>
      <c r="H63" s="217" t="str">
        <f t="shared" si="0"/>
        <v/>
      </c>
      <c r="I63" s="217">
        <f>SUMIFS(Input_APM!N:N,Input_APM!L:L,Check!B63)</f>
        <v>0</v>
      </c>
      <c r="J63" s="219" t="str">
        <f t="shared" si="3"/>
        <v/>
      </c>
      <c r="K63" s="22" t="str">
        <f>IF(B63="","",SUMIFS('Input_APM (Zenith)'!N:N,'Input_APM (Zenith)'!L:L,Check!B63,'Input_APM (Zenith)'!M:M,Check!$F$1))</f>
        <v/>
      </c>
      <c r="L63" s="22" t="str">
        <f>IF(B63="","",SUMIFS('Input_APM (Zenith)'!N:N,'Input_APM (Zenith)'!L:L,Check!B63,'Input_APM (Zenith)'!M:M,Check!$G$1))</f>
        <v/>
      </c>
      <c r="M63" s="217" t="str">
        <f t="shared" si="4"/>
        <v/>
      </c>
      <c r="O63" t="s">
        <v>2127</v>
      </c>
      <c r="P63" s="217">
        <f>IF(O63="","",IF(OR(LEFT(O63,4)="Cash",LEFT(O63,4)="Prov"),0,SUMIFS(Input_APM!N:N,Input_APM!L:L,Check!O63)))</f>
        <v>0</v>
      </c>
      <c r="Q63" s="22">
        <f>IF(O63="","",IF(LEN(O63)&gt;9,SUMIFS(Options!$H$3:$H$26,Options!$B$3:$B$26,Check!O63),SUMIFS('Master P&amp;L'!$H$11:$H$93,'Master P&amp;L'!$B$11:$B$93,Check!O63)))</f>
        <v>0</v>
      </c>
      <c r="R63" s="217">
        <f t="shared" si="1"/>
        <v>0</v>
      </c>
      <c r="S63" s="361" t="str">
        <f t="shared" si="2"/>
        <v>Ok</v>
      </c>
    </row>
    <row r="64" spans="1:19">
      <c r="B64"/>
      <c r="C64" s="233" t="str">
        <f>IF(B64="","",IF(LEN(B64)&gt;9,SUMIFS(Options!$H$3:$H$26,Options!$B$3:$B$26,Check!B64),SUMIFS('Master P&amp;L'!$H$11:$H$93,'Master P&amp;L'!$B$11:$B$93,Check!B64)))</f>
        <v/>
      </c>
      <c r="D64" s="233" t="str">
        <f>IF(B64="","",SUMIFS(Input_APM!N:N,Input_APM!L:L,Check!B64,Input_APM!M:M,Check!$F$1))</f>
        <v/>
      </c>
      <c r="E64" s="219" t="str">
        <f t="shared" si="5"/>
        <v/>
      </c>
      <c r="F64" s="233" t="str">
        <f>IF(B64="","",SUMIFS(Input_APM!N:N,Input_APM!M:M,Check!$F$1,Input_APM!L:L,Check!B64))</f>
        <v/>
      </c>
      <c r="G64" s="233" t="str">
        <f>IF(B64="","",SUMIFS(Input_APM!N:N,Input_APM!M:M,Check!$G$1,Input_APM!L:L,Check!B64))</f>
        <v/>
      </c>
      <c r="H64" s="217" t="str">
        <f t="shared" si="0"/>
        <v/>
      </c>
      <c r="I64" s="217">
        <f>SUMIFS(Input_APM!N:N,Input_APM!L:L,Check!B64)</f>
        <v>0</v>
      </c>
      <c r="J64" s="219" t="str">
        <f t="shared" si="3"/>
        <v/>
      </c>
      <c r="K64" s="22" t="str">
        <f>IF(B64="","",SUMIFS('Input_APM (Zenith)'!N:N,'Input_APM (Zenith)'!L:L,Check!B64,'Input_APM (Zenith)'!M:M,Check!$F$1))</f>
        <v/>
      </c>
      <c r="L64" s="22" t="str">
        <f>IF(B64="","",SUMIFS('Input_APM (Zenith)'!N:N,'Input_APM (Zenith)'!L:L,Check!B64,'Input_APM (Zenith)'!M:M,Check!$G$1))</f>
        <v/>
      </c>
      <c r="M64" s="217" t="str">
        <f t="shared" si="4"/>
        <v/>
      </c>
      <c r="O64" t="s">
        <v>2312</v>
      </c>
      <c r="P64" s="217">
        <f>IF(O64="","",IF(OR(LEFT(O64,4)="Cash",LEFT(O64,4)="Prov"),0,SUMIFS(Input_APM!N:N,Input_APM!L:L,Check!O64)))</f>
        <v>843</v>
      </c>
      <c r="Q64" s="22">
        <f>IF(O64="","",IF(LEN(O64)&gt;9,SUMIFS(Options!$H$3:$H$26,Options!$B$3:$B$26,Check!O64),SUMIFS('Master P&amp;L'!$H$11:$H$93,'Master P&amp;L'!$B$11:$B$93,Check!O64)))</f>
        <v>0</v>
      </c>
      <c r="R64" s="217">
        <f t="shared" si="1"/>
        <v>843</v>
      </c>
      <c r="S64" s="361" t="str">
        <f t="shared" si="2"/>
        <v>Erro</v>
      </c>
    </row>
    <row r="65" spans="2:19">
      <c r="B65"/>
      <c r="C65" s="233" t="str">
        <f>IF(B65="","",IF(LEN(B65)&gt;9,SUMIFS(Options!$H$3:$H$26,Options!$B$3:$B$26,Check!B65),SUMIFS('Master P&amp;L'!$H$11:$H$93,'Master P&amp;L'!$B$11:$B$93,Check!B65)))</f>
        <v/>
      </c>
      <c r="D65" s="233" t="str">
        <f>IF(B65="","",SUMIFS(Input_APM!N:N,Input_APM!L:L,Check!B65,Input_APM!M:M,Check!$F$1))</f>
        <v/>
      </c>
      <c r="E65" s="219" t="str">
        <f t="shared" si="5"/>
        <v/>
      </c>
      <c r="F65" s="233" t="str">
        <f>IF(B65="","",SUMIFS(Input_APM!N:N,Input_APM!M:M,Check!$F$1,Input_APM!L:L,Check!B65))</f>
        <v/>
      </c>
      <c r="G65" s="233" t="str">
        <f>IF(B65="","",SUMIFS(Input_APM!N:N,Input_APM!M:M,Check!$G$1,Input_APM!L:L,Check!B65))</f>
        <v/>
      </c>
      <c r="H65" s="217" t="str">
        <f t="shared" si="0"/>
        <v/>
      </c>
      <c r="I65" s="217">
        <f>SUMIFS(Input_APM!N:N,Input_APM!L:L,Check!B65)</f>
        <v>0</v>
      </c>
      <c r="J65" s="219" t="str">
        <f t="shared" si="3"/>
        <v/>
      </c>
      <c r="K65" s="22" t="str">
        <f>IF(B65="","",SUMIFS('Input_APM (Zenith)'!N:N,'Input_APM (Zenith)'!L:L,Check!B65,'Input_APM (Zenith)'!M:M,Check!$F$1))</f>
        <v/>
      </c>
      <c r="L65" s="22" t="str">
        <f>IF(B65="","",SUMIFS('Input_APM (Zenith)'!N:N,'Input_APM (Zenith)'!L:L,Check!B65,'Input_APM (Zenith)'!M:M,Check!$G$1))</f>
        <v/>
      </c>
      <c r="M65" s="217" t="str">
        <f t="shared" si="4"/>
        <v/>
      </c>
      <c r="O65" t="s">
        <v>1761</v>
      </c>
      <c r="P65" s="217">
        <f>IF(O65="","",IF(OR(LEFT(O65,4)="Cash",LEFT(O65,4)="Prov"),0,SUMIFS(Input_APM!N:N,Input_APM!L:L,Check!O65)))</f>
        <v>1400</v>
      </c>
      <c r="Q65" s="22">
        <f>IF(O65="","",IF(LEN(O65)&gt;9,SUMIFS(Options!$H$3:$H$26,Options!$B$3:$B$26,Check!O65),SUMIFS('Master P&amp;L'!$H$11:$H$93,'Master P&amp;L'!$B$11:$B$93,Check!O65)))</f>
        <v>0</v>
      </c>
      <c r="R65" s="217">
        <f t="shared" si="1"/>
        <v>1400</v>
      </c>
      <c r="S65" s="361" t="str">
        <f t="shared" si="2"/>
        <v>Erro</v>
      </c>
    </row>
    <row r="66" spans="2:19">
      <c r="B66"/>
      <c r="C66" s="233" t="str">
        <f>IF(B66="","",IF(LEN(B66)&gt;9,SUMIFS(Options!$H$3:$H$26,Options!$B$3:$B$26,Check!B66),SUMIFS('Master P&amp;L'!$H$11:$H$93,'Master P&amp;L'!$B$11:$B$93,Check!B66)))</f>
        <v/>
      </c>
      <c r="D66" s="233" t="str">
        <f>IF(B66="","",SUMIFS(Input_APM!N:N,Input_APM!L:L,Check!B66,Input_APM!M:M,Check!$F$1))</f>
        <v/>
      </c>
      <c r="E66" s="219" t="str">
        <f t="shared" ref="E66:E72" si="6">IF(B66="","",C66-M66)</f>
        <v/>
      </c>
      <c r="F66" s="233" t="str">
        <f>IF(B66="","",SUMIFS(Input_APM!N:N,Input_APM!M:M,Check!$F$1,Input_APM!L:L,Check!B66))</f>
        <v/>
      </c>
      <c r="G66" s="233" t="str">
        <f>IF(B66="","",SUMIFS(Input_APM!N:N,Input_APM!M:M,Check!$G$1,Input_APM!L:L,Check!B66))</f>
        <v/>
      </c>
      <c r="H66" s="217" t="str">
        <f t="shared" si="0"/>
        <v/>
      </c>
      <c r="I66" s="217">
        <f>SUMIFS(Input_APM!N:N,Input_APM!L:L,Check!B66)</f>
        <v>0</v>
      </c>
      <c r="J66" s="219" t="str">
        <f t="shared" si="3"/>
        <v/>
      </c>
      <c r="K66" s="22" t="str">
        <f>IF(B66="","",SUMIFS('Input_APM (Zenith)'!N:N,'Input_APM (Zenith)'!L:L,Check!B66,'Input_APM (Zenith)'!M:M,Check!$F$1))</f>
        <v/>
      </c>
      <c r="L66" s="22" t="str">
        <f>IF(B66="","",SUMIFS('Input_APM (Zenith)'!N:N,'Input_APM (Zenith)'!L:L,Check!B66,'Input_APM (Zenith)'!M:M,Check!$G$1))</f>
        <v/>
      </c>
      <c r="M66" s="217" t="str">
        <f t="shared" si="4"/>
        <v/>
      </c>
      <c r="O66" t="s">
        <v>2350</v>
      </c>
      <c r="P66" s="217">
        <f>IF(O66="","",IF(OR(LEFT(O66,4)="Cash",LEFT(O66,4)="Prov"),0,SUMIFS(Input_APM!N:N,Input_APM!L:L,Check!O66)))</f>
        <v>844</v>
      </c>
      <c r="Q66" s="22">
        <f>IF(O66="","",IF(LEN(O66)&gt;9,SUMIFS(Options!$H$3:$H$26,Options!$B$3:$B$26,Check!O66),SUMIFS('Master P&amp;L'!$H$11:$H$93,'Master P&amp;L'!$B$11:$B$93,Check!O66)))</f>
        <v>0</v>
      </c>
      <c r="R66" s="217">
        <f t="shared" si="1"/>
        <v>844</v>
      </c>
      <c r="S66" s="361" t="str">
        <f t="shared" si="2"/>
        <v>Erro</v>
      </c>
    </row>
    <row r="67" spans="2:19">
      <c r="B67"/>
      <c r="C67" s="233" t="str">
        <f>IF(B67="","",IF(LEN(B67)&gt;9,SUMIFS(Options!$H$3:$H$26,Options!$B$3:$B$26,Check!B67),SUMIFS('Master P&amp;L'!$H$11:$H$93,'Master P&amp;L'!$B$11:$B$93,Check!B67)))</f>
        <v/>
      </c>
      <c r="D67" s="233" t="str">
        <f>IF(B67="","",SUMIFS(Input_APM!N:N,Input_APM!L:L,Check!B67,Input_APM!M:M,Check!$F$1))</f>
        <v/>
      </c>
      <c r="E67" s="219" t="str">
        <f t="shared" si="6"/>
        <v/>
      </c>
      <c r="F67" s="233" t="str">
        <f>IF(B67="","",SUMIFS(Input_APM!N:N,Input_APM!M:M,Check!$F$1,Input_APM!L:L,Check!B67))</f>
        <v/>
      </c>
      <c r="G67" s="233" t="str">
        <f>IF(B67="","",SUMIFS(Input_APM!N:N,Input_APM!M:M,Check!$G$1,Input_APM!L:L,Check!B67))</f>
        <v/>
      </c>
      <c r="H67" s="217" t="str">
        <f t="shared" si="0"/>
        <v/>
      </c>
      <c r="I67" s="217">
        <f>SUMIFS(Input_APM!N:N,Input_APM!L:L,Check!B67)</f>
        <v>0</v>
      </c>
      <c r="J67" s="219" t="str">
        <f t="shared" si="3"/>
        <v/>
      </c>
      <c r="K67" s="22" t="str">
        <f>IF(B67="","",SUMIFS('Input_APM (Zenith)'!N:N,'Input_APM (Zenith)'!L:L,Check!B67,'Input_APM (Zenith)'!M:M,Check!$F$1))</f>
        <v/>
      </c>
      <c r="L67" s="22" t="str">
        <f>IF(B67="","",SUMIFS('Input_APM (Zenith)'!N:N,'Input_APM (Zenith)'!L:L,Check!B67,'Input_APM (Zenith)'!M:M,Check!$G$1))</f>
        <v/>
      </c>
      <c r="M67" s="217" t="str">
        <f t="shared" si="4"/>
        <v/>
      </c>
      <c r="O67" t="s">
        <v>96</v>
      </c>
      <c r="P67" s="217">
        <f>IF(O67="","",IF(OR(LEFT(O67,4)="Cash",LEFT(O67,4)="Prov"),0,SUMIFS(Input_APM!N:N,Input_APM!L:L,Check!O67)))</f>
        <v>3806</v>
      </c>
      <c r="Q67" s="22">
        <f>IF(O67="","",IF(LEN(O67)&gt;9,SUMIFS(Options!$H$3:$H$26,Options!$B$3:$B$26,Check!O67),SUMIFS('Master P&amp;L'!$H$11:$H$93,'Master P&amp;L'!$B$11:$B$93,Check!O67)))</f>
        <v>2335</v>
      </c>
      <c r="R67" s="217">
        <f t="shared" si="1"/>
        <v>1471</v>
      </c>
      <c r="S67" s="361">
        <f t="shared" si="2"/>
        <v>1.6299785867237688</v>
      </c>
    </row>
    <row r="68" spans="2:19">
      <c r="B68"/>
      <c r="C68" s="233" t="str">
        <f>IF(B68="","",IF(LEN(B68)&gt;9,SUMIFS(Options!$H$3:$H$26,Options!$B$3:$B$26,Check!B68),SUMIFS('Master P&amp;L'!$H$11:$H$93,'Master P&amp;L'!$B$11:$B$93,Check!B68)))</f>
        <v/>
      </c>
      <c r="D68" s="233" t="str">
        <f>IF(B68="","",SUMIFS(Input_APM!N:N,Input_APM!L:L,Check!B68,Input_APM!M:M,Check!$F$1))</f>
        <v/>
      </c>
      <c r="E68" s="219" t="str">
        <f t="shared" si="6"/>
        <v/>
      </c>
      <c r="F68" s="233" t="str">
        <f>IF(B68="","",SUMIFS(Input_APM!N:N,Input_APM!M:M,Check!$F$1,Input_APM!L:L,Check!B68))</f>
        <v/>
      </c>
      <c r="G68" s="233" t="str">
        <f>IF(B68="","",SUMIFS(Input_APM!N:N,Input_APM!M:M,Check!$G$1,Input_APM!L:L,Check!B68))</f>
        <v/>
      </c>
      <c r="H68" s="217" t="str">
        <f t="shared" si="0"/>
        <v/>
      </c>
      <c r="I68" s="217">
        <f>SUMIFS(Input_APM!N:N,Input_APM!L:L,Check!B68)</f>
        <v>0</v>
      </c>
      <c r="J68" s="219" t="str">
        <f t="shared" si="3"/>
        <v/>
      </c>
      <c r="K68" s="22" t="str">
        <f>IF(B68="","",SUMIFS('Input_APM (Zenith)'!N:N,'Input_APM (Zenith)'!L:L,Check!B68,'Input_APM (Zenith)'!M:M,Check!$F$1))</f>
        <v/>
      </c>
      <c r="L68" s="22" t="str">
        <f>IF(B68="","",SUMIFS('Input_APM (Zenith)'!N:N,'Input_APM (Zenith)'!L:L,Check!B68,'Input_APM (Zenith)'!M:M,Check!$G$1))</f>
        <v/>
      </c>
      <c r="M68" s="217" t="str">
        <f t="shared" si="4"/>
        <v/>
      </c>
      <c r="O68" t="s">
        <v>2228</v>
      </c>
      <c r="P68" s="217">
        <f>IF(O68="","",IF(OR(LEFT(O68,4)="Cash",LEFT(O68,4)="Prov"),0,SUMIFS(Input_APM!N:N,Input_APM!L:L,Check!O68)))</f>
        <v>1453</v>
      </c>
      <c r="Q68" s="22">
        <f>IF(O68="","",IF(LEN(O68)&gt;9,SUMIFS(Options!$H$3:$H$26,Options!$B$3:$B$26,Check!O68),SUMIFS('Master P&amp;L'!$H$11:$H$93,'Master P&amp;L'!$B$11:$B$93,Check!O68)))</f>
        <v>1550</v>
      </c>
      <c r="R68" s="217">
        <f t="shared" si="1"/>
        <v>-97</v>
      </c>
      <c r="S68" s="361">
        <f t="shared" si="2"/>
        <v>0.93741935483870964</v>
      </c>
    </row>
    <row r="69" spans="2:19">
      <c r="B69"/>
      <c r="C69" s="233" t="str">
        <f>IF(B69="","",IF(LEN(B69)&gt;9,SUMIFS(Options!$H$3:$H$26,Options!$B$3:$B$26,Check!B69),SUMIFS('Master P&amp;L'!$H$11:$H$93,'Master P&amp;L'!$B$11:$B$93,Check!B69)))</f>
        <v/>
      </c>
      <c r="D69" s="233" t="str">
        <f>IF(B69="","",SUMIFS(Input_APM!N:N,Input_APM!L:L,Check!B69,Input_APM!M:M,Check!$F$1))</f>
        <v/>
      </c>
      <c r="E69" s="217" t="str">
        <f t="shared" si="6"/>
        <v/>
      </c>
      <c r="F69" s="233" t="str">
        <f>IF(B69="","",SUMIFS(Input_APM!N:N,Input_APM!M:M,Check!$F$1,Input_APM!L:L,Check!B69))</f>
        <v/>
      </c>
      <c r="G69" s="233" t="str">
        <f>IF(B69="","",SUMIFS(Input_APM!N:N,Input_APM!M:M,Check!$G$1,Input_APM!L:L,Check!B69))</f>
        <v/>
      </c>
      <c r="H69" s="217" t="str">
        <f t="shared" si="0"/>
        <v/>
      </c>
      <c r="I69" s="217">
        <f>SUMIFS(Input_APM!N:N,Input_APM!L:L,Check!B69)</f>
        <v>0</v>
      </c>
      <c r="J69" s="219" t="str">
        <f t="shared" si="3"/>
        <v/>
      </c>
      <c r="K69" s="22" t="str">
        <f>IF(B69="","",SUMIFS('Input_APM (Zenith)'!N:N,'Input_APM (Zenith)'!L:L,Check!B69,'Input_APM (Zenith)'!M:M,Check!$F$1))</f>
        <v/>
      </c>
      <c r="L69" s="22" t="str">
        <f>IF(B69="","",SUMIFS('Input_APM (Zenith)'!N:N,'Input_APM (Zenith)'!L:L,Check!B69,'Input_APM (Zenith)'!M:M,Check!$G$1))</f>
        <v/>
      </c>
      <c r="M69" s="217" t="str">
        <f t="shared" si="4"/>
        <v/>
      </c>
      <c r="O69" t="s">
        <v>2229</v>
      </c>
      <c r="P69" s="217">
        <f>IF(O69="","",IF(OR(LEFT(O69,4)="Cash",LEFT(O69,4)="Prov"),0,SUMIFS(Input_APM!N:N,Input_APM!L:L,Check!O69)))</f>
        <v>-1312</v>
      </c>
      <c r="Q69" s="22">
        <f>IF(O69="","",IF(LEN(O69)&gt;9,SUMIFS(Options!$H$3:$H$26,Options!$B$3:$B$26,Check!O69),SUMIFS('Master P&amp;L'!$H$11:$H$93,'Master P&amp;L'!$B$11:$B$93,Check!O69)))</f>
        <v>-1400</v>
      </c>
      <c r="R69" s="217">
        <f t="shared" si="1"/>
        <v>88</v>
      </c>
      <c r="S69" s="361">
        <f t="shared" si="2"/>
        <v>0.93714285714285717</v>
      </c>
    </row>
    <row r="70" spans="2:19">
      <c r="B70"/>
      <c r="C70" s="233" t="str">
        <f>IF(B70="","",IF(LEN(B70)&gt;9,SUMIFS(Options!$H$3:$H$26,Options!$B$3:$B$26,Check!B70),SUMIFS('Master P&amp;L'!$H$11:$H$93,'Master P&amp;L'!$B$11:$B$93,Check!B70)))</f>
        <v/>
      </c>
      <c r="D70" s="233" t="str">
        <f>IF(B70="","",SUMIFS(Input_APM!N:N,Input_APM!L:L,Check!B70,Input_APM!M:M,Check!$F$1))</f>
        <v/>
      </c>
      <c r="E70" s="217" t="str">
        <f t="shared" si="6"/>
        <v/>
      </c>
      <c r="F70" s="233" t="str">
        <f>IF(B70="","",SUMIFS(Input_APM!N:N,Input_APM!M:M,Check!$F$1,Input_APM!L:L,Check!B70))</f>
        <v/>
      </c>
      <c r="G70" s="233" t="str">
        <f>IF(B70="","",SUMIFS(Input_APM!N:N,Input_APM!M:M,Check!$G$1,Input_APM!L:L,Check!B70))</f>
        <v/>
      </c>
      <c r="H70" s="217" t="str">
        <f t="shared" ref="H70:H77" si="7">IF(B70="","",F70-G70)</f>
        <v/>
      </c>
      <c r="I70" s="217">
        <f>SUMIFS(Input_APM!N:N,Input_APM!L:L,Check!B70)</f>
        <v>0</v>
      </c>
      <c r="J70" s="219" t="str">
        <f t="shared" ref="J70:J77" si="8">IF(B70="","",(F70+G70)-I70)</f>
        <v/>
      </c>
      <c r="K70" s="22" t="str">
        <f>IF(B70="","",SUMIFS('Input_APM (Zenith)'!N:N,'Input_APM (Zenith)'!L:L,Check!B70,'Input_APM (Zenith)'!M:M,Check!$F$1))</f>
        <v/>
      </c>
      <c r="L70" s="22" t="str">
        <f>IF(B70="","",SUMIFS('Input_APM (Zenith)'!N:N,'Input_APM (Zenith)'!L:L,Check!B70,'Input_APM (Zenith)'!M:M,Check!$G$1))</f>
        <v/>
      </c>
      <c r="M70" s="217" t="str">
        <f t="shared" ref="M70:M79" si="9">IF(B70="","",F70+G70+K70+L70)</f>
        <v/>
      </c>
      <c r="O70" t="s">
        <v>88</v>
      </c>
      <c r="P70" s="217">
        <f>IF(O70="","",IF(OR(LEFT(O70,4)="Cash",LEFT(O70,4)="Prov"),0,SUMIFS(Input_APM!N:N,Input_APM!L:L,Check!O70)))</f>
        <v>42865</v>
      </c>
      <c r="Q70" s="22">
        <f>IF(O70="","",IF(LEN(O70)&gt;9,SUMIFS(Options!$H$3:$H$26,Options!$B$3:$B$26,Check!O70),SUMIFS('Master P&amp;L'!$H$11:$H$93,'Master P&amp;L'!$B$11:$B$93,Check!O70)))</f>
        <v>45750</v>
      </c>
      <c r="R70" s="217">
        <f t="shared" ref="R70:R99" si="10">IF(O70="","",P70-Q70)</f>
        <v>-2885</v>
      </c>
      <c r="S70" s="361">
        <f t="shared" ref="S70:S133" si="11">IF(O70="","",IF((P70+Q70)=0,"Ok",IF(OR(P70=0,Q70=0),"Erro",P70/Q70)))</f>
        <v>0.93693989071038253</v>
      </c>
    </row>
    <row r="71" spans="2:19">
      <c r="B71"/>
      <c r="C71" s="233" t="str">
        <f>IF(B71="","",IF(LEN(B71)&gt;9,SUMIFS(Options!$H$3:$H$26,Options!$B$3:$B$26,Check!B71),SUMIFS('Master P&amp;L'!$H$11:$H$93,'Master P&amp;L'!$B$11:$B$93,Check!B71)))</f>
        <v/>
      </c>
      <c r="D71" s="233" t="str">
        <f>IF(B71="","",SUMIFS(Input_APM!N:N,Input_APM!L:L,Check!B71,Input_APM!M:M,Check!$F$1))</f>
        <v/>
      </c>
      <c r="E71" s="217" t="str">
        <f t="shared" si="6"/>
        <v/>
      </c>
      <c r="F71" s="233" t="str">
        <f>IF(B71="","",SUMIFS(Input_APM!N:N,Input_APM!M:M,Check!$F$1,Input_APM!L:L,Check!B71))</f>
        <v/>
      </c>
      <c r="G71" s="233" t="str">
        <f>IF(B71="","",SUMIFS(Input_APM!N:N,Input_APM!M:M,Check!$G$1,Input_APM!L:L,Check!B71))</f>
        <v/>
      </c>
      <c r="H71" s="217" t="str">
        <f t="shared" si="7"/>
        <v/>
      </c>
      <c r="I71" s="217">
        <f>SUMIFS(Input_APM!N:N,Input_APM!L:L,Check!B71)</f>
        <v>0</v>
      </c>
      <c r="J71" s="219" t="str">
        <f t="shared" si="8"/>
        <v/>
      </c>
      <c r="K71" s="22" t="str">
        <f>IF(B71="","",SUMIFS('Input_APM (Zenith)'!N:N,'Input_APM (Zenith)'!L:L,Check!B71,'Input_APM (Zenith)'!M:M,Check!$F$1))</f>
        <v/>
      </c>
      <c r="L71" s="22" t="str">
        <f>IF(B71="","",SUMIFS('Input_APM (Zenith)'!N:N,'Input_APM (Zenith)'!L:L,Check!B71,'Input_APM (Zenith)'!M:M,Check!$G$1))</f>
        <v/>
      </c>
      <c r="M71" s="217" t="str">
        <f t="shared" si="9"/>
        <v/>
      </c>
      <c r="O71" t="s">
        <v>4</v>
      </c>
      <c r="P71" s="217">
        <f>IF(O71="","",IF(OR(LEFT(O71,4)="Cash",LEFT(O71,4)="Prov"),0,SUMIFS(Input_APM!N:N,Input_APM!L:L,Check!O71)))</f>
        <v>-25765</v>
      </c>
      <c r="Q71" s="22">
        <f>IF(O71="","",IF(LEN(O71)&gt;9,SUMIFS(Options!$H$3:$H$26,Options!$B$3:$B$26,Check!O71),SUMIFS('Master P&amp;L'!$H$11:$H$93,'Master P&amp;L'!$B$11:$B$93,Check!O71)))</f>
        <v>-27500</v>
      </c>
      <c r="R71" s="217">
        <f t="shared" si="10"/>
        <v>1735</v>
      </c>
      <c r="S71" s="361">
        <f t="shared" si="11"/>
        <v>0.93690909090909091</v>
      </c>
    </row>
    <row r="72" spans="2:19">
      <c r="B72"/>
      <c r="C72" s="233" t="str">
        <f>IF(B72="","",IF(LEN(B72)&gt;9,SUMIFS(Options!$H$3:$H$26,Options!$B$3:$B$26,Check!B72),SUMIFS('Master P&amp;L'!$H$11:$H$93,'Master P&amp;L'!$B$11:$B$93,Check!B72)))</f>
        <v/>
      </c>
      <c r="D72" s="233" t="str">
        <f>IF(B72="","",SUMIFS(Input_APM!N:N,Input_APM!L:L,Check!B72,Input_APM!M:M,Check!$F$1))</f>
        <v/>
      </c>
      <c r="E72" s="217" t="str">
        <f t="shared" si="6"/>
        <v/>
      </c>
      <c r="F72" s="233" t="str">
        <f>IF(B72="","",SUMIFS(Input_APM!N:N,Input_APM!M:M,Check!$F$1,Input_APM!L:L,Check!B72))</f>
        <v/>
      </c>
      <c r="G72" s="233" t="str">
        <f>IF(B72="","",SUMIFS(Input_APM!N:N,Input_APM!M:M,Check!$G$1,Input_APM!L:L,Check!B72))</f>
        <v/>
      </c>
      <c r="H72" s="217" t="str">
        <f t="shared" si="7"/>
        <v/>
      </c>
      <c r="I72" s="217">
        <f>SUMIFS(Input_APM!N:N,Input_APM!L:L,Check!B72)</f>
        <v>0</v>
      </c>
      <c r="J72" s="219" t="str">
        <f t="shared" si="8"/>
        <v/>
      </c>
      <c r="K72" s="22" t="str">
        <f>IF(B72="","",SUMIFS('Input_APM (Zenith)'!N:N,'Input_APM (Zenith)'!L:L,Check!B72,'Input_APM (Zenith)'!M:M,Check!$F$1))</f>
        <v/>
      </c>
      <c r="L72" s="22" t="str">
        <f>IF(B72="","",SUMIFS('Input_APM (Zenith)'!N:N,'Input_APM (Zenith)'!L:L,Check!B72,'Input_APM (Zenith)'!M:M,Check!$G$1))</f>
        <v/>
      </c>
      <c r="M72" s="217" t="str">
        <f t="shared" si="9"/>
        <v/>
      </c>
      <c r="O72" t="s">
        <v>311</v>
      </c>
      <c r="P72" s="217" t="str">
        <f>IF(O72="","",IF(OR(LEFT(O72,4)="Cash",LEFT(O72,4)="Prov"),0,SUMIFS(Input_APM!N:N,Input_APM!L:L,Check!O72)))</f>
        <v/>
      </c>
      <c r="Q72" s="22" t="str">
        <f>IF(O72="","",IF(LEN(O72)&gt;9,SUMIFS(Options!$H$3:$H$26,Options!$B$3:$B$26,Check!O72),SUMIFS('Master P&amp;L'!$H$11:$H$93,'Master P&amp;L'!$B$11:$B$93,Check!O72)))</f>
        <v/>
      </c>
      <c r="R72" s="217" t="str">
        <f t="shared" si="10"/>
        <v/>
      </c>
      <c r="S72" s="361" t="str">
        <f t="shared" si="11"/>
        <v/>
      </c>
    </row>
    <row r="73" spans="2:19">
      <c r="B73"/>
      <c r="C73" s="233" t="str">
        <f>IF(B73="","",IF(LEN(B73)&gt;9,SUMIFS(Options!$H$3:$H$26,Options!$B$3:$B$26,Check!B73),SUMIFS('Master P&amp;L'!$H$11:$H$93,'Master P&amp;L'!$B$11:$B$93,Check!B73)))</f>
        <v/>
      </c>
      <c r="D73" s="233" t="str">
        <f>IF(B73="","",SUMIFS(Input_APM!N:N,Input_APM!L:L,Check!B73,Input_APM!M:M,Check!$F$1))</f>
        <v/>
      </c>
      <c r="E73" s="217" t="str">
        <f t="shared" ref="E73:E79" si="12">IF(B73="","",C73-M73)</f>
        <v/>
      </c>
      <c r="F73" s="233" t="str">
        <f>IF(B73="","",SUMIFS(Input_APM!N:N,Input_APM!M:M,Check!$F$1,Input_APM!L:L,Check!B73))</f>
        <v/>
      </c>
      <c r="G73" s="233" t="str">
        <f>IF(B73="","",SUMIFS(Input_APM!N:N,Input_APM!M:M,Check!$G$1,Input_APM!L:L,Check!B73))</f>
        <v/>
      </c>
      <c r="H73" s="217" t="str">
        <f t="shared" si="7"/>
        <v/>
      </c>
      <c r="I73" s="217">
        <f>SUMIFS(Input_APM!N:N,Input_APM!L:L,Check!B73)</f>
        <v>0</v>
      </c>
      <c r="J73" s="219" t="str">
        <f t="shared" si="8"/>
        <v/>
      </c>
      <c r="K73" s="22" t="str">
        <f>IF(B73="","",SUMIFS('Input_APM (Zenith)'!N:N,'Input_APM (Zenith)'!L:L,Check!B73,'Input_APM (Zenith)'!M:M,Check!$F$1))</f>
        <v/>
      </c>
      <c r="L73" s="22" t="str">
        <f>IF(B73="","",SUMIFS('Input_APM (Zenith)'!N:N,'Input_APM (Zenith)'!L:L,Check!B73,'Input_APM (Zenith)'!M:M,Check!$G$1))</f>
        <v/>
      </c>
      <c r="M73" s="217" t="str">
        <f t="shared" si="9"/>
        <v/>
      </c>
      <c r="O73"/>
      <c r="P73" s="217" t="str">
        <f>IF(O73="","",IF(OR(LEFT(O73,4)="Cash",LEFT(O73,4)="Prov"),0,SUMIFS(Input_APM!N:N,Input_APM!L:L,Check!O73)))</f>
        <v/>
      </c>
      <c r="Q73" s="22" t="str">
        <f>IF(O73="","",IF(LEN(O73)&gt;9,SUMIFS(Options!$H$3:$H$26,Options!$B$3:$B$26,Check!O73),SUMIFS('Master P&amp;L'!$H$11:$H$93,'Master P&amp;L'!$B$11:$B$93,Check!O73)))</f>
        <v/>
      </c>
      <c r="R73" s="217" t="str">
        <f t="shared" si="10"/>
        <v/>
      </c>
      <c r="S73" s="361" t="str">
        <f t="shared" si="11"/>
        <v/>
      </c>
    </row>
    <row r="74" spans="2:19">
      <c r="B74"/>
      <c r="C74" s="233" t="str">
        <f>IF(B74="","",IF(LEN(B74)&gt;9,SUMIFS(Options!$H$3:$H$26,Options!$B$3:$B$26,Check!B74),SUMIFS('Master P&amp;L'!$H$11:$H$93,'Master P&amp;L'!$B$11:$B$93,Check!B74)))</f>
        <v/>
      </c>
      <c r="D74" s="233" t="str">
        <f>IF(B74="","",SUMIFS(Input_APM!N:N,Input_APM!L:L,Check!B74,Input_APM!M:M,Check!$F$1))</f>
        <v/>
      </c>
      <c r="E74" s="217" t="str">
        <f t="shared" si="12"/>
        <v/>
      </c>
      <c r="F74" s="233" t="str">
        <f>IF(B74="","",SUMIFS(Input_APM!N:N,Input_APM!M:M,Check!$F$1,Input_APM!L:L,Check!B74))</f>
        <v/>
      </c>
      <c r="G74" s="233" t="str">
        <f>IF(B74="","",SUMIFS(Input_APM!N:N,Input_APM!M:M,Check!$G$1,Input_APM!L:L,Check!B74))</f>
        <v/>
      </c>
      <c r="H74" s="217" t="str">
        <f t="shared" si="7"/>
        <v/>
      </c>
      <c r="I74" s="217">
        <f>SUMIFS(Input_APM!N:N,Input_APM!L:L,Check!B74)</f>
        <v>0</v>
      </c>
      <c r="J74" s="219" t="str">
        <f t="shared" si="8"/>
        <v/>
      </c>
      <c r="K74" s="22" t="str">
        <f>IF(B74="","",SUMIFS('Input_APM (Zenith)'!N:N,'Input_APM (Zenith)'!L:L,Check!B74,'Input_APM (Zenith)'!M:M,Check!$F$1))</f>
        <v/>
      </c>
      <c r="L74" s="22" t="str">
        <f>IF(B74="","",SUMIFS('Input_APM (Zenith)'!N:N,'Input_APM (Zenith)'!L:L,Check!B74,'Input_APM (Zenith)'!M:M,Check!$G$1))</f>
        <v/>
      </c>
      <c r="M74" s="217" t="str">
        <f t="shared" si="9"/>
        <v/>
      </c>
      <c r="O74"/>
      <c r="P74" s="217" t="str">
        <f>IF(O74="","",IF(OR(LEFT(O74,4)="Cash",LEFT(O74,4)="Prov"),0,SUMIFS(Input_APM!N:N,Input_APM!L:L,Check!O74)))</f>
        <v/>
      </c>
      <c r="Q74" s="22" t="str">
        <f>IF(O74="","",IF(LEN(O74)&gt;9,SUMIFS(Options!$H$3:$H$26,Options!$B$3:$B$26,Check!O74),SUMIFS('Master P&amp;L'!$H$11:$H$93,'Master P&amp;L'!$B$11:$B$93,Check!O74)))</f>
        <v/>
      </c>
      <c r="R74" s="217" t="str">
        <f t="shared" si="10"/>
        <v/>
      </c>
      <c r="S74" s="361" t="str">
        <f t="shared" si="11"/>
        <v/>
      </c>
    </row>
    <row r="75" spans="2:19">
      <c r="B75"/>
      <c r="C75" s="233" t="str">
        <f>IF(B75="","",IF(LEN(B75)&gt;9,SUMIFS(Options!$H$3:$H$26,Options!$B$3:$B$26,Check!B75),SUMIFS('Master P&amp;L'!$H$11:$H$93,'Master P&amp;L'!$B$11:$B$93,Check!B75)))</f>
        <v/>
      </c>
      <c r="D75" s="233" t="str">
        <f>IF(B75="","",SUMIFS(Input_APM!N:N,Input_APM!L:L,Check!B75,Input_APM!M:M,Check!$F$1))</f>
        <v/>
      </c>
      <c r="E75" s="217" t="str">
        <f t="shared" si="12"/>
        <v/>
      </c>
      <c r="F75" s="233" t="str">
        <f>IF(B75="","",SUMIFS(Input_APM!N:N,Input_APM!M:M,Check!$F$1,Input_APM!L:L,Check!B75))</f>
        <v/>
      </c>
      <c r="G75" s="233" t="str">
        <f>IF(B75="","",SUMIFS(Input_APM!N:N,Input_APM!M:M,Check!$G$1,Input_APM!L:L,Check!B75))</f>
        <v/>
      </c>
      <c r="H75" s="217" t="str">
        <f t="shared" si="7"/>
        <v/>
      </c>
      <c r="I75" s="217">
        <f>SUMIFS(Input_APM!N:N,Input_APM!L:L,Check!B75)</f>
        <v>0</v>
      </c>
      <c r="J75" s="219" t="str">
        <f t="shared" si="8"/>
        <v/>
      </c>
      <c r="K75" s="22" t="str">
        <f>IF(B75="","",SUMIFS('Input_APM (Zenith)'!N:N,'Input_APM (Zenith)'!L:L,Check!B75,'Input_APM (Zenith)'!M:M,Check!$F$1))</f>
        <v/>
      </c>
      <c r="L75" s="22" t="str">
        <f>IF(B75="","",SUMIFS('Input_APM (Zenith)'!N:N,'Input_APM (Zenith)'!L:L,Check!B75,'Input_APM (Zenith)'!M:M,Check!$G$1))</f>
        <v/>
      </c>
      <c r="M75" s="217" t="str">
        <f t="shared" si="9"/>
        <v/>
      </c>
      <c r="O75"/>
      <c r="P75" s="217" t="str">
        <f>IF(O75="","",IF(OR(LEFT(O75,4)="Cash",LEFT(O75,4)="Prov"),0,SUMIFS(Input_APM!N:N,Input_APM!L:L,Check!O75)))</f>
        <v/>
      </c>
      <c r="Q75" s="22" t="str">
        <f>IF(O75="","",IF(LEN(O75)&gt;9,SUMIFS(Options!$H$3:$H$26,Options!$B$3:$B$26,Check!O75),SUMIFS('Master P&amp;L'!$H$11:$H$93,'Master P&amp;L'!$B$11:$B$93,Check!O75)))</f>
        <v/>
      </c>
      <c r="R75" s="217" t="str">
        <f t="shared" si="10"/>
        <v/>
      </c>
      <c r="S75" s="361" t="str">
        <f t="shared" si="11"/>
        <v/>
      </c>
    </row>
    <row r="76" spans="2:19">
      <c r="B76"/>
      <c r="C76" s="233" t="str">
        <f>IF(B76="","",IF(LEN(B76)&gt;9,SUMIFS(Options!$H$3:$H$26,Options!$B$3:$B$26,Check!B76),SUMIFS('Master P&amp;L'!$H$11:$H$93,'Master P&amp;L'!$B$11:$B$93,Check!B76)))</f>
        <v/>
      </c>
      <c r="D76" s="233" t="str">
        <f>IF(B76="","",SUMIFS(Input_APM!N:N,Input_APM!L:L,Check!B76,Input_APM!M:M,Check!$F$1))</f>
        <v/>
      </c>
      <c r="E76" s="217" t="str">
        <f t="shared" si="12"/>
        <v/>
      </c>
      <c r="F76" s="233" t="str">
        <f>IF(B76="","",SUMIFS(Input_APM!N:N,Input_APM!M:M,Check!$F$1,Input_APM!L:L,Check!B76))</f>
        <v/>
      </c>
      <c r="G76" s="233" t="str">
        <f>IF(B76="","",SUMIFS(Input_APM!N:N,Input_APM!M:M,Check!$G$1,Input_APM!L:L,Check!B76))</f>
        <v/>
      </c>
      <c r="H76" s="217" t="str">
        <f t="shared" si="7"/>
        <v/>
      </c>
      <c r="I76" s="217">
        <f>SUMIFS(Input_APM!N:N,Input_APM!L:L,Check!B76)</f>
        <v>0</v>
      </c>
      <c r="J76" s="219" t="str">
        <f t="shared" si="8"/>
        <v/>
      </c>
      <c r="K76" s="22" t="str">
        <f>IF(B76="","",SUMIFS('Input_APM (Zenith)'!N:N,'Input_APM (Zenith)'!L:L,Check!B76,'Input_APM (Zenith)'!M:M,Check!$F$1))</f>
        <v/>
      </c>
      <c r="L76" s="22" t="str">
        <f>IF(B76="","",SUMIFS('Input_APM (Zenith)'!N:N,'Input_APM (Zenith)'!L:L,Check!B76,'Input_APM (Zenith)'!M:M,Check!$G$1))</f>
        <v/>
      </c>
      <c r="M76" s="217" t="str">
        <f t="shared" si="9"/>
        <v/>
      </c>
      <c r="O76"/>
      <c r="P76" s="217" t="str">
        <f>IF(O76="","",IF(OR(LEFT(O76,4)="Cash",LEFT(O76,4)="Prov"),0,SUMIFS(Input_APM!N:N,Input_APM!L:L,Check!O76)))</f>
        <v/>
      </c>
      <c r="Q76" s="22" t="str">
        <f>IF(O76="","",IF(LEN(O76)&gt;9,SUMIFS(Options!$H$3:$H$26,Options!$B$3:$B$26,Check!O76),SUMIFS('Master P&amp;L'!$H$11:$H$93,'Master P&amp;L'!$B$11:$B$93,Check!O76)))</f>
        <v/>
      </c>
      <c r="R76" s="217" t="str">
        <f t="shared" si="10"/>
        <v/>
      </c>
      <c r="S76" s="361" t="str">
        <f t="shared" si="11"/>
        <v/>
      </c>
    </row>
    <row r="77" spans="2:19">
      <c r="B77"/>
      <c r="C77" s="233" t="str">
        <f>IF(B77="","",IF(LEN(B77)&gt;9,SUMIFS(Options!$H$3:$H$26,Options!$B$3:$B$26,Check!B77),SUMIFS('Master P&amp;L'!$H$11:$H$93,'Master P&amp;L'!$B$11:$B$93,Check!B77)))</f>
        <v/>
      </c>
      <c r="D77" s="233" t="str">
        <f>IF(B77="","",SUMIFS(Input_APM!N:N,Input_APM!L:L,Check!B77,Input_APM!M:M,Check!$F$1))</f>
        <v/>
      </c>
      <c r="E77" s="217" t="str">
        <f t="shared" si="12"/>
        <v/>
      </c>
      <c r="F77" s="233" t="str">
        <f>IF(B77="","",SUMIFS(Input_APM!N:N,Input_APM!M:M,Check!$F$1,Input_APM!L:L,Check!B77))</f>
        <v/>
      </c>
      <c r="G77" s="233" t="str">
        <f>IF(B77="","",SUMIFS(Input_APM!N:N,Input_APM!M:M,Check!$G$1,Input_APM!L:L,Check!B77))</f>
        <v/>
      </c>
      <c r="H77" s="217" t="str">
        <f t="shared" si="7"/>
        <v/>
      </c>
      <c r="I77" s="217">
        <f>SUMIFS(Input_APM!N:N,Input_APM!L:L,Check!B77)</f>
        <v>0</v>
      </c>
      <c r="J77" s="219" t="str">
        <f t="shared" si="8"/>
        <v/>
      </c>
      <c r="K77" s="22" t="str">
        <f>IF(B77="","",SUMIFS('Input_APM (Zenith)'!N:N,'Input_APM (Zenith)'!L:L,Check!B77,'Input_APM (Zenith)'!M:M,Check!$F$1))</f>
        <v/>
      </c>
      <c r="L77" s="22" t="str">
        <f>IF(B77="","",SUMIFS('Input_APM (Zenith)'!N:N,'Input_APM (Zenith)'!L:L,Check!B77,'Input_APM (Zenith)'!M:M,Check!$G$1))</f>
        <v/>
      </c>
      <c r="M77" s="217" t="str">
        <f t="shared" si="9"/>
        <v/>
      </c>
      <c r="O77"/>
      <c r="P77" s="217" t="str">
        <f>IF(O77="","",IF(OR(LEFT(O77,4)="Cash",LEFT(O77,4)="Prov"),0,SUMIFS(Input_APM!N:N,Input_APM!L:L,Check!O77)))</f>
        <v/>
      </c>
      <c r="Q77" s="22" t="str">
        <f>IF(O77="","",IF(LEN(O77)&gt;9,SUMIFS(Options!$H$3:$H$26,Options!$B$3:$B$26,Check!O77),SUMIFS('Master P&amp;L'!$H$11:$H$93,'Master P&amp;L'!$B$11:$B$93,Check!O77)))</f>
        <v/>
      </c>
      <c r="R77" s="217" t="str">
        <f t="shared" si="10"/>
        <v/>
      </c>
      <c r="S77" s="361" t="str">
        <f t="shared" si="11"/>
        <v/>
      </c>
    </row>
    <row r="78" spans="2:19">
      <c r="B78"/>
      <c r="C78" s="233" t="str">
        <f>IF(B78="","",IF(LEN(B78)&gt;9,SUMIFS(Options!$H$3:$H$26,Options!$B$3:$B$26,Check!B78),SUMIFS('Master P&amp;L'!$H$11:$H$93,'Master P&amp;L'!$B$11:$B$93,Check!B78)))</f>
        <v/>
      </c>
      <c r="D78" s="233" t="str">
        <f>IF(B78="","",SUMIFS(Input_APM!N:N,Input_APM!L:L,Check!B78,Input_APM!M:M,Check!$F$1))</f>
        <v/>
      </c>
      <c r="E78" s="217" t="str">
        <f t="shared" si="12"/>
        <v/>
      </c>
      <c r="F78" s="233" t="str">
        <f>IF(B78="","",SUMIFS(Input_APM!N:N,Input_APM!M:M,Check!$F$1,Input_APM!L:L,Check!B78))</f>
        <v/>
      </c>
      <c r="G78" s="233" t="str">
        <f>IF(B78="","",SUMIFS(Input_APM!N:N,Input_APM!M:M,Check!$G$1,Input_APM!L:L,Check!B78))</f>
        <v/>
      </c>
      <c r="H78" s="217" t="str">
        <f>IF(B78="","",F78-G78)</f>
        <v/>
      </c>
      <c r="I78" s="217">
        <f>SUMIFS(Input_APM!N:N,Input_APM!L:L,Check!B78)</f>
        <v>0</v>
      </c>
      <c r="J78" s="219" t="str">
        <f>IF(B78="","",(F78+G78)-I78)</f>
        <v/>
      </c>
      <c r="K78" s="22" t="str">
        <f>IF(B78="","",SUMIFS('Input_APM (Zenith)'!N:N,'Input_APM (Zenith)'!L:L,Check!B78,'Input_APM (Zenith)'!M:M,Check!$F$1))</f>
        <v/>
      </c>
      <c r="L78" s="22" t="str">
        <f>IF(B78="","",SUMIFS('Input_APM (Zenith)'!N:N,'Input_APM (Zenith)'!L:L,Check!B78,'Input_APM (Zenith)'!M:M,Check!$G$1))</f>
        <v/>
      </c>
      <c r="M78" s="217" t="str">
        <f t="shared" si="9"/>
        <v/>
      </c>
      <c r="O78"/>
      <c r="P78" s="217" t="str">
        <f>IF(O78="","",IF(OR(LEFT(O78,4)="Cash",LEFT(O78,4)="Prov"),0,SUMIFS(Input_APM!N:N,Input_APM!L:L,Check!O78)))</f>
        <v/>
      </c>
      <c r="Q78" s="22" t="str">
        <f>IF(O78="","",IF(LEN(O78)&gt;9,SUMIFS(Options!$H$3:$H$26,Options!$B$3:$B$26,Check!O78),SUMIFS('Master P&amp;L'!$H$11:$H$93,'Master P&amp;L'!$B$11:$B$93,Check!O78)))</f>
        <v/>
      </c>
      <c r="R78" s="217" t="str">
        <f t="shared" si="10"/>
        <v/>
      </c>
      <c r="S78" s="361" t="str">
        <f t="shared" si="11"/>
        <v/>
      </c>
    </row>
    <row r="79" spans="2:19">
      <c r="B79"/>
      <c r="C79" s="233" t="str">
        <f>IF(B79="","",IF(LEN(B79)&gt;9,SUMIFS(Options!$H$3:$H$26,Options!$B$3:$B$26,Check!B79),SUMIFS('Master P&amp;L'!$H$11:$H$93,'Master P&amp;L'!$B$11:$B$93,Check!B79)))</f>
        <v/>
      </c>
      <c r="D79" s="233" t="str">
        <f>IF(B79="","",SUMIFS(Input_APM!N:N,Input_APM!L:L,Check!B79,Input_APM!M:M,Check!$F$1))</f>
        <v/>
      </c>
      <c r="E79" s="217" t="str">
        <f t="shared" si="12"/>
        <v/>
      </c>
      <c r="F79" s="233" t="str">
        <f>IF(B79="","",SUMIFS(Input_APM!N:N,Input_APM!M:M,Check!$F$1,Input_APM!L:L,Check!B79))</f>
        <v/>
      </c>
      <c r="G79" s="233" t="str">
        <f>IF(B79="","",SUMIFS(Input_APM!N:N,Input_APM!M:M,Check!$G$1,Input_APM!L:L,Check!B79))</f>
        <v/>
      </c>
      <c r="H79" s="217" t="str">
        <f>IF(B79="","",F79-G79)</f>
        <v/>
      </c>
      <c r="I79" s="217">
        <f>SUMIFS(Input_APM!N:N,Input_APM!L:L,Check!B79)</f>
        <v>0</v>
      </c>
      <c r="J79" s="219" t="str">
        <f>IF(B79="","",(F79+G79)-I79)</f>
        <v/>
      </c>
      <c r="K79" s="22" t="str">
        <f>IF(B79="","",SUMIFS('Input_APM (Zenith)'!N:N,'Input_APM (Zenith)'!L:L,Check!B79,'Input_APM (Zenith)'!M:M,Check!$F$1))</f>
        <v/>
      </c>
      <c r="L79" s="22" t="str">
        <f>IF(B79="","",SUMIFS('Input_APM (Zenith)'!N:N,'Input_APM (Zenith)'!L:L,Check!B79,'Input_APM (Zenith)'!M:M,Check!$G$1))</f>
        <v/>
      </c>
      <c r="M79" s="217" t="str">
        <f t="shared" si="9"/>
        <v/>
      </c>
      <c r="O79"/>
      <c r="P79" s="217" t="str">
        <f>IF(O79="","",IF(OR(LEFT(O79,4)="Cash",LEFT(O79,4)="Prov"),0,SUMIFS(Input_APM!N:N,Input_APM!L:L,Check!O79)))</f>
        <v/>
      </c>
      <c r="Q79" s="22" t="str">
        <f>IF(O79="","",IF(LEN(O79)&gt;9,SUMIFS(Options!$H$3:$H$26,Options!$B$3:$B$26,Check!O79),SUMIFS('Master P&amp;L'!$H$11:$H$93,'Master P&amp;L'!$B$11:$B$93,Check!O79)))</f>
        <v/>
      </c>
      <c r="R79" s="217" t="str">
        <f t="shared" si="10"/>
        <v/>
      </c>
      <c r="S79" s="361" t="str">
        <f t="shared" si="11"/>
        <v/>
      </c>
    </row>
    <row r="80" spans="2:19">
      <c r="B80"/>
      <c r="C80" s="233" t="str">
        <f>IF(B80="","",IF(LEN(B80)&gt;9,SUMIFS(Options!$H$3:$H$26,Options!$B$3:$B$26,Check!B80),SUMIFS('Master P&amp;L'!$H$11:$H$93,'Master P&amp;L'!$B$11:$B$93,Check!B80)))</f>
        <v/>
      </c>
      <c r="D80" s="233" t="str">
        <f>IF(B80="","",SUMIFS(Input_APM!N:N,Input_APM!L:L,Check!B80,Input_APM!M:M,Check!$F$1))</f>
        <v/>
      </c>
      <c r="E80" s="217" t="str">
        <f t="shared" ref="E80:E89" si="13">IF(B80="","",C80-M80)</f>
        <v/>
      </c>
      <c r="F80" s="233" t="str">
        <f>IF(B80="","",SUMIFS(Input_APM!N:N,Input_APM!M:M,Check!$F$1,Input_APM!L:L,Check!B80))</f>
        <v/>
      </c>
      <c r="G80" s="233" t="str">
        <f>IF(B80="","",SUMIFS(Input_APM!N:N,Input_APM!M:M,Check!$G$1,Input_APM!L:L,Check!B80))</f>
        <v/>
      </c>
      <c r="H80" s="217" t="str">
        <f t="shared" ref="H80:H89" si="14">IF(B80="","",F80-G80)</f>
        <v/>
      </c>
      <c r="I80" s="217">
        <f>SUMIFS(Input_APM!N:N,Input_APM!L:L,Check!B80)</f>
        <v>0</v>
      </c>
      <c r="J80" s="219" t="str">
        <f t="shared" ref="J80:J89" si="15">IF(B80="","",(F80+G80)-I80)</f>
        <v/>
      </c>
      <c r="K80" s="22" t="str">
        <f>IF(B80="","",SUMIFS('Input_APM (Zenith)'!N:N,'Input_APM (Zenith)'!L:L,Check!B80,'Input_APM (Zenith)'!M:M,Check!$F$1))</f>
        <v/>
      </c>
      <c r="L80" s="22" t="str">
        <f>IF(B80="","",SUMIFS('Input_APM (Zenith)'!N:N,'Input_APM (Zenith)'!L:L,Check!B80,'Input_APM (Zenith)'!M:M,Check!$G$1))</f>
        <v/>
      </c>
      <c r="M80" s="217" t="str">
        <f t="shared" ref="M80:M89" si="16">IF(B80="","",F80+G80+K80+L80)</f>
        <v/>
      </c>
      <c r="O80"/>
      <c r="P80" s="217" t="str">
        <f>IF(O80="","",IF(OR(LEFT(O80,4)="Cash",LEFT(O80,4)="Prov"),0,SUMIFS(Input_APM!N:N,Input_APM!L:L,Check!O80)))</f>
        <v/>
      </c>
      <c r="Q80" s="22" t="str">
        <f>IF(O80="","",IF(LEN(O80)&gt;9,SUMIFS(Options!$H$3:$H$26,Options!$B$3:$B$26,Check!O80),SUMIFS('Master P&amp;L'!$H$11:$H$93,'Master P&amp;L'!$B$11:$B$93,Check!O80)))</f>
        <v/>
      </c>
      <c r="R80" s="217" t="str">
        <f t="shared" si="10"/>
        <v/>
      </c>
      <c r="S80" s="361" t="str">
        <f t="shared" si="11"/>
        <v/>
      </c>
    </row>
    <row r="81" spans="2:19">
      <c r="B81"/>
      <c r="C81" s="233" t="str">
        <f>IF(B81="","",IF(LEN(B81)&gt;9,SUMIFS(Options!$H$3:$H$26,Options!$B$3:$B$26,Check!B81),SUMIFS('Master P&amp;L'!$H$11:$H$93,'Master P&amp;L'!$B$11:$B$93,Check!B81)))</f>
        <v/>
      </c>
      <c r="D81" s="233" t="str">
        <f>IF(B81="","",SUMIFS(Input_APM!N:N,Input_APM!L:L,Check!B81,Input_APM!M:M,Check!$F$1))</f>
        <v/>
      </c>
      <c r="E81" s="217" t="str">
        <f t="shared" si="13"/>
        <v/>
      </c>
      <c r="F81" s="233" t="str">
        <f>IF(B81="","",SUMIFS(Input_APM!N:N,Input_APM!M:M,Check!$F$1,Input_APM!L:L,Check!B81))</f>
        <v/>
      </c>
      <c r="G81" s="233" t="str">
        <f>IF(B81="","",SUMIFS(Input_APM!N:N,Input_APM!M:M,Check!$G$1,Input_APM!L:L,Check!B81))</f>
        <v/>
      </c>
      <c r="H81" s="217" t="str">
        <f t="shared" si="14"/>
        <v/>
      </c>
      <c r="I81" s="217">
        <f>SUMIFS(Input_APM!N:N,Input_APM!L:L,Check!B81)</f>
        <v>0</v>
      </c>
      <c r="J81" s="219" t="str">
        <f t="shared" si="15"/>
        <v/>
      </c>
      <c r="K81" s="22" t="str">
        <f>IF(B81="","",SUMIFS('Input_APM (Zenith)'!N:N,'Input_APM (Zenith)'!L:L,Check!B81,'Input_APM (Zenith)'!M:M,Check!$F$1))</f>
        <v/>
      </c>
      <c r="L81" s="22" t="str">
        <f>IF(B81="","",SUMIFS('Input_APM (Zenith)'!N:N,'Input_APM (Zenith)'!L:L,Check!B81,'Input_APM (Zenith)'!M:M,Check!$G$1))</f>
        <v/>
      </c>
      <c r="M81" s="217" t="str">
        <f t="shared" si="16"/>
        <v/>
      </c>
      <c r="O81"/>
      <c r="P81" s="217" t="str">
        <f>IF(O81="","",IF(OR(LEFT(O81,4)="Cash",LEFT(O81,4)="Prov"),0,SUMIFS(Input_APM!N:N,Input_APM!L:L,Check!O81)))</f>
        <v/>
      </c>
      <c r="Q81" s="22" t="str">
        <f>IF(O81="","",IF(LEN(O81)&gt;9,SUMIFS(Options!$H$3:$H$26,Options!$B$3:$B$26,Check!O81),SUMIFS('Master P&amp;L'!$H$11:$H$93,'Master P&amp;L'!$B$11:$B$93,Check!O81)))</f>
        <v/>
      </c>
      <c r="R81" s="217" t="str">
        <f t="shared" si="10"/>
        <v/>
      </c>
      <c r="S81" s="361" t="str">
        <f t="shared" si="11"/>
        <v/>
      </c>
    </row>
    <row r="82" spans="2:19">
      <c r="B82"/>
      <c r="C82" s="233" t="str">
        <f>IF(B82="","",IF(LEN(B82)&gt;9,SUMIFS(Options!$H$3:$H$26,Options!$B$3:$B$26,Check!B82),SUMIFS('Master P&amp;L'!$H$11:$H$93,'Master P&amp;L'!$B$11:$B$93,Check!B82)))</f>
        <v/>
      </c>
      <c r="D82" s="233" t="str">
        <f>IF(B82="","",SUMIFS(Input_APM!N:N,Input_APM!L:L,Check!B82,Input_APM!M:M,Check!$F$1))</f>
        <v/>
      </c>
      <c r="E82" s="217" t="str">
        <f t="shared" si="13"/>
        <v/>
      </c>
      <c r="F82" s="233" t="str">
        <f>IF(B82="","",SUMIFS(Input_APM!N:N,Input_APM!M:M,Check!$F$1,Input_APM!L:L,Check!B82))</f>
        <v/>
      </c>
      <c r="G82" s="233" t="str">
        <f>IF(B82="","",SUMIFS(Input_APM!N:N,Input_APM!M:M,Check!$G$1,Input_APM!L:L,Check!B82))</f>
        <v/>
      </c>
      <c r="H82" s="217" t="str">
        <f t="shared" si="14"/>
        <v/>
      </c>
      <c r="I82" s="217">
        <f>SUMIFS(Input_APM!N:N,Input_APM!L:L,Check!B82)</f>
        <v>0</v>
      </c>
      <c r="J82" s="219" t="str">
        <f t="shared" si="15"/>
        <v/>
      </c>
      <c r="K82" s="22" t="str">
        <f>IF(B82="","",SUMIFS('Input_APM (Zenith)'!N:N,'Input_APM (Zenith)'!L:L,Check!B82,'Input_APM (Zenith)'!M:M,Check!$F$1))</f>
        <v/>
      </c>
      <c r="L82" s="22" t="str">
        <f>IF(B82="","",SUMIFS('Input_APM (Zenith)'!N:N,'Input_APM (Zenith)'!L:L,Check!B82,'Input_APM (Zenith)'!M:M,Check!$G$1))</f>
        <v/>
      </c>
      <c r="M82" s="217" t="str">
        <f t="shared" si="16"/>
        <v/>
      </c>
      <c r="O82"/>
      <c r="P82" s="217" t="str">
        <f>IF(O82="","",IF(OR(LEFT(O82,4)="Cash",LEFT(O82,4)="Prov"),0,SUMIFS(Input_APM!N:N,Input_APM!L:L,Check!O82)))</f>
        <v/>
      </c>
      <c r="Q82" s="22" t="str">
        <f>IF(O82="","",IF(LEN(O82)&gt;9,SUMIFS(Options!$H$3:$H$26,Options!$B$3:$B$26,Check!O82),SUMIFS('Master P&amp;L'!$H$11:$H$93,'Master P&amp;L'!$B$11:$B$93,Check!O82)))</f>
        <v/>
      </c>
      <c r="R82" s="217" t="str">
        <f t="shared" si="10"/>
        <v/>
      </c>
      <c r="S82" s="361" t="str">
        <f t="shared" si="11"/>
        <v/>
      </c>
    </row>
    <row r="83" spans="2:19">
      <c r="B83"/>
      <c r="C83" s="233" t="str">
        <f>IF(B83="","",IF(LEN(B83)&gt;9,SUMIFS(Options!$H$3:$H$26,Options!$B$3:$B$26,Check!B83),SUMIFS('Master P&amp;L'!$H$11:$H$93,'Master P&amp;L'!$B$11:$B$93,Check!B83)))</f>
        <v/>
      </c>
      <c r="D83" s="233" t="str">
        <f>IF(B83="","",SUMIFS(Input_APM!N:N,Input_APM!L:L,Check!B83,Input_APM!M:M,Check!$F$1))</f>
        <v/>
      </c>
      <c r="E83" s="217" t="str">
        <f t="shared" si="13"/>
        <v/>
      </c>
      <c r="F83" s="233" t="str">
        <f>IF(B83="","",SUMIFS(Input_APM!N:N,Input_APM!M:M,Check!$F$1,Input_APM!L:L,Check!B83))</f>
        <v/>
      </c>
      <c r="G83" s="233" t="str">
        <f>IF(B83="","",SUMIFS(Input_APM!N:N,Input_APM!M:M,Check!$G$1,Input_APM!L:L,Check!B83))</f>
        <v/>
      </c>
      <c r="H83" s="217" t="str">
        <f t="shared" si="14"/>
        <v/>
      </c>
      <c r="I83" s="217">
        <f>SUMIFS(Input_APM!N:N,Input_APM!L:L,Check!B83)</f>
        <v>0</v>
      </c>
      <c r="J83" s="219" t="str">
        <f t="shared" si="15"/>
        <v/>
      </c>
      <c r="K83" s="22" t="str">
        <f>IF(B83="","",SUMIFS('Input_APM (Zenith)'!N:N,'Input_APM (Zenith)'!L:L,Check!B83,'Input_APM (Zenith)'!M:M,Check!$F$1))</f>
        <v/>
      </c>
      <c r="L83" s="22" t="str">
        <f>IF(B83="","",SUMIFS('Input_APM (Zenith)'!N:N,'Input_APM (Zenith)'!L:L,Check!B83,'Input_APM (Zenith)'!M:M,Check!$G$1))</f>
        <v/>
      </c>
      <c r="M83" s="217" t="str">
        <f t="shared" si="16"/>
        <v/>
      </c>
      <c r="O83"/>
      <c r="P83" s="217" t="str">
        <f>IF(O83="","",IF(OR(LEFT(O83,4)="Cash",LEFT(O83,4)="Prov"),0,SUMIFS(Input_APM!N:N,Input_APM!L:L,Check!O83)))</f>
        <v/>
      </c>
      <c r="Q83" s="22" t="str">
        <f>IF(O83="","",IF(LEN(O83)&gt;9,SUMIFS(Options!$H$3:$H$26,Options!$B$3:$B$26,Check!O83),SUMIFS('Master P&amp;L'!$H$11:$H$93,'Master P&amp;L'!$B$11:$B$93,Check!O83)))</f>
        <v/>
      </c>
      <c r="R83" s="217" t="str">
        <f t="shared" si="10"/>
        <v/>
      </c>
      <c r="S83" s="361" t="str">
        <f t="shared" si="11"/>
        <v/>
      </c>
    </row>
    <row r="84" spans="2:19">
      <c r="B84"/>
      <c r="C84" s="233" t="str">
        <f>IF(B84="","",IF(LEN(B84)&gt;9,SUMIFS(Options!$H$3:$H$26,Options!$B$3:$B$26,Check!B84),SUMIFS('Master P&amp;L'!$H$11:$H$93,'Master P&amp;L'!$B$11:$B$93,Check!B84)))</f>
        <v/>
      </c>
      <c r="D84" s="233" t="str">
        <f>IF(B84="","",SUMIFS(Input_APM!N:N,Input_APM!L:L,Check!B84,Input_APM!M:M,Check!$F$1))</f>
        <v/>
      </c>
      <c r="E84" s="217" t="str">
        <f t="shared" si="13"/>
        <v/>
      </c>
      <c r="F84" s="233" t="str">
        <f>IF(B84="","",SUMIFS(Input_APM!N:N,Input_APM!M:M,Check!$F$1,Input_APM!L:L,Check!B84))</f>
        <v/>
      </c>
      <c r="G84" s="233" t="str">
        <f>IF(B84="","",SUMIFS(Input_APM!N:N,Input_APM!M:M,Check!$G$1,Input_APM!L:L,Check!B84))</f>
        <v/>
      </c>
      <c r="H84" s="217" t="str">
        <f t="shared" si="14"/>
        <v/>
      </c>
      <c r="I84" s="217">
        <f>SUMIFS(Input_APM!N:N,Input_APM!L:L,Check!B84)</f>
        <v>0</v>
      </c>
      <c r="J84" s="219" t="str">
        <f t="shared" si="15"/>
        <v/>
      </c>
      <c r="K84" s="22" t="str">
        <f>IF(B84="","",SUMIFS('Input_APM (Zenith)'!N:N,'Input_APM (Zenith)'!L:L,Check!B84,'Input_APM (Zenith)'!M:M,Check!$F$1))</f>
        <v/>
      </c>
      <c r="L84" s="22" t="str">
        <f>IF(B84="","",SUMIFS('Input_APM (Zenith)'!N:N,'Input_APM (Zenith)'!L:L,Check!B84,'Input_APM (Zenith)'!M:M,Check!$G$1))</f>
        <v/>
      </c>
      <c r="M84" s="217" t="str">
        <f t="shared" si="16"/>
        <v/>
      </c>
      <c r="O84"/>
      <c r="P84" s="217" t="str">
        <f>IF(O84="","",IF(OR(LEFT(O84,4)="Cash",LEFT(O84,4)="Prov"),0,SUMIFS(Input_APM!N:N,Input_APM!L:L,Check!O84)))</f>
        <v/>
      </c>
      <c r="Q84" s="22" t="str">
        <f>IF(O84="","",IF(LEN(O84)&gt;9,SUMIFS(Options!$H$3:$H$26,Options!$B$3:$B$26,Check!O84),SUMIFS('Master P&amp;L'!$H$11:$H$93,'Master P&amp;L'!$B$11:$B$93,Check!O84)))</f>
        <v/>
      </c>
      <c r="R84" s="217" t="str">
        <f t="shared" si="10"/>
        <v/>
      </c>
      <c r="S84" s="361" t="str">
        <f t="shared" si="11"/>
        <v/>
      </c>
    </row>
    <row r="85" spans="2:19">
      <c r="B85"/>
      <c r="C85" s="233" t="str">
        <f>IF(B85="","",IF(LEN(B85)&gt;9,SUMIFS(Options!$H$3:$H$26,Options!$B$3:$B$26,Check!B85),SUMIFS('Master P&amp;L'!$H$11:$H$93,'Master P&amp;L'!$B$11:$B$93,Check!B85)))</f>
        <v/>
      </c>
      <c r="D85" s="233" t="str">
        <f>IF(B85="","",SUMIFS(Input_APM!N:N,Input_APM!L:L,Check!B85,Input_APM!M:M,Check!$F$1))</f>
        <v/>
      </c>
      <c r="E85" s="217" t="str">
        <f t="shared" si="13"/>
        <v/>
      </c>
      <c r="F85" s="233" t="str">
        <f>IF(B85="","",SUMIFS(Input_APM!N:N,Input_APM!M:M,Check!$F$1,Input_APM!L:L,Check!B85))</f>
        <v/>
      </c>
      <c r="G85" s="233" t="str">
        <f>IF(B85="","",SUMIFS(Input_APM!N:N,Input_APM!M:M,Check!$G$1,Input_APM!L:L,Check!B85))</f>
        <v/>
      </c>
      <c r="H85" s="217" t="str">
        <f t="shared" si="14"/>
        <v/>
      </c>
      <c r="I85" s="217">
        <f>SUMIFS(Input_APM!N:N,Input_APM!L:L,Check!B85)</f>
        <v>0</v>
      </c>
      <c r="J85" s="219" t="str">
        <f t="shared" si="15"/>
        <v/>
      </c>
      <c r="K85" s="22" t="str">
        <f>IF(B85="","",SUMIFS('Input_APM (Zenith)'!N:N,'Input_APM (Zenith)'!L:L,Check!B85,'Input_APM (Zenith)'!M:M,Check!$F$1))</f>
        <v/>
      </c>
      <c r="L85" s="22" t="str">
        <f>IF(B85="","",SUMIFS('Input_APM (Zenith)'!N:N,'Input_APM (Zenith)'!L:L,Check!B85,'Input_APM (Zenith)'!M:M,Check!$G$1))</f>
        <v/>
      </c>
      <c r="M85" s="217" t="str">
        <f t="shared" si="16"/>
        <v/>
      </c>
      <c r="O85"/>
      <c r="P85" s="217" t="str">
        <f>IF(O85="","",IF(OR(LEFT(O85,4)="Cash",LEFT(O85,4)="Prov"),0,SUMIFS(Input_APM!N:N,Input_APM!L:L,Check!O85)))</f>
        <v/>
      </c>
      <c r="Q85" s="22" t="str">
        <f>IF(O85="","",IF(LEN(O85)&gt;9,SUMIFS(Options!$H$3:$H$26,Options!$B$3:$B$26,Check!O85),SUMIFS('Master P&amp;L'!$H$11:$H$93,'Master P&amp;L'!$B$11:$B$93,Check!O85)))</f>
        <v/>
      </c>
      <c r="R85" s="217" t="str">
        <f t="shared" si="10"/>
        <v/>
      </c>
      <c r="S85" s="361" t="str">
        <f t="shared" si="11"/>
        <v/>
      </c>
    </row>
    <row r="86" spans="2:19">
      <c r="B86"/>
      <c r="C86" s="233" t="str">
        <f>IF(B86="","",IF(LEN(B86)&gt;9,SUMIFS(Options!$H$3:$H$26,Options!$B$3:$B$26,Check!B86),SUMIFS('Master P&amp;L'!$H$11:$H$93,'Master P&amp;L'!$B$11:$B$93,Check!B86)))</f>
        <v/>
      </c>
      <c r="D86" s="233" t="str">
        <f>IF(B86="","",SUMIFS(Input_APM!N:N,Input_APM!L:L,Check!B86,Input_APM!M:M,Check!$F$1))</f>
        <v/>
      </c>
      <c r="E86" s="217" t="str">
        <f t="shared" si="13"/>
        <v/>
      </c>
      <c r="F86" s="233" t="str">
        <f>IF(B86="","",SUMIFS(Input_APM!N:N,Input_APM!M:M,Check!$F$1,Input_APM!L:L,Check!B86))</f>
        <v/>
      </c>
      <c r="G86" s="233" t="str">
        <f>IF(B86="","",SUMIFS(Input_APM!N:N,Input_APM!M:M,Check!$G$1,Input_APM!L:L,Check!B86))</f>
        <v/>
      </c>
      <c r="H86" s="217" t="str">
        <f t="shared" si="14"/>
        <v/>
      </c>
      <c r="I86" s="217">
        <f>SUMIFS(Input_APM!N:N,Input_APM!L:L,Check!B86)</f>
        <v>0</v>
      </c>
      <c r="J86" s="219" t="str">
        <f t="shared" si="15"/>
        <v/>
      </c>
      <c r="K86" s="22" t="str">
        <f>IF(B86="","",SUMIFS('Input_APM (Zenith)'!N:N,'Input_APM (Zenith)'!L:L,Check!B86,'Input_APM (Zenith)'!M:M,Check!$F$1))</f>
        <v/>
      </c>
      <c r="L86" s="22" t="str">
        <f>IF(B86="","",SUMIFS('Input_APM (Zenith)'!N:N,'Input_APM (Zenith)'!L:L,Check!B86,'Input_APM (Zenith)'!M:M,Check!$G$1))</f>
        <v/>
      </c>
      <c r="M86" s="217" t="str">
        <f t="shared" si="16"/>
        <v/>
      </c>
      <c r="O86"/>
      <c r="P86" s="217" t="str">
        <f>IF(O86="","",IF(OR(LEFT(O86,4)="Cash",LEFT(O86,4)="Prov"),0,SUMIFS(Input_APM!N:N,Input_APM!L:L,Check!O86)))</f>
        <v/>
      </c>
      <c r="Q86" s="22" t="str">
        <f>IF(O86="","",IF(LEN(O86)&gt;9,SUMIFS(Options!$H$3:$H$26,Options!$B$3:$B$26,Check!O86),SUMIFS('Master P&amp;L'!$H$11:$H$93,'Master P&amp;L'!$B$11:$B$93,Check!O86)))</f>
        <v/>
      </c>
      <c r="R86" s="217" t="str">
        <f t="shared" si="10"/>
        <v/>
      </c>
      <c r="S86" s="361" t="str">
        <f t="shared" si="11"/>
        <v/>
      </c>
    </row>
    <row r="87" spans="2:19">
      <c r="B87"/>
      <c r="C87" s="233" t="str">
        <f>IF(B87="","",IF(LEN(B87)&gt;9,SUMIFS(Options!$H$3:$H$26,Options!$B$3:$B$26,Check!B87),SUMIFS('Master P&amp;L'!$H$11:$H$93,'Master P&amp;L'!$B$11:$B$93,Check!B87)))</f>
        <v/>
      </c>
      <c r="D87" s="233" t="str">
        <f>IF(B87="","",SUMIFS(Input_APM!N:N,Input_APM!L:L,Check!B87,Input_APM!M:M,Check!$F$1))</f>
        <v/>
      </c>
      <c r="E87" s="217" t="str">
        <f t="shared" si="13"/>
        <v/>
      </c>
      <c r="F87" s="233" t="str">
        <f>IF(B87="","",SUMIFS(Input_APM!N:N,Input_APM!M:M,Check!$F$1,Input_APM!L:L,Check!B87))</f>
        <v/>
      </c>
      <c r="G87" s="233" t="str">
        <f>IF(B87="","",SUMIFS(Input_APM!N:N,Input_APM!M:M,Check!$G$1,Input_APM!L:L,Check!B87))</f>
        <v/>
      </c>
      <c r="H87" s="217" t="str">
        <f t="shared" si="14"/>
        <v/>
      </c>
      <c r="I87" s="217">
        <f>SUMIFS(Input_APM!N:N,Input_APM!L:L,Check!B87)</f>
        <v>0</v>
      </c>
      <c r="J87" s="219" t="str">
        <f t="shared" si="15"/>
        <v/>
      </c>
      <c r="K87" s="22" t="str">
        <f>IF(B87="","",SUMIFS('Input_APM (Zenith)'!N:N,'Input_APM (Zenith)'!L:L,Check!B87,'Input_APM (Zenith)'!M:M,Check!$F$1))</f>
        <v/>
      </c>
      <c r="L87" s="22" t="str">
        <f>IF(B87="","",SUMIFS('Input_APM (Zenith)'!N:N,'Input_APM (Zenith)'!L:L,Check!B87,'Input_APM (Zenith)'!M:M,Check!$G$1))</f>
        <v/>
      </c>
      <c r="M87" s="217" t="str">
        <f t="shared" si="16"/>
        <v/>
      </c>
      <c r="O87"/>
      <c r="P87" s="217" t="str">
        <f>IF(O87="","",IF(OR(LEFT(O87,4)="Cash",LEFT(O87,4)="Prov"),0,SUMIFS(Input_APM!N:N,Input_APM!L:L,Check!O87)))</f>
        <v/>
      </c>
      <c r="Q87" s="22" t="str">
        <f>IF(O87="","",IF(LEN(O87)&gt;9,SUMIFS(Options!$H$3:$H$26,Options!$B$3:$B$26,Check!O87),SUMIFS('Master P&amp;L'!$H$11:$H$93,'Master P&amp;L'!$B$11:$B$93,Check!O87)))</f>
        <v/>
      </c>
      <c r="R87" s="217" t="str">
        <f t="shared" si="10"/>
        <v/>
      </c>
      <c r="S87" s="361" t="str">
        <f t="shared" si="11"/>
        <v/>
      </c>
    </row>
    <row r="88" spans="2:19">
      <c r="B88"/>
      <c r="C88" s="233" t="str">
        <f>IF(B88="","",IF(LEN(B88)&gt;9,SUMIFS(Options!$H$3:$H$26,Options!$B$3:$B$26,Check!B88),SUMIFS('Master P&amp;L'!$H$11:$H$93,'Master P&amp;L'!$B$11:$B$93,Check!B88)))</f>
        <v/>
      </c>
      <c r="D88" s="233" t="str">
        <f>IF(B88="","",SUMIFS(Input_APM!N:N,Input_APM!L:L,Check!B88,Input_APM!M:M,Check!$F$1))</f>
        <v/>
      </c>
      <c r="E88" s="217" t="str">
        <f t="shared" si="13"/>
        <v/>
      </c>
      <c r="F88" s="233" t="str">
        <f>IF(B88="","",SUMIFS(Input_APM!N:N,Input_APM!M:M,Check!$F$1,Input_APM!L:L,Check!B88))</f>
        <v/>
      </c>
      <c r="G88" s="233" t="str">
        <f>IF(B88="","",SUMIFS(Input_APM!N:N,Input_APM!M:M,Check!$G$1,Input_APM!L:L,Check!B88))</f>
        <v/>
      </c>
      <c r="H88" s="217" t="str">
        <f t="shared" si="14"/>
        <v/>
      </c>
      <c r="I88" s="217">
        <f>SUMIFS(Input_APM!N:N,Input_APM!L:L,Check!B88)</f>
        <v>0</v>
      </c>
      <c r="J88" s="219" t="str">
        <f t="shared" si="15"/>
        <v/>
      </c>
      <c r="K88" s="22" t="str">
        <f>IF(B88="","",SUMIFS('Input_APM (Zenith)'!N:N,'Input_APM (Zenith)'!L:L,Check!B88,'Input_APM (Zenith)'!M:M,Check!$F$1))</f>
        <v/>
      </c>
      <c r="L88" s="22" t="str">
        <f>IF(B88="","",SUMIFS('Input_APM (Zenith)'!N:N,'Input_APM (Zenith)'!L:L,Check!B88,'Input_APM (Zenith)'!M:M,Check!$G$1))</f>
        <v/>
      </c>
      <c r="M88" s="217" t="str">
        <f t="shared" si="16"/>
        <v/>
      </c>
      <c r="O88"/>
      <c r="P88" s="217" t="str">
        <f>IF(O88="","",IF(OR(LEFT(O88,4)="Cash",LEFT(O88,4)="Prov"),0,SUMIFS(Input_APM!N:N,Input_APM!L:L,Check!O88)))</f>
        <v/>
      </c>
      <c r="Q88" s="22" t="str">
        <f>IF(O88="","",IF(LEN(O88)&gt;9,SUMIFS(Options!$H$3:$H$26,Options!$B$3:$B$26,Check!O88),SUMIFS('Master P&amp;L'!$H$11:$H$93,'Master P&amp;L'!$B$11:$B$93,Check!O88)))</f>
        <v/>
      </c>
      <c r="R88" s="217" t="str">
        <f t="shared" si="10"/>
        <v/>
      </c>
      <c r="S88" s="361" t="str">
        <f t="shared" si="11"/>
        <v/>
      </c>
    </row>
    <row r="89" spans="2:19">
      <c r="B89"/>
      <c r="C89" s="233" t="str">
        <f>IF(B89="","",IF(LEN(B89)&gt;9,SUMIFS(Options!$H$3:$H$26,Options!$B$3:$B$26,Check!B89),SUMIFS('Master P&amp;L'!$H$11:$H$93,'Master P&amp;L'!$B$11:$B$93,Check!B89)))</f>
        <v/>
      </c>
      <c r="D89" s="233" t="str">
        <f>IF(B89="","",SUMIFS(Input_APM!N:N,Input_APM!L:L,Check!B89,Input_APM!M:M,Check!$F$1))</f>
        <v/>
      </c>
      <c r="E89" s="217" t="str">
        <f t="shared" si="13"/>
        <v/>
      </c>
      <c r="F89" s="233" t="str">
        <f>IF(B89="","",SUMIFS(Input_APM!N:N,Input_APM!M:M,Check!$F$1,Input_APM!L:L,Check!B89))</f>
        <v/>
      </c>
      <c r="G89" s="233" t="str">
        <f>IF(B89="","",SUMIFS(Input_APM!N:N,Input_APM!M:M,Check!$G$1,Input_APM!L:L,Check!B89))</f>
        <v/>
      </c>
      <c r="H89" s="217" t="str">
        <f t="shared" si="14"/>
        <v/>
      </c>
      <c r="I89" s="217">
        <f>SUMIFS(Input_APM!N:N,Input_APM!L:L,Check!B89)</f>
        <v>0</v>
      </c>
      <c r="J89" s="219" t="str">
        <f t="shared" si="15"/>
        <v/>
      </c>
      <c r="K89" s="22" t="str">
        <f>IF(B89="","",SUMIFS('Input_APM (Zenith)'!N:N,'Input_APM (Zenith)'!L:L,Check!B89,'Input_APM (Zenith)'!M:M,Check!$F$1))</f>
        <v/>
      </c>
      <c r="L89" s="22" t="str">
        <f>IF(B89="","",SUMIFS('Input_APM (Zenith)'!N:N,'Input_APM (Zenith)'!L:L,Check!B89,'Input_APM (Zenith)'!M:M,Check!$G$1))</f>
        <v/>
      </c>
      <c r="M89" s="217" t="str">
        <f t="shared" si="16"/>
        <v/>
      </c>
      <c r="O89"/>
      <c r="P89" s="217" t="str">
        <f>IF(O89="","",IF(OR(LEFT(O89,4)="Cash",LEFT(O89,4)="Prov"),0,SUMIFS(Input_APM!N:N,Input_APM!L:L,Check!O89)))</f>
        <v/>
      </c>
      <c r="Q89" s="22" t="str">
        <f>IF(O89="","",IF(LEN(O89)&gt;9,SUMIFS(Options!$H$3:$H$26,Options!$B$3:$B$26,Check!O89),SUMIFS('Master P&amp;L'!$H$11:$H$93,'Master P&amp;L'!$B$11:$B$93,Check!O89)))</f>
        <v/>
      </c>
      <c r="R89" s="217" t="str">
        <f t="shared" si="10"/>
        <v/>
      </c>
      <c r="S89" s="361" t="str">
        <f t="shared" si="11"/>
        <v/>
      </c>
    </row>
    <row r="90" spans="2:19">
      <c r="B90"/>
      <c r="C90" s="233" t="str">
        <f>IF(B90="","",IF(LEN(B90)&gt;9,SUMIFS(Options!$H$3:$H$26,Options!$B$3:$B$26,Check!B90),SUMIFS('Master P&amp;L'!$H$11:$H$93,'Master P&amp;L'!$B$11:$B$93,Check!B90)))</f>
        <v/>
      </c>
      <c r="D90" s="233" t="str">
        <f>IF(B90="","",SUMIFS(Input_APM!N:N,Input_APM!L:L,Check!B90,Input_APM!M:M,Check!$F$1))</f>
        <v/>
      </c>
      <c r="E90" s="217" t="str">
        <f t="shared" ref="E90:E95" si="17">IF(B90="","",C90-M90)</f>
        <v/>
      </c>
      <c r="F90" s="233" t="str">
        <f>IF(B90="","",SUMIFS(Input_APM!N:N,Input_APM!M:M,Check!$F$1,Input_APM!L:L,Check!B90))</f>
        <v/>
      </c>
      <c r="G90" s="233" t="str">
        <f>IF(B90="","",SUMIFS(Input_APM!N:N,Input_APM!M:M,Check!$G$1,Input_APM!L:L,Check!B90))</f>
        <v/>
      </c>
      <c r="H90" s="217" t="str">
        <f t="shared" ref="H90:H95" si="18">IF(B90="","",F90-G90)</f>
        <v/>
      </c>
      <c r="I90" s="217">
        <f>SUMIFS(Input_APM!N:N,Input_APM!L:L,Check!B90)</f>
        <v>0</v>
      </c>
      <c r="J90" s="219" t="str">
        <f t="shared" ref="J90:J95" si="19">IF(B90="","",(F90+G90)-I90)</f>
        <v/>
      </c>
      <c r="K90" s="22" t="str">
        <f>IF(B90="","",SUMIFS('Input_APM (Zenith)'!N:N,'Input_APM (Zenith)'!L:L,Check!B90,'Input_APM (Zenith)'!M:M,Check!$F$1))</f>
        <v/>
      </c>
      <c r="L90" s="22" t="str">
        <f>IF(B90="","",SUMIFS('Input_APM (Zenith)'!N:N,'Input_APM (Zenith)'!L:L,Check!B90,'Input_APM (Zenith)'!M:M,Check!$G$1))</f>
        <v/>
      </c>
      <c r="M90" s="217" t="str">
        <f t="shared" ref="M90:M95" si="20">IF(B90="","",F90+G90+K90+L90)</f>
        <v/>
      </c>
      <c r="O90"/>
      <c r="P90" s="217" t="str">
        <f>IF(O90="","",IF(OR(LEFT(O90,4)="Cash",LEFT(O90,4)="Prov"),0,SUMIFS(Input_APM!N:N,Input_APM!L:L,Check!O90)))</f>
        <v/>
      </c>
      <c r="Q90" s="22" t="str">
        <f>IF(O90="","",IF(LEN(O90)&gt;9,SUMIFS(Options!$H$3:$H$26,Options!$B$3:$B$26,Check!O90),SUMIFS('Master P&amp;L'!$H$11:$H$93,'Master P&amp;L'!$B$11:$B$93,Check!O90)))</f>
        <v/>
      </c>
      <c r="R90" s="217" t="str">
        <f t="shared" si="10"/>
        <v/>
      </c>
      <c r="S90" s="361" t="str">
        <f t="shared" si="11"/>
        <v/>
      </c>
    </row>
    <row r="91" spans="2:19">
      <c r="B91"/>
      <c r="C91" s="233" t="str">
        <f>IF(B91="","",IF(LEN(B91)&gt;9,SUMIFS(Options!$H$3:$H$26,Options!$B$3:$B$26,Check!B91),SUMIFS('Master P&amp;L'!$H$11:$H$93,'Master P&amp;L'!$B$11:$B$93,Check!B91)))</f>
        <v/>
      </c>
      <c r="D91" s="233" t="str">
        <f>IF(B91="","",SUMIFS(Input_APM!N:N,Input_APM!L:L,Check!B91,Input_APM!M:M,Check!$F$1))</f>
        <v/>
      </c>
      <c r="E91" s="217" t="str">
        <f t="shared" si="17"/>
        <v/>
      </c>
      <c r="F91" s="233" t="str">
        <f>IF(B91="","",SUMIFS(Input_APM!N:N,Input_APM!M:M,Check!$F$1,Input_APM!L:L,Check!B91))</f>
        <v/>
      </c>
      <c r="G91" s="233" t="str">
        <f>IF(B91="","",SUMIFS(Input_APM!N:N,Input_APM!M:M,Check!$G$1,Input_APM!L:L,Check!B91))</f>
        <v/>
      </c>
      <c r="H91" s="217" t="str">
        <f t="shared" si="18"/>
        <v/>
      </c>
      <c r="I91" s="217">
        <f>SUMIFS(Input_APM!N:N,Input_APM!L:L,Check!B91)</f>
        <v>0</v>
      </c>
      <c r="J91" s="219" t="str">
        <f t="shared" si="19"/>
        <v/>
      </c>
      <c r="K91" s="22" t="str">
        <f>IF(B91="","",SUMIFS('Input_APM (Zenith)'!N:N,'Input_APM (Zenith)'!L:L,Check!B91,'Input_APM (Zenith)'!M:M,Check!$F$1))</f>
        <v/>
      </c>
      <c r="L91" s="22" t="str">
        <f>IF(B91="","",SUMIFS('Input_APM (Zenith)'!N:N,'Input_APM (Zenith)'!L:L,Check!B91,'Input_APM (Zenith)'!M:M,Check!$G$1))</f>
        <v/>
      </c>
      <c r="M91" s="217" t="str">
        <f t="shared" si="20"/>
        <v/>
      </c>
      <c r="O91"/>
      <c r="P91" s="217" t="str">
        <f>IF(O91="","",IF(OR(LEFT(O91,4)="Cash",LEFT(O91,4)="Prov"),0,SUMIFS(Input_APM!N:N,Input_APM!L:L,Check!O91)))</f>
        <v/>
      </c>
      <c r="Q91" s="22" t="str">
        <f>IF(O91="","",IF(LEN(O91)&gt;9,SUMIFS(Options!$H$3:$H$26,Options!$B$3:$B$26,Check!O91),SUMIFS('Master P&amp;L'!$H$11:$H$93,'Master P&amp;L'!$B$11:$B$93,Check!O91)))</f>
        <v/>
      </c>
      <c r="R91" s="217" t="str">
        <f t="shared" si="10"/>
        <v/>
      </c>
      <c r="S91" s="361" t="str">
        <f t="shared" si="11"/>
        <v/>
      </c>
    </row>
    <row r="92" spans="2:19">
      <c r="B92"/>
      <c r="C92" s="233" t="str">
        <f>IF(B92="","",IF(LEN(B92)&gt;9,SUMIFS(Options!$H$3:$H$26,Options!$B$3:$B$26,Check!B92),SUMIFS('Master P&amp;L'!$H$11:$H$93,'Master P&amp;L'!$B$11:$B$93,Check!B92)))</f>
        <v/>
      </c>
      <c r="D92" s="233" t="str">
        <f>IF(B92="","",SUMIFS(Input_APM!N:N,Input_APM!L:L,Check!B92,Input_APM!M:M,Check!$F$1))</f>
        <v/>
      </c>
      <c r="E92" s="217" t="str">
        <f t="shared" si="17"/>
        <v/>
      </c>
      <c r="F92" s="233" t="str">
        <f>IF(B92="","",SUMIFS(Input_APM!N:N,Input_APM!M:M,Check!$F$1,Input_APM!L:L,Check!B92))</f>
        <v/>
      </c>
      <c r="G92" s="233" t="str">
        <f>IF(B92="","",SUMIFS(Input_APM!N:N,Input_APM!M:M,Check!$G$1,Input_APM!L:L,Check!B92))</f>
        <v/>
      </c>
      <c r="H92" s="217" t="str">
        <f t="shared" si="18"/>
        <v/>
      </c>
      <c r="I92" s="217">
        <f>SUMIFS(Input_APM!N:N,Input_APM!L:L,Check!B92)</f>
        <v>0</v>
      </c>
      <c r="J92" s="219" t="str">
        <f t="shared" si="19"/>
        <v/>
      </c>
      <c r="K92" s="22" t="str">
        <f>IF(B92="","",SUMIFS('Input_APM (Zenith)'!N:N,'Input_APM (Zenith)'!L:L,Check!B92,'Input_APM (Zenith)'!M:M,Check!$F$1))</f>
        <v/>
      </c>
      <c r="L92" s="22" t="str">
        <f>IF(B92="","",SUMIFS('Input_APM (Zenith)'!N:N,'Input_APM (Zenith)'!L:L,Check!B92,'Input_APM (Zenith)'!M:M,Check!$G$1))</f>
        <v/>
      </c>
      <c r="M92" s="217" t="str">
        <f t="shared" si="20"/>
        <v/>
      </c>
      <c r="O92"/>
      <c r="P92" s="217" t="str">
        <f>IF(O92="","",IF(OR(LEFT(O92,4)="Cash",LEFT(O92,4)="Prov"),0,SUMIFS(Input_APM!N:N,Input_APM!L:L,Check!O92)))</f>
        <v/>
      </c>
      <c r="Q92" s="22" t="str">
        <f>IF(O92="","",IF(LEN(O92)&gt;9,SUMIFS(Options!$H$3:$H$26,Options!$B$3:$B$26,Check!O92),SUMIFS('Master P&amp;L'!$H$11:$H$93,'Master P&amp;L'!$B$11:$B$93,Check!O92)))</f>
        <v/>
      </c>
      <c r="R92" s="217" t="str">
        <f t="shared" si="10"/>
        <v/>
      </c>
      <c r="S92" s="361" t="str">
        <f t="shared" si="11"/>
        <v/>
      </c>
    </row>
    <row r="93" spans="2:19">
      <c r="B93"/>
      <c r="C93" s="233" t="str">
        <f>IF(B93="","",IF(LEN(B93)&gt;9,SUMIFS(Options!$H$3:$H$26,Options!$B$3:$B$26,Check!B93),SUMIFS('Master P&amp;L'!$H$11:$H$93,'Master P&amp;L'!$B$11:$B$93,Check!B93)))</f>
        <v/>
      </c>
      <c r="D93" s="233" t="str">
        <f>IF(B93="","",SUMIFS(Input_APM!N:N,Input_APM!L:L,Check!B93,Input_APM!M:M,Check!$F$1))</f>
        <v/>
      </c>
      <c r="E93" s="217" t="str">
        <f t="shared" si="17"/>
        <v/>
      </c>
      <c r="F93" s="233" t="str">
        <f>IF(B93="","",SUMIFS(Input_APM!N:N,Input_APM!M:M,Check!$F$1,Input_APM!L:L,Check!B93))</f>
        <v/>
      </c>
      <c r="G93" s="233" t="str">
        <f>IF(B93="","",SUMIFS(Input_APM!N:N,Input_APM!M:M,Check!$G$1,Input_APM!L:L,Check!B93))</f>
        <v/>
      </c>
      <c r="H93" s="217" t="str">
        <f t="shared" si="18"/>
        <v/>
      </c>
      <c r="I93" s="217">
        <f>SUMIFS(Input_APM!N:N,Input_APM!L:L,Check!B93)</f>
        <v>0</v>
      </c>
      <c r="J93" s="219" t="str">
        <f t="shared" si="19"/>
        <v/>
      </c>
      <c r="K93" s="22" t="str">
        <f>IF(B93="","",SUMIFS('Input_APM (Zenith)'!N:N,'Input_APM (Zenith)'!L:L,Check!B93,'Input_APM (Zenith)'!M:M,Check!$F$1))</f>
        <v/>
      </c>
      <c r="L93" s="22" t="str">
        <f>IF(B93="","",SUMIFS('Input_APM (Zenith)'!N:N,'Input_APM (Zenith)'!L:L,Check!B93,'Input_APM (Zenith)'!M:M,Check!$G$1))</f>
        <v/>
      </c>
      <c r="M93" s="217" t="str">
        <f t="shared" si="20"/>
        <v/>
      </c>
      <c r="O93"/>
      <c r="P93" s="217" t="str">
        <f>IF(O93="","",IF(OR(LEFT(O93,4)="Cash",LEFT(O93,4)="Prov"),0,SUMIFS(Input_APM!N:N,Input_APM!L:L,Check!O93)))</f>
        <v/>
      </c>
      <c r="Q93" s="22" t="str">
        <f>IF(O93="","",IF(LEN(O93)&gt;9,SUMIFS(Options!$H$3:$H$26,Options!$B$3:$B$26,Check!O93),SUMIFS('Master P&amp;L'!$H$11:$H$93,'Master P&amp;L'!$B$11:$B$93,Check!O93)))</f>
        <v/>
      </c>
      <c r="R93" s="217" t="str">
        <f t="shared" si="10"/>
        <v/>
      </c>
      <c r="S93" s="361" t="str">
        <f t="shared" si="11"/>
        <v/>
      </c>
    </row>
    <row r="94" spans="2:19">
      <c r="B94"/>
      <c r="C94" s="233" t="str">
        <f>IF(B94="","",IF(LEN(B94)&gt;9,SUMIFS(Options!$H$3:$H$26,Options!$B$3:$B$26,Check!B94),SUMIFS('Master P&amp;L'!$H$11:$H$93,'Master P&amp;L'!$B$11:$B$93,Check!B94)))</f>
        <v/>
      </c>
      <c r="D94" s="233" t="str">
        <f>IF(B94="","",SUMIFS(Input_APM!N:N,Input_APM!L:L,Check!B94,Input_APM!M:M,Check!$F$1))</f>
        <v/>
      </c>
      <c r="E94" s="217" t="str">
        <f t="shared" si="17"/>
        <v/>
      </c>
      <c r="F94" s="233" t="str">
        <f>IF(B94="","",SUMIFS(Input_APM!N:N,Input_APM!M:M,Check!$F$1,Input_APM!L:L,Check!B94))</f>
        <v/>
      </c>
      <c r="G94" s="233" t="str">
        <f>IF(B94="","",SUMIFS(Input_APM!N:N,Input_APM!M:M,Check!$G$1,Input_APM!L:L,Check!B94))</f>
        <v/>
      </c>
      <c r="H94" s="217" t="str">
        <f t="shared" si="18"/>
        <v/>
      </c>
      <c r="I94" s="217">
        <f>SUMIFS(Input_APM!N:N,Input_APM!L:L,Check!B94)</f>
        <v>0</v>
      </c>
      <c r="J94" s="219" t="str">
        <f t="shared" si="19"/>
        <v/>
      </c>
      <c r="K94" s="22" t="str">
        <f>IF(B94="","",SUMIFS('Input_APM (Zenith)'!N:N,'Input_APM (Zenith)'!L:L,Check!B94,'Input_APM (Zenith)'!M:M,Check!$F$1))</f>
        <v/>
      </c>
      <c r="L94" s="22" t="str">
        <f>IF(B94="","",SUMIFS('Input_APM (Zenith)'!N:N,'Input_APM (Zenith)'!L:L,Check!B94,'Input_APM (Zenith)'!M:M,Check!$G$1))</f>
        <v/>
      </c>
      <c r="M94" s="217" t="str">
        <f t="shared" si="20"/>
        <v/>
      </c>
      <c r="O94"/>
      <c r="P94" s="217" t="str">
        <f>IF(O94="","",IF(OR(LEFT(O94,4)="Cash",LEFT(O94,4)="Prov"),0,SUMIFS(Input_APM!N:N,Input_APM!L:L,Check!O94)))</f>
        <v/>
      </c>
      <c r="Q94" s="22" t="str">
        <f>IF(O94="","",IF(LEN(O94)&gt;9,SUMIFS(Options!$H$3:$H$26,Options!$B$3:$B$26,Check!O94),SUMIFS('Master P&amp;L'!$H$11:$H$93,'Master P&amp;L'!$B$11:$B$93,Check!O94)))</f>
        <v/>
      </c>
      <c r="R94" s="217" t="str">
        <f t="shared" si="10"/>
        <v/>
      </c>
      <c r="S94" s="361" t="str">
        <f t="shared" si="11"/>
        <v/>
      </c>
    </row>
    <row r="95" spans="2:19">
      <c r="C95" s="233" t="str">
        <f>IF(B95="","",IF(LEN(B95)&gt;9,SUMIFS(Options!$H$3:$H$26,Options!$B$3:$B$26,Check!B95),SUMIFS('Master P&amp;L'!$H$11:$H$93,'Master P&amp;L'!$B$11:$B$93,Check!B95)))</f>
        <v/>
      </c>
      <c r="D95" s="233" t="str">
        <f>IF(B95="","",SUMIFS(Input_APM!N:N,Input_APM!L:L,Check!B95,Input_APM!M:M,Check!$F$1))</f>
        <v/>
      </c>
      <c r="E95" s="217" t="str">
        <f t="shared" si="17"/>
        <v/>
      </c>
      <c r="F95" s="233" t="str">
        <f>IF(B95="","",SUMIFS(Input_APM!N:N,Input_APM!M:M,Check!$F$1,Input_APM!L:L,Check!B95))</f>
        <v/>
      </c>
      <c r="G95" s="233" t="str">
        <f>IF(B95="","",SUMIFS(Input_APM!N:N,Input_APM!M:M,Check!$G$1,Input_APM!L:L,Check!B95))</f>
        <v/>
      </c>
      <c r="H95" s="217" t="str">
        <f t="shared" si="18"/>
        <v/>
      </c>
      <c r="I95" s="217">
        <f>SUMIFS(Input_APM!N:N,Input_APM!L:L,Check!B95)</f>
        <v>0</v>
      </c>
      <c r="J95" s="219" t="str">
        <f t="shared" si="19"/>
        <v/>
      </c>
      <c r="K95" s="22" t="str">
        <f>IF(B95="","",SUMIFS('Input_APM (Zenith)'!N:N,'Input_APM (Zenith)'!L:L,Check!B95,'Input_APM (Zenith)'!M:M,Check!$F$1))</f>
        <v/>
      </c>
      <c r="L95" s="22" t="str">
        <f>IF(B95="","",SUMIFS('Input_APM (Zenith)'!N:N,'Input_APM (Zenith)'!L:L,Check!B95,'Input_APM (Zenith)'!M:M,Check!$G$1))</f>
        <v/>
      </c>
      <c r="M95" s="217" t="str">
        <f t="shared" si="20"/>
        <v/>
      </c>
      <c r="O95"/>
      <c r="P95" s="217" t="str">
        <f>IF(O95="","",IF(OR(LEFT(O95,4)="Cash",LEFT(O95,4)="Prov"),0,SUMIFS(Input_APM!N:N,Input_APM!L:L,Check!O95)))</f>
        <v/>
      </c>
      <c r="Q95" s="22" t="str">
        <f>IF(O95="","",IF(LEN(O95)&gt;9,SUMIFS(Options!$H$3:$H$26,Options!$B$3:$B$26,Check!O95),SUMIFS('Master P&amp;L'!$H$11:$H$93,'Master P&amp;L'!$B$11:$B$93,Check!O95)))</f>
        <v/>
      </c>
      <c r="R95" s="217" t="str">
        <f t="shared" si="10"/>
        <v/>
      </c>
      <c r="S95" s="361" t="str">
        <f t="shared" si="11"/>
        <v/>
      </c>
    </row>
    <row r="96" spans="2:19">
      <c r="C96" s="233" t="str">
        <f>IF(B96="","",IF(LEN(B96)&gt;9,SUMIFS(Options!$H$3:$H$26,Options!$B$3:$B$26,Check!B96),SUMIFS('Master P&amp;L'!$H$11:$H$93,'Master P&amp;L'!$B$11:$B$93,Check!B96)))</f>
        <v/>
      </c>
      <c r="D96" s="233" t="str">
        <f>IF(B96="","",SUMIFS(Input_APM!N:N,Input_APM!L:L,Check!B96,Input_APM!M:M,Check!$F$1))</f>
        <v/>
      </c>
      <c r="E96" s="217" t="str">
        <f>IF(B96="","",C96-M96)</f>
        <v/>
      </c>
      <c r="F96" s="233" t="str">
        <f>IF(B96="","",SUMIFS(Input_APM!N:N,Input_APM!M:M,Check!$F$1,Input_APM!L:L,Check!B96))</f>
        <v/>
      </c>
      <c r="G96" s="233" t="str">
        <f>IF(B96="","",SUMIFS(Input_APM!N:N,Input_APM!M:M,Check!$G$1,Input_APM!L:L,Check!B96))</f>
        <v/>
      </c>
      <c r="H96" s="217" t="str">
        <f>IF(B96="","",F96-G96)</f>
        <v/>
      </c>
      <c r="I96" s="217">
        <f>SUMIFS(Input_APM!N:N,Input_APM!L:L,Check!B96)</f>
        <v>0</v>
      </c>
      <c r="J96" s="219" t="str">
        <f>IF(B96="","",(F96+G96)-I96)</f>
        <v/>
      </c>
      <c r="K96" s="22" t="str">
        <f>IF(B96="","",SUMIFS('Input_APM (Zenith)'!N:N,'Input_APM (Zenith)'!L:L,Check!B96,'Input_APM (Zenith)'!M:M,Check!$F$1))</f>
        <v/>
      </c>
      <c r="L96" s="22" t="str">
        <f>IF(B96="","",SUMIFS('Input_APM (Zenith)'!N:N,'Input_APM (Zenith)'!L:L,Check!B96,'Input_APM (Zenith)'!M:M,Check!$G$1))</f>
        <v/>
      </c>
      <c r="M96" s="217" t="str">
        <f>IF(B96="","",F96+G96+K96+L96)</f>
        <v/>
      </c>
      <c r="O96"/>
      <c r="P96" s="217" t="str">
        <f>IF(O96="","",IF(OR(LEFT(O96,4)="Cash",LEFT(O96,4)="Prov"),0,SUMIFS(Input_APM!N:N,Input_APM!L:L,Check!O96)))</f>
        <v/>
      </c>
      <c r="Q96" s="22" t="str">
        <f>IF(O96="","",IF(LEN(O96)&gt;9,SUMIFS(Options!$H$3:$H$26,Options!$B$3:$B$26,Check!O96),SUMIFS('Master P&amp;L'!$H$11:$H$93,'Master P&amp;L'!$B$11:$B$93,Check!O96)))</f>
        <v/>
      </c>
      <c r="R96" s="217" t="str">
        <f t="shared" si="10"/>
        <v/>
      </c>
      <c r="S96" s="361" t="str">
        <f t="shared" si="11"/>
        <v/>
      </c>
    </row>
    <row r="97" spans="1:19">
      <c r="C97" s="233" t="str">
        <f>IF(B97="","",IF(LEN(B97)&gt;9,SUMIFS(Options!$H$3:$H$26,Options!$B$3:$B$26,Check!B97),SUMIFS('Master P&amp;L'!$H$11:$H$93,'Master P&amp;L'!$B$11:$B$93,Check!B97)))</f>
        <v/>
      </c>
      <c r="D97" s="233" t="str">
        <f>IF(B97="","",SUMIFS(Input_APM!N:N,Input_APM!L:L,Check!B97,Input_APM!M:M,Check!$F$1))</f>
        <v/>
      </c>
      <c r="E97" s="217" t="str">
        <f>IF(B97="","",C97-M97)</f>
        <v/>
      </c>
      <c r="F97" s="233" t="str">
        <f>IF(B97="","",SUMIFS(Input_APM!N:N,Input_APM!M:M,Check!$F$1,Input_APM!L:L,Check!B97))</f>
        <v/>
      </c>
      <c r="G97" s="233" t="str">
        <f>IF(B97="","",SUMIFS(Input_APM!N:N,Input_APM!M:M,Check!$G$1,Input_APM!L:L,Check!B97))</f>
        <v/>
      </c>
      <c r="H97" s="217" t="str">
        <f>IF(B97="","",F97-G97)</f>
        <v/>
      </c>
      <c r="I97" s="217">
        <f>SUMIFS(Input_APM!N:N,Input_APM!L:L,Check!B97)</f>
        <v>0</v>
      </c>
      <c r="J97" s="219" t="str">
        <f>IF(B97="","",(F97+G97)-I97)</f>
        <v/>
      </c>
      <c r="K97" s="22" t="str">
        <f>IF(B97="","",SUMIFS('Input_APM (Zenith)'!N:N,'Input_APM (Zenith)'!L:L,Check!B97,'Input_APM (Zenith)'!M:M,Check!$F$1))</f>
        <v/>
      </c>
      <c r="L97" s="22" t="str">
        <f>IF(B97="","",SUMIFS('Input_APM (Zenith)'!N:N,'Input_APM (Zenith)'!L:L,Check!B97,'Input_APM (Zenith)'!M:M,Check!$G$1))</f>
        <v/>
      </c>
      <c r="M97" s="217" t="str">
        <f>IF(B97="","",F97+G97+K97+L97)</f>
        <v/>
      </c>
      <c r="O97"/>
      <c r="P97" s="217" t="str">
        <f>IF(O97="","",IF(OR(LEFT(O97,4)="Cash",LEFT(O97,4)="Prov"),0,SUMIFS(Input_APM!N:N,Input_APM!L:L,Check!O97)))</f>
        <v/>
      </c>
      <c r="Q97" s="22" t="str">
        <f>IF(O97="","",IF(LEN(O97)&gt;9,SUMIFS(Options!$H$3:$H$26,Options!$B$3:$B$26,Check!O97),SUMIFS('Master P&amp;L'!$H$11:$H$93,'Master P&amp;L'!$B$11:$B$93,Check!O97)))</f>
        <v/>
      </c>
      <c r="R97" s="217" t="str">
        <f t="shared" si="10"/>
        <v/>
      </c>
      <c r="S97" s="361" t="str">
        <f t="shared" si="11"/>
        <v/>
      </c>
    </row>
    <row r="98" spans="1:19">
      <c r="C98" s="233" t="str">
        <f>IF(B98="","",IF(LEN(B98)&gt;9,SUMIFS(Options!$H$3:$H$26,Options!$B$3:$B$26,Check!B98),SUMIFS('Master P&amp;L'!$H$11:$H$93,'Master P&amp;L'!$B$11:$B$93,Check!B98)))</f>
        <v/>
      </c>
      <c r="D98" s="233" t="str">
        <f>IF(B98="","",SUMIFS(Input_APM!N:N,Input_APM!L:L,Check!B98,Input_APM!M:M,Check!$F$1))</f>
        <v/>
      </c>
      <c r="E98" s="217" t="str">
        <f>IF(B98="","",C98-M98)</f>
        <v/>
      </c>
      <c r="F98" s="233" t="str">
        <f>IF(B98="","",SUMIFS(Input_APM!N:N,Input_APM!M:M,Check!$F$1,Input_APM!L:L,Check!B98))</f>
        <v/>
      </c>
      <c r="G98" s="233" t="str">
        <f>IF(B98="","",SUMIFS(Input_APM!N:N,Input_APM!M:M,Check!$G$1,Input_APM!L:L,Check!B98))</f>
        <v/>
      </c>
      <c r="H98" s="217" t="str">
        <f>IF(B98="","",F98-G98)</f>
        <v/>
      </c>
      <c r="I98" s="217">
        <f>SUMIFS(Input_APM!N:N,Input_APM!L:L,Check!B98)</f>
        <v>0</v>
      </c>
      <c r="J98" s="219" t="str">
        <f>IF(B98="","",(F98+G98)-I98)</f>
        <v/>
      </c>
      <c r="K98" s="22" t="str">
        <f>IF(B98="","",SUMIFS('Input_APM (Zenith)'!N:N,'Input_APM (Zenith)'!L:L,Check!B98,'Input_APM (Zenith)'!M:M,Check!$F$1))</f>
        <v/>
      </c>
      <c r="L98" s="22" t="str">
        <f>IF(B98="","",SUMIFS('Input_APM (Zenith)'!N:N,'Input_APM (Zenith)'!L:L,Check!B98,'Input_APM (Zenith)'!M:M,Check!$G$1))</f>
        <v/>
      </c>
      <c r="M98" s="217" t="str">
        <f>IF(B98="","",F98+G98+K98+L98)</f>
        <v/>
      </c>
      <c r="O98"/>
      <c r="P98" s="217" t="str">
        <f>IF(O98="","",IF(OR(LEFT(O98,4)="Cash",LEFT(O98,4)="Prov"),0,SUMIFS(Input_APM!N:N,Input_APM!L:L,Check!O98)))</f>
        <v/>
      </c>
      <c r="Q98" s="22" t="str">
        <f>IF(O98="","",IF(LEN(O98)&gt;9,SUMIFS(Options!$H$3:$H$26,Options!$B$3:$B$26,Check!O98),SUMIFS('Master P&amp;L'!$H$11:$H$93,'Master P&amp;L'!$B$11:$B$93,Check!O98)))</f>
        <v/>
      </c>
      <c r="R98" s="217" t="str">
        <f t="shared" si="10"/>
        <v/>
      </c>
      <c r="S98" s="361" t="str">
        <f t="shared" si="11"/>
        <v/>
      </c>
    </row>
    <row r="99" spans="1:19">
      <c r="C99" s="233" t="str">
        <f>IF(B99="","",IF(LEN(B99)&gt;9,SUMIFS(Options!$H$3:$H$26,Options!$B$3:$B$26,Check!B99),SUMIFS('Master P&amp;L'!$H$11:$H$93,'Master P&amp;L'!$B$11:$B$93,Check!B99)))</f>
        <v/>
      </c>
      <c r="D99" s="233" t="str">
        <f>IF(B99="","",SUMIFS(Input_APM!N:N,Input_APM!L:L,Check!B99,Input_APM!M:M,Check!$F$1))</f>
        <v/>
      </c>
      <c r="E99" s="217" t="str">
        <f t="shared" ref="E99:E113" si="21">IF(B99="","",C99-M99)</f>
        <v/>
      </c>
      <c r="F99" s="233" t="str">
        <f>IF(B99="","",SUMIFS(Input_APM!N:N,Input_APM!M:M,Check!$F$1,Input_APM!L:L,Check!B99))</f>
        <v/>
      </c>
      <c r="G99" s="233" t="str">
        <f>IF(B99="","",SUMIFS(Input_APM!N:N,Input_APM!M:M,Check!$G$1,Input_APM!L:L,Check!B99))</f>
        <v/>
      </c>
      <c r="H99" s="217" t="str">
        <f t="shared" ref="H99:H113" si="22">IF(B99="","",F99-G99)</f>
        <v/>
      </c>
      <c r="I99" s="217">
        <f>SUMIFS(Input_APM!N:N,Input_APM!L:L,Check!B99)</f>
        <v>0</v>
      </c>
      <c r="J99" s="219" t="str">
        <f t="shared" ref="J99:J113" si="23">IF(B99="","",(F99+G99)-I99)</f>
        <v/>
      </c>
      <c r="K99" s="22" t="str">
        <f>IF(B99="","",SUMIFS('Input_APM (Zenith)'!N:N,'Input_APM (Zenith)'!L:L,Check!B99,'Input_APM (Zenith)'!M:M,Check!$F$1))</f>
        <v/>
      </c>
      <c r="L99" s="22" t="str">
        <f>IF(B99="","",SUMIFS('Input_APM (Zenith)'!N:N,'Input_APM (Zenith)'!L:L,Check!B99,'Input_APM (Zenith)'!M:M,Check!$G$1))</f>
        <v/>
      </c>
      <c r="M99" s="217" t="str">
        <f t="shared" ref="M99:M113" si="24">IF(B99="","",F99+G99+K99+L99)</f>
        <v/>
      </c>
      <c r="O99"/>
      <c r="P99" s="217" t="str">
        <f>IF(O99="","",IF(OR(LEFT(O99,4)="Cash",LEFT(O99,4)="Prov"),0,SUMIFS(Input_APM!N:N,Input_APM!L:L,Check!O99)))</f>
        <v/>
      </c>
      <c r="Q99" s="22" t="str">
        <f>IF(O99="","",IF(LEN(O99)&gt;9,SUMIFS(Options!$H$3:$H$26,Options!$B$3:$B$26,Check!O99),SUMIFS('Master P&amp;L'!$H$11:$H$93,'Master P&amp;L'!$B$11:$B$93,Check!O99)))</f>
        <v/>
      </c>
      <c r="R99" s="217" t="str">
        <f t="shared" si="10"/>
        <v/>
      </c>
      <c r="S99" s="361" t="str">
        <f t="shared" si="11"/>
        <v/>
      </c>
    </row>
    <row r="100" spans="1:19">
      <c r="C100" s="233" t="str">
        <f>IF(B100="","",IF(LEN(B100)&gt;9,SUMIFS(Options!$H$3:$H$26,Options!$B$3:$B$26,Check!B100),SUMIFS('Master P&amp;L'!$H$11:$H$93,'Master P&amp;L'!$B$11:$B$93,Check!B100)))</f>
        <v/>
      </c>
      <c r="D100" s="233" t="str">
        <f>IF(B100="","",SUMIFS(Input_APM!N:N,Input_APM!L:L,Check!B100,Input_APM!M:M,Check!$F$1))</f>
        <v/>
      </c>
      <c r="E100" s="217" t="str">
        <f>IF(B100="","",C100-M100)</f>
        <v/>
      </c>
      <c r="F100" s="233" t="str">
        <f>IF(B100="","",SUMIFS(Input_APM!N:N,Input_APM!M:M,Check!$F$1,Input_APM!L:L,Check!B100))</f>
        <v/>
      </c>
      <c r="G100" s="233" t="str">
        <f>IF(B100="","",SUMIFS(Input_APM!N:N,Input_APM!M:M,Check!$G$1,Input_APM!L:L,Check!B100))</f>
        <v/>
      </c>
      <c r="H100" s="217" t="str">
        <f t="shared" si="22"/>
        <v/>
      </c>
      <c r="I100" s="217">
        <f>SUMIFS(Input_APM!N:N,Input_APM!L:L,Check!B100)</f>
        <v>0</v>
      </c>
      <c r="J100" s="219" t="str">
        <f t="shared" si="23"/>
        <v/>
      </c>
      <c r="K100" s="22" t="str">
        <f>IF(B100="","",SUMIFS('Input_APM (Zenith)'!N:N,'Input_APM (Zenith)'!L:L,Check!B100,'Input_APM (Zenith)'!M:M,Check!$F$1))</f>
        <v/>
      </c>
      <c r="L100" s="22" t="str">
        <f>IF(B100="","",SUMIFS('Input_APM (Zenith)'!N:N,'Input_APM (Zenith)'!L:L,Check!B100,'Input_APM (Zenith)'!M:M,Check!$G$1))</f>
        <v/>
      </c>
      <c r="M100" s="217" t="str">
        <f t="shared" si="24"/>
        <v/>
      </c>
      <c r="O100"/>
      <c r="P100" s="217" t="str">
        <f>IF(O100="","",IF(OR(LEFT(O100,4)="Cash",LEFT(O100,4)="Prov"),0,SUMIFS(Input_APM!N:N,Input_APM!L:L,Check!O100)))</f>
        <v/>
      </c>
      <c r="Q100" s="22" t="str">
        <f>IF(O100="","",IF(LEN(O100)&gt;9,SUMIFS(Options!$H$3:$H$26,Options!$B$3:$B$26,Check!O100),SUMIFS('Master P&amp;L'!$H$11:$H$93,'Master P&amp;L'!$B$11:$B$93,Check!O100)))</f>
        <v/>
      </c>
      <c r="R100" s="217" t="str">
        <f t="shared" ref="R100:R107" si="25">IF(O100="","",P100-Q100)</f>
        <v/>
      </c>
      <c r="S100" s="361" t="str">
        <f t="shared" si="11"/>
        <v/>
      </c>
    </row>
    <row r="101" spans="1:19">
      <c r="C101" s="233" t="str">
        <f>IF(B101="","",IF(LEN(B101)&gt;9,SUMIFS(Options!$H$3:$H$26,Options!$B$3:$B$26,Check!B101),SUMIFS('Master P&amp;L'!$H$11:$H$93,'Master P&amp;L'!$B$11:$B$93,Check!B101)))</f>
        <v/>
      </c>
      <c r="D101" s="233" t="str">
        <f>IF(B101="","",SUMIFS(Input_APM!N:N,Input_APM!L:L,Check!B101,Input_APM!M:M,Check!$F$1))</f>
        <v/>
      </c>
      <c r="E101" s="217" t="str">
        <f t="shared" si="21"/>
        <v/>
      </c>
      <c r="F101" s="233" t="str">
        <f>IF(B101="","",SUMIFS(Input_APM!N:N,Input_APM!M:M,Check!$F$1,Input_APM!L:L,Check!B101))</f>
        <v/>
      </c>
      <c r="G101" s="233" t="str">
        <f>IF(B101="","",SUMIFS(Input_APM!N:N,Input_APM!M:M,Check!$G$1,Input_APM!L:L,Check!B101))</f>
        <v/>
      </c>
      <c r="H101" s="217" t="str">
        <f t="shared" si="22"/>
        <v/>
      </c>
      <c r="I101" s="217">
        <f>SUMIFS(Input_APM!N:N,Input_APM!L:L,Check!B101)</f>
        <v>0</v>
      </c>
      <c r="J101" s="219" t="str">
        <f t="shared" si="23"/>
        <v/>
      </c>
      <c r="K101" s="22" t="str">
        <f>IF(B101="","",SUMIFS('Input_APM (Zenith)'!N:N,'Input_APM (Zenith)'!L:L,Check!B101,'Input_APM (Zenith)'!M:M,Check!$F$1))</f>
        <v/>
      </c>
      <c r="L101" s="22" t="str">
        <f>IF(B101="","",SUMIFS('Input_APM (Zenith)'!N:N,'Input_APM (Zenith)'!L:L,Check!B101,'Input_APM (Zenith)'!M:M,Check!$G$1))</f>
        <v/>
      </c>
      <c r="M101" s="217" t="str">
        <f t="shared" si="24"/>
        <v/>
      </c>
      <c r="O101"/>
      <c r="P101" s="217" t="str">
        <f>IF(O101="","",IF(OR(LEFT(O101,4)="Cash",LEFT(O101,4)="Prov"),0,SUMIFS(Input_APM!N:N,Input_APM!L:L,Check!O101)))</f>
        <v/>
      </c>
      <c r="Q101" s="22" t="str">
        <f>IF(O101="","",IF(LEN(O101)&gt;9,SUMIFS(Options!$H$3:$H$26,Options!$B$3:$B$26,Check!O101),SUMIFS('Master P&amp;L'!$H$11:$H$93,'Master P&amp;L'!$B$11:$B$93,Check!O101)))</f>
        <v/>
      </c>
      <c r="R101" s="217" t="str">
        <f t="shared" si="25"/>
        <v/>
      </c>
      <c r="S101" s="361" t="str">
        <f t="shared" si="11"/>
        <v/>
      </c>
    </row>
    <row r="102" spans="1:19">
      <c r="C102" s="233" t="str">
        <f>IF(B102="","",IF(LEN(B102)&gt;9,SUMIFS(Options!$H$3:$H$26,Options!$B$3:$B$26,Check!B102),SUMIFS('Master P&amp;L'!$H$11:$H$93,'Master P&amp;L'!$B$11:$B$93,Check!B102)))</f>
        <v/>
      </c>
      <c r="D102" s="233" t="str">
        <f>IF(B102="","",SUMIFS(Input_APM!N:N,Input_APM!L:L,Check!B102,Input_APM!M:M,Check!$F$1))</f>
        <v/>
      </c>
      <c r="E102" s="217" t="str">
        <f t="shared" si="21"/>
        <v/>
      </c>
      <c r="F102" s="233" t="str">
        <f>IF(B102="","",SUMIFS(Input_APM!N:N,Input_APM!M:M,Check!$F$1,Input_APM!L:L,Check!B102))</f>
        <v/>
      </c>
      <c r="G102" s="233" t="str">
        <f>IF(B102="","",SUMIFS(Input_APM!N:N,Input_APM!M:M,Check!$G$1,Input_APM!L:L,Check!B102))</f>
        <v/>
      </c>
      <c r="H102" s="217" t="str">
        <f t="shared" si="22"/>
        <v/>
      </c>
      <c r="I102" s="217">
        <f>SUMIFS(Input_APM!N:N,Input_APM!L:L,Check!B102)</f>
        <v>0</v>
      </c>
      <c r="J102" s="219" t="str">
        <f t="shared" si="23"/>
        <v/>
      </c>
      <c r="K102" s="22" t="str">
        <f>IF(B102="","",SUMIFS('Input_APM (Zenith)'!N:N,'Input_APM (Zenith)'!L:L,Check!B102,'Input_APM (Zenith)'!M:M,Check!$F$1))</f>
        <v/>
      </c>
      <c r="L102" s="22" t="str">
        <f>IF(B102="","",SUMIFS('Input_APM (Zenith)'!N:N,'Input_APM (Zenith)'!L:L,Check!B102,'Input_APM (Zenith)'!M:M,Check!$G$1))</f>
        <v/>
      </c>
      <c r="M102" s="217" t="str">
        <f t="shared" si="24"/>
        <v/>
      </c>
      <c r="O102"/>
      <c r="P102" s="217" t="str">
        <f>IF(O102="","",IF(OR(LEFT(O102,4)="Cash",LEFT(O102,4)="Prov"),0,SUMIFS(Input_APM!N:N,Input_APM!L:L,Check!O102)))</f>
        <v/>
      </c>
      <c r="Q102" s="22" t="str">
        <f>IF(O102="","",IF(LEN(O102)&gt;9,SUMIFS(Options!$H$3:$H$26,Options!$B$3:$B$26,Check!O102),SUMIFS('Master P&amp;L'!$H$11:$H$93,'Master P&amp;L'!$B$11:$B$93,Check!O102)))</f>
        <v/>
      </c>
      <c r="R102" s="217" t="str">
        <f t="shared" si="25"/>
        <v/>
      </c>
      <c r="S102" s="361" t="str">
        <f t="shared" si="11"/>
        <v/>
      </c>
    </row>
    <row r="103" spans="1:19">
      <c r="C103" s="233" t="str">
        <f>IF(B103="","",IF(LEN(B103)&gt;9,SUMIFS(Options!$H$3:$H$26,Options!$B$3:$B$26,Check!B103),SUMIFS('Master P&amp;L'!$H$11:$H$93,'Master P&amp;L'!$B$11:$B$93,Check!B103)))</f>
        <v/>
      </c>
      <c r="D103" s="233" t="str">
        <f>IF(B103="","",SUMIFS(Input_APM!N:N,Input_APM!L:L,Check!B103,Input_APM!M:M,Check!$F$1))</f>
        <v/>
      </c>
      <c r="E103" s="217" t="str">
        <f t="shared" si="21"/>
        <v/>
      </c>
      <c r="F103" s="233" t="str">
        <f>IF(B103="","",SUMIFS(Input_APM!N:N,Input_APM!M:M,Check!$F$1,Input_APM!L:L,Check!B103))</f>
        <v/>
      </c>
      <c r="G103" s="233" t="str">
        <f>IF(B103="","",SUMIFS(Input_APM!N:N,Input_APM!M:M,Check!$G$1,Input_APM!L:L,Check!B103))</f>
        <v/>
      </c>
      <c r="H103" s="217" t="str">
        <f t="shared" si="22"/>
        <v/>
      </c>
      <c r="I103" s="217">
        <f>SUMIFS(Input_APM!N:N,Input_APM!L:L,Check!B103)</f>
        <v>0</v>
      </c>
      <c r="J103" s="219" t="str">
        <f t="shared" si="23"/>
        <v/>
      </c>
      <c r="K103" s="22" t="str">
        <f>IF(B103="","",SUMIFS('Input_APM (Zenith)'!N:N,'Input_APM (Zenith)'!L:L,Check!B103,'Input_APM (Zenith)'!M:M,Check!$F$1))</f>
        <v/>
      </c>
      <c r="L103" s="22" t="str">
        <f>IF(B103="","",SUMIFS('Input_APM (Zenith)'!N:N,'Input_APM (Zenith)'!L:L,Check!B103,'Input_APM (Zenith)'!M:M,Check!$G$1))</f>
        <v/>
      </c>
      <c r="M103" s="217" t="str">
        <f t="shared" si="24"/>
        <v/>
      </c>
      <c r="O103"/>
      <c r="P103" s="217" t="str">
        <f>IF(O103="","",IF(OR(LEFT(O103,4)="Cash",LEFT(O103,4)="Prov"),0,SUMIFS(Input_APM!N:N,Input_APM!L:L,Check!O103)))</f>
        <v/>
      </c>
      <c r="Q103" s="22" t="str">
        <f>IF(O103="","",IF(LEN(O103)&gt;9,SUMIFS(Options!$H$3:$H$26,Options!$B$3:$B$26,Check!O103),SUMIFS('Master P&amp;L'!$H$11:$H$93,'Master P&amp;L'!$B$11:$B$93,Check!O103)))</f>
        <v/>
      </c>
      <c r="R103" s="217" t="str">
        <f t="shared" si="25"/>
        <v/>
      </c>
      <c r="S103" s="361" t="str">
        <f t="shared" si="11"/>
        <v/>
      </c>
    </row>
    <row r="104" spans="1:19">
      <c r="C104" s="233" t="str">
        <f>IF(B104="","",IF(LEN(B104)&gt;9,SUMIFS(Options!$H$3:$H$26,Options!$B$3:$B$26,Check!B104),SUMIFS('Master P&amp;L'!$H$11:$H$93,'Master P&amp;L'!$B$11:$B$93,Check!B104)))</f>
        <v/>
      </c>
      <c r="D104" s="233" t="str">
        <f>IF(B104="","",SUMIFS(Input_APM!N:N,Input_APM!L:L,Check!B104,Input_APM!M:M,Check!$F$1))</f>
        <v/>
      </c>
      <c r="E104" s="217" t="str">
        <f t="shared" si="21"/>
        <v/>
      </c>
      <c r="F104" s="233" t="str">
        <f>IF(B104="","",SUMIFS(Input_APM!N:N,Input_APM!M:M,Check!$F$1,Input_APM!L:L,Check!B104))</f>
        <v/>
      </c>
      <c r="G104" s="233" t="str">
        <f>IF(B104="","",SUMIFS(Input_APM!N:N,Input_APM!M:M,Check!$G$1,Input_APM!L:L,Check!B104))</f>
        <v/>
      </c>
      <c r="H104" s="217" t="str">
        <f t="shared" si="22"/>
        <v/>
      </c>
      <c r="I104" s="217">
        <f>SUMIFS(Input_APM!N:N,Input_APM!L:L,Check!B104)</f>
        <v>0</v>
      </c>
      <c r="J104" s="219" t="str">
        <f t="shared" si="23"/>
        <v/>
      </c>
      <c r="K104" s="22" t="str">
        <f>IF(B104="","",SUMIFS('Input_APM (Zenith)'!N:N,'Input_APM (Zenith)'!L:L,Check!B104,'Input_APM (Zenith)'!M:M,Check!$F$1))</f>
        <v/>
      </c>
      <c r="L104" s="22" t="str">
        <f>IF(B104="","",SUMIFS('Input_APM (Zenith)'!N:N,'Input_APM (Zenith)'!L:L,Check!B104,'Input_APM (Zenith)'!M:M,Check!$G$1))</f>
        <v/>
      </c>
      <c r="M104" s="217" t="str">
        <f t="shared" si="24"/>
        <v/>
      </c>
      <c r="O104"/>
      <c r="P104" s="217" t="str">
        <f>IF(O104="","",IF(OR(LEFT(O104,4)="Cash",LEFT(O104,4)="Prov"),0,SUMIFS(Input_APM!N:N,Input_APM!L:L,Check!O104)))</f>
        <v/>
      </c>
      <c r="Q104" s="22" t="str">
        <f>IF(O104="","",IF(LEN(O104)&gt;9,SUMIFS(Options!$H$3:$H$26,Options!$B$3:$B$26,Check!O104),SUMIFS('Master P&amp;L'!$H$11:$H$93,'Master P&amp;L'!$B$11:$B$93,Check!O104)))</f>
        <v/>
      </c>
      <c r="R104" s="217" t="str">
        <f t="shared" si="25"/>
        <v/>
      </c>
      <c r="S104" s="361" t="str">
        <f t="shared" si="11"/>
        <v/>
      </c>
    </row>
    <row r="105" spans="1:19">
      <c r="A105" t="s">
        <v>1770</v>
      </c>
      <c r="C105" s="233" t="str">
        <f>IF(B105="","",IF(LEN(B105)&gt;9,SUMIFS(Options!$H$3:$H$26,Options!$B$3:$B$26,Check!B105),SUMIFS('Master P&amp;L'!$H$11:$H$93,'Master P&amp;L'!$B$11:$B$93,Check!B105)))</f>
        <v/>
      </c>
      <c r="D105" s="233" t="str">
        <f>IF(B105="","",SUMIFS(Input_APM!N:N,Input_APM!L:L,Check!B105,Input_APM!M:M,Check!$F$1))</f>
        <v/>
      </c>
      <c r="E105" s="217" t="str">
        <f t="shared" si="21"/>
        <v/>
      </c>
      <c r="F105" s="233" t="str">
        <f>IF(B105="","",SUMIFS(Input_APM!N:N,Input_APM!M:M,Check!$F$1,Input_APM!L:L,Check!B105))</f>
        <v/>
      </c>
      <c r="G105" s="233" t="str">
        <f>IF(B105="","",SUMIFS(Input_APM!N:N,Input_APM!M:M,Check!$G$1,Input_APM!L:L,Check!B105))</f>
        <v/>
      </c>
      <c r="H105" s="217" t="str">
        <f t="shared" si="22"/>
        <v/>
      </c>
      <c r="I105" s="217">
        <f>SUMIFS(Input_APM!N:N,Input_APM!L:L,Check!B105)</f>
        <v>0</v>
      </c>
      <c r="J105" s="219" t="str">
        <f t="shared" si="23"/>
        <v/>
      </c>
      <c r="K105" s="22" t="str">
        <f>IF(B105="","",SUMIFS('Input_APM (Zenith)'!N:N,'Input_APM (Zenith)'!L:L,Check!B105,'Input_APM (Zenith)'!M:M,Check!$F$1))</f>
        <v/>
      </c>
      <c r="L105" s="22" t="str">
        <f>IF(B105="","",SUMIFS('Input_APM (Zenith)'!N:N,'Input_APM (Zenith)'!L:L,Check!B105,'Input_APM (Zenith)'!M:M,Check!$G$1))</f>
        <v/>
      </c>
      <c r="M105" s="217" t="str">
        <f t="shared" si="24"/>
        <v/>
      </c>
      <c r="O105"/>
      <c r="P105" s="217" t="str">
        <f>IF(O105="","",IF(OR(LEFT(O105,4)="Cash",LEFT(O105,4)="Prov"),0,SUMIFS(Input_APM!N:N,Input_APM!L:L,Check!O105)))</f>
        <v/>
      </c>
      <c r="Q105" s="22" t="str">
        <f>IF(O105="","",IF(LEN(O105)&gt;9,SUMIFS(Options!$H$3:$H$26,Options!$B$3:$B$26,Check!O105),SUMIFS('Master P&amp;L'!$H$11:$H$93,'Master P&amp;L'!$B$11:$B$93,Check!O105)))</f>
        <v/>
      </c>
      <c r="R105" s="217" t="str">
        <f t="shared" si="25"/>
        <v/>
      </c>
      <c r="S105" s="361" t="str">
        <f t="shared" si="11"/>
        <v/>
      </c>
    </row>
    <row r="106" spans="1:19">
      <c r="C106" s="233" t="str">
        <f>IF(B106="","",IF(LEN(B106)&gt;9,SUMIFS(Options!$H$3:$H$26,Options!$B$3:$B$26,Check!B106),SUMIFS('Master P&amp;L'!$H$11:$H$93,'Master P&amp;L'!$B$11:$B$93,Check!B106)))</f>
        <v/>
      </c>
      <c r="D106" s="233" t="str">
        <f>IF(B106="","",SUMIFS(Input_APM!N:N,Input_APM!L:L,Check!B106,Input_APM!M:M,Check!$F$1))</f>
        <v/>
      </c>
      <c r="E106" s="217" t="str">
        <f t="shared" si="21"/>
        <v/>
      </c>
      <c r="F106" s="233" t="str">
        <f>IF(B106="","",SUMIFS(Input_APM!N:N,Input_APM!M:M,Check!$F$1,Input_APM!L:L,Check!B106))</f>
        <v/>
      </c>
      <c r="G106" s="233" t="str">
        <f>IF(B106="","",SUMIFS(Input_APM!N:N,Input_APM!M:M,Check!$G$1,Input_APM!L:L,Check!B106))</f>
        <v/>
      </c>
      <c r="H106" s="217" t="str">
        <f t="shared" si="22"/>
        <v/>
      </c>
      <c r="I106" s="217">
        <f>SUMIFS(Input_APM!N:N,Input_APM!L:L,Check!B106)</f>
        <v>0</v>
      </c>
      <c r="J106" s="219" t="str">
        <f t="shared" si="23"/>
        <v/>
      </c>
      <c r="K106" s="22" t="str">
        <f>IF(B106="","",SUMIFS('Input_APM (Zenith)'!N:N,'Input_APM (Zenith)'!L:L,Check!B106,'Input_APM (Zenith)'!M:M,Check!$F$1))</f>
        <v/>
      </c>
      <c r="L106" s="22" t="str">
        <f>IF(B106="","",SUMIFS('Input_APM (Zenith)'!N:N,'Input_APM (Zenith)'!L:L,Check!B106,'Input_APM (Zenith)'!M:M,Check!$G$1))</f>
        <v/>
      </c>
      <c r="M106" s="217" t="str">
        <f t="shared" si="24"/>
        <v/>
      </c>
      <c r="O106"/>
      <c r="P106" s="217" t="str">
        <f>IF(O106="","",IF(OR(LEFT(O106,4)="Cash",LEFT(O106,4)="Prov"),0,SUMIFS(Input_APM!N:N,Input_APM!L:L,Check!O106)))</f>
        <v/>
      </c>
      <c r="Q106" s="22" t="str">
        <f>IF(O106="","",IF(LEN(O106)&gt;9,SUMIFS(Options!$H$3:$H$26,Options!$B$3:$B$26,Check!O106),SUMIFS('Master P&amp;L'!$H$11:$H$93,'Master P&amp;L'!$B$11:$B$93,Check!O106)))</f>
        <v/>
      </c>
      <c r="R106" s="217" t="str">
        <f t="shared" si="25"/>
        <v/>
      </c>
      <c r="S106" s="361" t="str">
        <f t="shared" si="11"/>
        <v/>
      </c>
    </row>
    <row r="107" spans="1:19">
      <c r="C107" s="233" t="str">
        <f>IF(B107="","",IF(LEN(B107)&gt;9,SUMIFS(Options!$H$3:$H$26,Options!$B$3:$B$26,Check!B107),SUMIFS('Master P&amp;L'!$H$11:$H$93,'Master P&amp;L'!$B$11:$B$93,Check!B107)))</f>
        <v/>
      </c>
      <c r="D107" s="233" t="str">
        <f>IF(B107="","",SUMIFS(Input_APM!N:N,Input_APM!L:L,Check!B107,Input_APM!M:M,Check!$F$1))</f>
        <v/>
      </c>
      <c r="E107" s="217" t="str">
        <f t="shared" si="21"/>
        <v/>
      </c>
      <c r="F107" s="233" t="str">
        <f>IF(B107="","",SUMIFS(Input_APM!N:N,Input_APM!M:M,Check!$F$1,Input_APM!L:L,Check!B107))</f>
        <v/>
      </c>
      <c r="G107" s="233" t="str">
        <f>IF(B107="","",SUMIFS(Input_APM!N:N,Input_APM!M:M,Check!$G$1,Input_APM!L:L,Check!B107))</f>
        <v/>
      </c>
      <c r="H107" s="217" t="str">
        <f t="shared" si="22"/>
        <v/>
      </c>
      <c r="I107" s="217">
        <f>SUMIFS(Input_APM!N:N,Input_APM!L:L,Check!B107)</f>
        <v>0</v>
      </c>
      <c r="J107" s="219" t="str">
        <f t="shared" si="23"/>
        <v/>
      </c>
      <c r="K107" s="22" t="str">
        <f>IF(B107="","",SUMIFS('Input_APM (Zenith)'!N:N,'Input_APM (Zenith)'!L:L,Check!B107,'Input_APM (Zenith)'!M:M,Check!$F$1))</f>
        <v/>
      </c>
      <c r="L107" s="22" t="str">
        <f>IF(B107="","",SUMIFS('Input_APM (Zenith)'!N:N,'Input_APM (Zenith)'!L:L,Check!B107,'Input_APM (Zenith)'!M:M,Check!$G$1))</f>
        <v/>
      </c>
      <c r="M107" s="217" t="str">
        <f t="shared" si="24"/>
        <v/>
      </c>
      <c r="O107"/>
      <c r="P107" s="217" t="str">
        <f>IF(O107="","",IF(OR(LEFT(O107,4)="Cash",LEFT(O107,4)="Prov"),0,SUMIFS(Input_APM!N:N,Input_APM!L:L,Check!O107)))</f>
        <v/>
      </c>
      <c r="Q107" s="22" t="str">
        <f>IF(O107="","",IF(LEN(O107)&gt;9,SUMIFS(Options!$H$3:$H$26,Options!$B$3:$B$26,Check!O107),SUMIFS('Master P&amp;L'!$H$11:$H$93,'Master P&amp;L'!$B$11:$B$93,Check!O107)))</f>
        <v/>
      </c>
      <c r="R107" s="217" t="str">
        <f t="shared" si="25"/>
        <v/>
      </c>
      <c r="S107" s="361" t="str">
        <f t="shared" si="11"/>
        <v/>
      </c>
    </row>
    <row r="108" spans="1:19">
      <c r="C108" s="233" t="str">
        <f>IF(B108="","",IF(LEN(B108)&gt;9,SUMIFS(Options!$H$3:$H$26,Options!$B$3:$B$26,Check!B108),SUMIFS('Master P&amp;L'!$H$11:$H$93,'Master P&amp;L'!$B$11:$B$93,Check!B108)))</f>
        <v/>
      </c>
      <c r="D108" s="233" t="str">
        <f>IF(B108="","",SUMIFS(Input_APM!N:N,Input_APM!L:L,Check!B108,Input_APM!M:M,Check!$F$1))</f>
        <v/>
      </c>
      <c r="E108" s="217" t="str">
        <f>IF(B108="","",C108-M108)</f>
        <v/>
      </c>
      <c r="F108" s="233" t="str">
        <f>IF(B108="","",SUMIFS(Input_APM!N:N,Input_APM!M:M,Check!$F$1,Input_APM!L:L,Check!B108))</f>
        <v/>
      </c>
      <c r="G108" s="233" t="str">
        <f>IF(B108="","",SUMIFS(Input_APM!N:N,Input_APM!M:M,Check!$G$1,Input_APM!L:L,Check!B108))</f>
        <v/>
      </c>
      <c r="H108" s="217" t="str">
        <f t="shared" si="22"/>
        <v/>
      </c>
      <c r="I108" s="217">
        <f>SUMIFS(Input_APM!N:N,Input_APM!L:L,Check!B108)</f>
        <v>0</v>
      </c>
      <c r="J108" s="219" t="str">
        <f t="shared" si="23"/>
        <v/>
      </c>
      <c r="K108" s="22" t="str">
        <f>IF(B108="","",SUMIFS('Input_APM (Zenith)'!N:N,'Input_APM (Zenith)'!L:L,Check!B108,'Input_APM (Zenith)'!M:M,Check!$F$1))</f>
        <v/>
      </c>
      <c r="L108" s="22" t="str">
        <f>IF(B108="","",SUMIFS('Input_APM (Zenith)'!N:N,'Input_APM (Zenith)'!L:L,Check!B108,'Input_APM (Zenith)'!M:M,Check!$G$1))</f>
        <v/>
      </c>
      <c r="M108" s="217" t="str">
        <f t="shared" si="24"/>
        <v/>
      </c>
      <c r="O108"/>
      <c r="P108" s="217" t="str">
        <f>IF(O108="","",IF(OR(LEFT(O108,4)="Cash",LEFT(O108,4)="Prov"),0,SUMIFS(Input_APM!N:N,Input_APM!L:L,Check!O108)))</f>
        <v/>
      </c>
      <c r="Q108" s="22" t="str">
        <f>IF(O108="","",IF(LEN(O108)&gt;9,SUMIFS(Options!$H$3:$H$26,Options!$B$3:$B$26,Check!O108),SUMIFS('Master P&amp;L'!$H$11:$H$93,'Master P&amp;L'!$B$11:$B$93,Check!O108)))</f>
        <v/>
      </c>
      <c r="R108" s="217" t="str">
        <f t="shared" ref="R108:R113" si="26">IF(O108="","",P108-Q108)</f>
        <v/>
      </c>
      <c r="S108" s="361" t="str">
        <f t="shared" si="11"/>
        <v/>
      </c>
    </row>
    <row r="109" spans="1:19">
      <c r="C109" s="233" t="str">
        <f>IF(B109="","",IF(LEN(B109)&gt;9,SUMIFS(Options!$H$3:$H$26,Options!$B$3:$B$26,Check!B109),SUMIFS('Master P&amp;L'!$H$11:$H$93,'Master P&amp;L'!$B$11:$B$93,Check!B109)))</f>
        <v/>
      </c>
      <c r="D109" s="233" t="str">
        <f>IF(B109="","",SUMIFS(Input_APM!N:N,Input_APM!L:L,Check!B109,Input_APM!M:M,Check!$F$1))</f>
        <v/>
      </c>
      <c r="E109" s="217" t="str">
        <f>IF(B109="","",C109-M109)</f>
        <v/>
      </c>
      <c r="F109" s="233" t="str">
        <f>IF(B109="","",SUMIFS(Input_APM!N:N,Input_APM!M:M,Check!$F$1,Input_APM!L:L,Check!B109))</f>
        <v/>
      </c>
      <c r="G109" s="233" t="str">
        <f>IF(B109="","",SUMIFS(Input_APM!N:N,Input_APM!M:M,Check!$G$1,Input_APM!L:L,Check!B109))</f>
        <v/>
      </c>
      <c r="H109" s="217" t="str">
        <f t="shared" si="22"/>
        <v/>
      </c>
      <c r="I109" s="217">
        <f>SUMIFS(Input_APM!N:N,Input_APM!L:L,Check!B109)</f>
        <v>0</v>
      </c>
      <c r="J109" s="219" t="str">
        <f t="shared" si="23"/>
        <v/>
      </c>
      <c r="K109" s="22" t="str">
        <f>IF(B109="","",SUMIFS('Input_APM (Zenith)'!N:N,'Input_APM (Zenith)'!L:L,Check!B109,'Input_APM (Zenith)'!M:M,Check!$F$1))</f>
        <v/>
      </c>
      <c r="L109" s="22" t="str">
        <f>IF(B109="","",SUMIFS('Input_APM (Zenith)'!N:N,'Input_APM (Zenith)'!L:L,Check!B109,'Input_APM (Zenith)'!M:M,Check!$G$1))</f>
        <v/>
      </c>
      <c r="M109" s="217" t="str">
        <f t="shared" si="24"/>
        <v/>
      </c>
      <c r="O109"/>
      <c r="P109" s="217" t="str">
        <f>IF(O109="","",IF(OR(LEFT(O109,4)="Cash",LEFT(O109,4)="Prov"),0,SUMIFS(Input_APM!N:N,Input_APM!L:L,Check!O109)))</f>
        <v/>
      </c>
      <c r="Q109" s="22" t="str">
        <f>IF(O109="","",IF(LEN(O109)&gt;9,SUMIFS(Options!$H$3:$H$26,Options!$B$3:$B$26,Check!O109),SUMIFS('Master P&amp;L'!$H$11:$H$93,'Master P&amp;L'!$B$11:$B$93,Check!O109)))</f>
        <v/>
      </c>
      <c r="R109" s="217" t="str">
        <f t="shared" si="26"/>
        <v/>
      </c>
      <c r="S109" s="361" t="str">
        <f t="shared" si="11"/>
        <v/>
      </c>
    </row>
    <row r="110" spans="1:19">
      <c r="A110" t="s">
        <v>1770</v>
      </c>
      <c r="C110" s="233" t="str">
        <f>IF(B110="","",IF(LEN(B110)&gt;9,SUMIFS(Options!$H$3:$H$26,Options!$B$3:$B$26,Check!B110),SUMIFS('Master P&amp;L'!$H$11:$H$93,'Master P&amp;L'!$B$11:$B$93,Check!B110)))</f>
        <v/>
      </c>
      <c r="D110" s="233" t="str">
        <f>IF(B110="","",SUMIFS(Input_APM!N:N,Input_APM!L:L,Check!B110,Input_APM!M:M,Check!$F$1))</f>
        <v/>
      </c>
      <c r="E110" s="217" t="str">
        <f t="shared" si="21"/>
        <v/>
      </c>
      <c r="F110" s="233" t="str">
        <f>IF(B110="","",SUMIFS(Input_APM!N:N,Input_APM!M:M,Check!$F$1,Input_APM!L:L,Check!B110))</f>
        <v/>
      </c>
      <c r="G110" s="233" t="str">
        <f>IF(B110="","",SUMIFS(Input_APM!N:N,Input_APM!M:M,Check!$G$1,Input_APM!L:L,Check!B110))</f>
        <v/>
      </c>
      <c r="H110" s="217" t="str">
        <f t="shared" si="22"/>
        <v/>
      </c>
      <c r="I110" s="217">
        <f>SUMIFS(Input_APM!N:N,Input_APM!L:L,Check!B110)</f>
        <v>0</v>
      </c>
      <c r="J110" s="219" t="str">
        <f t="shared" si="23"/>
        <v/>
      </c>
      <c r="K110" s="22" t="str">
        <f>IF(B110="","",SUMIFS('Input_APM (Zenith)'!N:N,'Input_APM (Zenith)'!L:L,Check!B110,'Input_APM (Zenith)'!M:M,Check!$F$1))</f>
        <v/>
      </c>
      <c r="L110" s="22" t="str">
        <f>IF(B110="","",SUMIFS('Input_APM (Zenith)'!N:N,'Input_APM (Zenith)'!L:L,Check!B110,'Input_APM (Zenith)'!M:M,Check!$G$1))</f>
        <v/>
      </c>
      <c r="M110" s="217" t="str">
        <f t="shared" si="24"/>
        <v/>
      </c>
      <c r="O110"/>
      <c r="P110" s="217" t="str">
        <f>IF(O110="","",IF(OR(LEFT(O110,4)="Cash",LEFT(O110,4)="Prov"),0,SUMIFS(Input_APM!N:N,Input_APM!L:L,Check!O110)))</f>
        <v/>
      </c>
      <c r="Q110" s="22" t="str">
        <f>IF(O110="","",IF(LEN(O110)&gt;9,SUMIFS(Options!$H$3:$H$26,Options!$B$3:$B$26,Check!O110),SUMIFS('Master P&amp;L'!$H$11:$H$93,'Master P&amp;L'!$B$11:$B$93,Check!O110)))</f>
        <v/>
      </c>
      <c r="R110" s="217" t="str">
        <f t="shared" si="26"/>
        <v/>
      </c>
      <c r="S110" s="361" t="str">
        <f t="shared" si="11"/>
        <v/>
      </c>
    </row>
    <row r="111" spans="1:19">
      <c r="C111" s="233" t="str">
        <f>IF(B111="","",IF(LEN(B111)&gt;9,SUMIFS(Options!$H$3:$H$26,Options!$B$3:$B$26,Check!B111),SUMIFS('Master P&amp;L'!$H$11:$H$93,'Master P&amp;L'!$B$11:$B$93,Check!B111)))</f>
        <v/>
      </c>
      <c r="D111" s="233" t="str">
        <f>IF(B111="","",SUMIFS(Input_APM!N:N,Input_APM!L:L,Check!B111,Input_APM!M:M,Check!$F$1))</f>
        <v/>
      </c>
      <c r="E111" s="217" t="str">
        <f t="shared" si="21"/>
        <v/>
      </c>
      <c r="F111" s="233" t="str">
        <f>IF(B111="","",SUMIFS(Input_APM!N:N,Input_APM!M:M,Check!$F$1,Input_APM!L:L,Check!B111))</f>
        <v/>
      </c>
      <c r="G111" s="233" t="str">
        <f>IF(B111="","",SUMIFS(Input_APM!N:N,Input_APM!M:M,Check!$G$1,Input_APM!L:L,Check!B111))</f>
        <v/>
      </c>
      <c r="H111" s="217" t="str">
        <f t="shared" si="22"/>
        <v/>
      </c>
      <c r="I111" s="217">
        <f>SUMIFS(Input_APM!N:N,Input_APM!L:L,Check!B111)</f>
        <v>0</v>
      </c>
      <c r="J111" s="219" t="str">
        <f t="shared" si="23"/>
        <v/>
      </c>
      <c r="K111" s="22" t="str">
        <f>IF(B111="","",SUMIFS('Input_APM (Zenith)'!N:N,'Input_APM (Zenith)'!L:L,Check!B111,'Input_APM (Zenith)'!M:M,Check!$F$1))</f>
        <v/>
      </c>
      <c r="L111" s="22" t="str">
        <f>IF(B111="","",SUMIFS('Input_APM (Zenith)'!N:N,'Input_APM (Zenith)'!L:L,Check!B111,'Input_APM (Zenith)'!M:M,Check!$G$1))</f>
        <v/>
      </c>
      <c r="M111" s="217" t="str">
        <f t="shared" si="24"/>
        <v/>
      </c>
      <c r="O111"/>
      <c r="P111" s="217" t="str">
        <f>IF(O111="","",IF(OR(LEFT(O111,4)="Cash",LEFT(O111,4)="Prov"),0,SUMIFS(Input_APM!N:N,Input_APM!L:L,Check!O111)))</f>
        <v/>
      </c>
      <c r="Q111" s="22" t="str">
        <f>IF(O111="","",IF(LEN(O111)&gt;9,SUMIFS(Options!$H$3:$H$26,Options!$B$3:$B$26,Check!O111),SUMIFS('Master P&amp;L'!$H$11:$H$93,'Master P&amp;L'!$B$11:$B$93,Check!O111)))</f>
        <v/>
      </c>
      <c r="R111" s="217" t="str">
        <f t="shared" si="26"/>
        <v/>
      </c>
      <c r="S111" s="361" t="str">
        <f t="shared" si="11"/>
        <v/>
      </c>
    </row>
    <row r="112" spans="1:19">
      <c r="C112" s="233" t="str">
        <f>IF(B112="","",IF(LEN(B112)&gt;9,SUMIFS(Options!$H$3:$H$26,Options!$B$3:$B$26,Check!B112),SUMIFS('Master P&amp;L'!$H$11:$H$93,'Master P&amp;L'!$B$11:$B$93,Check!B112)))</f>
        <v/>
      </c>
      <c r="D112" s="233" t="str">
        <f>IF(B112="","",SUMIFS(Input_APM!N:N,Input_APM!L:L,Check!B112,Input_APM!M:M,Check!$F$1))</f>
        <v/>
      </c>
      <c r="E112" s="217" t="str">
        <f t="shared" si="21"/>
        <v/>
      </c>
      <c r="F112" s="233" t="str">
        <f>IF(B112="","",SUMIFS(Input_APM!N:N,Input_APM!M:M,Check!$F$1,Input_APM!L:L,Check!B112))</f>
        <v/>
      </c>
      <c r="G112" s="233" t="str">
        <f>IF(B112="","",SUMIFS(Input_APM!N:N,Input_APM!M:M,Check!$G$1,Input_APM!L:L,Check!B112))</f>
        <v/>
      </c>
      <c r="H112" s="217" t="str">
        <f t="shared" si="22"/>
        <v/>
      </c>
      <c r="I112" s="217">
        <f>SUMIFS(Input_APM!N:N,Input_APM!L:L,Check!B112)</f>
        <v>0</v>
      </c>
      <c r="J112" s="219" t="str">
        <f t="shared" si="23"/>
        <v/>
      </c>
      <c r="K112" s="22" t="str">
        <f>IF(B112="","",SUMIFS('Input_APM (Zenith)'!N:N,'Input_APM (Zenith)'!L:L,Check!B112,'Input_APM (Zenith)'!M:M,Check!$F$1))</f>
        <v/>
      </c>
      <c r="L112" s="22" t="str">
        <f>IF(B112="","",SUMIFS('Input_APM (Zenith)'!N:N,'Input_APM (Zenith)'!L:L,Check!B112,'Input_APM (Zenith)'!M:M,Check!$G$1))</f>
        <v/>
      </c>
      <c r="M112" s="217" t="str">
        <f t="shared" si="24"/>
        <v/>
      </c>
      <c r="O112"/>
      <c r="P112" s="217" t="str">
        <f>IF(O112="","",IF(OR(LEFT(O112,4)="Cash",LEFT(O112,4)="Prov"),0,SUMIFS(Input_APM!N:N,Input_APM!L:L,Check!O112)))</f>
        <v/>
      </c>
      <c r="Q112" s="22" t="str">
        <f>IF(O112="","",IF(LEN(O112)&gt;9,SUMIFS(Options!$H$3:$H$26,Options!$B$3:$B$26,Check!O112),SUMIFS('Master P&amp;L'!$H$11:$H$93,'Master P&amp;L'!$B$11:$B$93,Check!O112)))</f>
        <v/>
      </c>
      <c r="R112" s="217" t="str">
        <f t="shared" si="26"/>
        <v/>
      </c>
      <c r="S112" s="361" t="str">
        <f t="shared" si="11"/>
        <v/>
      </c>
    </row>
    <row r="113" spans="3:20">
      <c r="C113" s="233" t="str">
        <f>IF(B113="","",IF(LEN(B113)&gt;9,SUMIFS(Options!$H$3:$H$26,Options!$B$3:$B$26,Check!B113),SUMIFS('Master P&amp;L'!$H$11:$H$93,'Master P&amp;L'!$B$11:$B$93,Check!B113)))</f>
        <v/>
      </c>
      <c r="D113" s="233" t="str">
        <f>IF(B113="","",SUMIFS(Input_APM!N:N,Input_APM!L:L,Check!B113,Input_APM!M:M,Check!$F$1))</f>
        <v/>
      </c>
      <c r="E113" s="217" t="str">
        <f t="shared" si="21"/>
        <v/>
      </c>
      <c r="F113" s="233" t="str">
        <f>IF(B113="","",SUMIFS(Input_APM!N:N,Input_APM!M:M,Check!$F$1,Input_APM!L:L,Check!B113))</f>
        <v/>
      </c>
      <c r="G113" s="233" t="str">
        <f>IF(B113="","",SUMIFS(Input_APM!N:N,Input_APM!M:M,Check!$G$1,Input_APM!L:L,Check!B113))</f>
        <v/>
      </c>
      <c r="H113" s="217" t="str">
        <f t="shared" si="22"/>
        <v/>
      </c>
      <c r="I113" s="217">
        <f>SUMIFS(Input_APM!N:N,Input_APM!L:L,Check!B113)</f>
        <v>0</v>
      </c>
      <c r="J113" s="219" t="str">
        <f t="shared" si="23"/>
        <v/>
      </c>
      <c r="K113" s="22" t="str">
        <f>IF(B113="","",SUMIFS('Input_APM (Zenith)'!N:N,'Input_APM (Zenith)'!L:L,Check!B113,'Input_APM (Zenith)'!M:M,Check!$F$1))</f>
        <v/>
      </c>
      <c r="L113" s="22" t="str">
        <f>IF(B113="","",SUMIFS('Input_APM (Zenith)'!N:N,'Input_APM (Zenith)'!L:L,Check!B113,'Input_APM (Zenith)'!M:M,Check!$G$1))</f>
        <v/>
      </c>
      <c r="M113" s="217" t="str">
        <f t="shared" si="24"/>
        <v/>
      </c>
      <c r="O113"/>
      <c r="P113" s="217" t="str">
        <f>IF(O113="","",IF(OR(LEFT(O113,4)="Cash",LEFT(O113,4)="Prov"),0,SUMIFS(Input_APM!N:N,Input_APM!L:L,Check!O113)))</f>
        <v/>
      </c>
      <c r="Q113" s="22" t="str">
        <f>IF(O113="","",IF(LEN(O113)&gt;9,SUMIFS(Options!$H$3:$H$26,Options!$B$3:$B$26,Check!O113),SUMIFS('Master P&amp;L'!$H$11:$H$93,'Master P&amp;L'!$B$11:$B$93,Check!O113)))</f>
        <v/>
      </c>
      <c r="R113" s="217" t="str">
        <f t="shared" si="26"/>
        <v/>
      </c>
      <c r="S113" s="361" t="str">
        <f t="shared" si="11"/>
        <v/>
      </c>
    </row>
    <row r="114" spans="3:20">
      <c r="C114" s="233" t="str">
        <f>IF(B114="","",IF(LEN(B114)&gt;9,SUMIFS(Options!$H$3:$H$26,Options!$B$3:$B$26,Check!B114),SUMIFS('Master P&amp;L'!$H$11:$H$93,'Master P&amp;L'!$B$11:$B$93,Check!B114)))</f>
        <v/>
      </c>
      <c r="D114" s="233" t="str">
        <f>IF(B114="","",SUMIFS(Input_APM!N:N,Input_APM!L:L,Check!B114,Input_APM!M:M,Check!$F$1))</f>
        <v/>
      </c>
      <c r="E114" s="217" t="str">
        <f>IF(B114="","",C114-M114)</f>
        <v/>
      </c>
      <c r="F114" s="233" t="str">
        <f>IF(B114="","",SUMIFS(Input_APM!N:N,Input_APM!M:M,Check!$F$1,Input_APM!L:L,Check!B114))</f>
        <v/>
      </c>
      <c r="G114" s="233" t="str">
        <f>IF(B114="","",SUMIFS(Input_APM!N:N,Input_APM!M:M,Check!$G$1,Input_APM!L:L,Check!B114))</f>
        <v/>
      </c>
      <c r="H114" s="217" t="str">
        <f>IF(B114="","",F114-G114)</f>
        <v/>
      </c>
      <c r="I114" s="217">
        <f>SUMIFS(Input_APM!N:N,Input_APM!L:L,Check!B114)</f>
        <v>0</v>
      </c>
      <c r="J114" s="219" t="str">
        <f>IF(B114="","",(F114+G114)-I114)</f>
        <v/>
      </c>
      <c r="K114" s="22" t="str">
        <f>IF(B114="","",SUMIFS('Input_APM (Zenith)'!N:N,'Input_APM (Zenith)'!L:L,Check!B114,'Input_APM (Zenith)'!M:M,Check!$F$1))</f>
        <v/>
      </c>
      <c r="L114" s="22" t="str">
        <f>IF(B114="","",SUMIFS('Input_APM (Zenith)'!N:N,'Input_APM (Zenith)'!L:L,Check!B114,'Input_APM (Zenith)'!M:M,Check!$G$1))</f>
        <v/>
      </c>
      <c r="M114" s="217" t="str">
        <f>IF(B114="","",F114+G114+K114+L114)</f>
        <v/>
      </c>
      <c r="O114"/>
      <c r="P114" s="217" t="str">
        <f>IF(O114="","",IF(OR(LEFT(O114,4)="Cash",LEFT(O114,4)="Prov"),0,SUMIFS(Input_APM!N:N,Input_APM!L:L,Check!O114)))</f>
        <v/>
      </c>
      <c r="Q114" s="22" t="str">
        <f>IF(O114="","",IF(LEN(O114)&gt;9,SUMIFS(Options!$H$3:$H$26,Options!$B$3:$B$26,Check!O114),SUMIFS('Master P&amp;L'!$H$11:$H$93,'Master P&amp;L'!$B$11:$B$93,Check!O114)))</f>
        <v/>
      </c>
      <c r="R114" s="217" t="str">
        <f>IF(O114="","",P114-Q114)</f>
        <v/>
      </c>
      <c r="S114" s="361" t="str">
        <f t="shared" si="11"/>
        <v/>
      </c>
    </row>
    <row r="115" spans="3:20">
      <c r="C115" s="233" t="str">
        <f>IF(B115="","",IF(LEN(B115)&gt;9,SUMIFS(Options!$H$3:$H$26,Options!$B$3:$B$26,Check!B115),SUMIFS('Master P&amp;L'!$H$11:$H$93,'Master P&amp;L'!$B$11:$B$93,Check!B115)))</f>
        <v/>
      </c>
      <c r="D115" s="233" t="str">
        <f>IF(B115="","",SUMIFS(Input_APM!N:N,Input_APM!L:L,Check!B115,Input_APM!M:M,Check!$F$1))</f>
        <v/>
      </c>
      <c r="E115" s="217" t="str">
        <f>IF(B115="","",C115-M115)</f>
        <v/>
      </c>
      <c r="F115" s="233" t="str">
        <f>IF(B115="","",SUMIFS(Input_APM!N:N,Input_APM!M:M,Check!$F$1,Input_APM!L:L,Check!B115))</f>
        <v/>
      </c>
      <c r="G115" s="233" t="str">
        <f>IF(B115="","",SUMIFS(Input_APM!N:N,Input_APM!M:M,Check!$G$1,Input_APM!L:L,Check!B115))</f>
        <v/>
      </c>
      <c r="H115" s="217" t="str">
        <f>IF(B115="","",F115-G115)</f>
        <v/>
      </c>
      <c r="I115" s="217">
        <f>SUMIFS(Input_APM!N:N,Input_APM!L:L,Check!B115)</f>
        <v>0</v>
      </c>
      <c r="J115" s="219" t="str">
        <f>IF(B115="","",(F115+G115)-I115)</f>
        <v/>
      </c>
      <c r="K115" s="22" t="str">
        <f>IF(B115="","",SUMIFS('Input_APM (Zenith)'!N:N,'Input_APM (Zenith)'!L:L,Check!B115,'Input_APM (Zenith)'!M:M,Check!$F$1))</f>
        <v/>
      </c>
      <c r="L115" s="22" t="str">
        <f>IF(B115="","",SUMIFS('Input_APM (Zenith)'!N:N,'Input_APM (Zenith)'!L:L,Check!B115,'Input_APM (Zenith)'!M:M,Check!$G$1))</f>
        <v/>
      </c>
      <c r="M115" s="217" t="str">
        <f>IF(B115="","",F115+G115+K115+L115)</f>
        <v/>
      </c>
      <c r="O115"/>
      <c r="P115" s="217" t="str">
        <f>IF(O115="","",IF(OR(LEFT(O115,4)="Cash",LEFT(O115,4)="Prov"),0,SUMIFS(Input_APM!N:N,Input_APM!L:L,Check!O115)))</f>
        <v/>
      </c>
      <c r="Q115" s="22" t="str">
        <f>IF(O115="","",IF(LEN(O115)&gt;9,SUMIFS(Options!$H$3:$H$26,Options!$B$3:$B$26,Check!O115),SUMIFS('Master P&amp;L'!$H$11:$H$93,'Master P&amp;L'!$B$11:$B$93,Check!O115)))</f>
        <v/>
      </c>
      <c r="R115" s="217" t="str">
        <f>IF(O115="","",P115-Q115)</f>
        <v/>
      </c>
      <c r="S115" s="361" t="str">
        <f t="shared" si="11"/>
        <v/>
      </c>
    </row>
    <row r="116" spans="3:20">
      <c r="C116" s="233" t="str">
        <f>IF(B116="","",IF(LEN(B116)&gt;9,SUMIFS(Options!$H$3:$H$26,Options!$B$3:$B$26,Check!B116),SUMIFS('Master P&amp;L'!$H$11:$H$93,'Master P&amp;L'!$B$11:$B$93,Check!B116)))</f>
        <v/>
      </c>
      <c r="D116" s="233" t="str">
        <f>IF(B116="","",SUMIFS(Input_APM!N:N,Input_APM!L:L,Check!B116,Input_APM!M:M,Check!$F$1))</f>
        <v/>
      </c>
      <c r="E116" s="217" t="str">
        <f>IF(B116="","",C116-M116)</f>
        <v/>
      </c>
      <c r="F116" s="233" t="str">
        <f>IF(B116="","",SUMIFS(Input_APM!N:N,Input_APM!M:M,Check!$F$1,Input_APM!L:L,Check!B116))</f>
        <v/>
      </c>
      <c r="G116" s="233" t="str">
        <f>IF(B116="","",SUMIFS(Input_APM!N:N,Input_APM!M:M,Check!$G$1,Input_APM!L:L,Check!B116))</f>
        <v/>
      </c>
      <c r="H116" s="217" t="str">
        <f>IF(B116="","",F116-G116)</f>
        <v/>
      </c>
      <c r="I116" s="217">
        <f>SUMIFS(Input_APM!N:N,Input_APM!L:L,Check!B116)</f>
        <v>0</v>
      </c>
      <c r="J116" s="219" t="str">
        <f>IF(B116="","",(F116+G116)-I116)</f>
        <v/>
      </c>
      <c r="K116" s="22" t="str">
        <f>IF(B116="","",SUMIFS('Input_APM (Zenith)'!N:N,'Input_APM (Zenith)'!L:L,Check!B116,'Input_APM (Zenith)'!M:M,Check!$F$1))</f>
        <v/>
      </c>
      <c r="L116" s="22" t="str">
        <f>IF(B116="","",SUMIFS('Input_APM (Zenith)'!N:N,'Input_APM (Zenith)'!L:L,Check!B116,'Input_APM (Zenith)'!M:M,Check!$G$1))</f>
        <v/>
      </c>
      <c r="M116" s="217" t="str">
        <f>IF(B116="","",F116+G116+K116+L116)</f>
        <v/>
      </c>
      <c r="O116"/>
      <c r="P116" s="217" t="str">
        <f>IF(O116="","",IF(OR(LEFT(O116,4)="Cash",LEFT(O116,4)="Prov"),0,SUMIFS(Input_APM!N:N,Input_APM!L:L,Check!O116)))</f>
        <v/>
      </c>
      <c r="Q116" s="22" t="str">
        <f>IF(O116="","",IF(LEN(O116)&gt;9,SUMIFS(Options!$H$3:$H$26,Options!$B$3:$B$26,Check!O116),SUMIFS('Master P&amp;L'!$H$11:$H$93,'Master P&amp;L'!$B$11:$B$93,Check!O116)))</f>
        <v/>
      </c>
      <c r="R116" s="217" t="str">
        <f>IF(O116="","",P116-Q116)</f>
        <v/>
      </c>
      <c r="S116" s="361" t="str">
        <f t="shared" si="11"/>
        <v/>
      </c>
    </row>
    <row r="117" spans="3:20">
      <c r="C117" s="233" t="str">
        <f>IF(B117="","",IF(LEN(B117)&gt;9,SUMIFS(Options!$H$3:$H$26,Options!$B$3:$B$26,Check!B117),SUMIFS('Master P&amp;L'!$H$11:$H$93,'Master P&amp;L'!$B$11:$B$93,Check!B117)))</f>
        <v/>
      </c>
      <c r="D117" s="233" t="str">
        <f>IF(B117="","",SUMIFS(Input_APM!N:N,Input_APM!L:L,Check!B117,Input_APM!M:M,Check!$F$1))</f>
        <v/>
      </c>
      <c r="E117" s="217" t="str">
        <f>IF(B117="","",C117-M117)</f>
        <v/>
      </c>
      <c r="F117" s="233" t="str">
        <f>IF(B117="","",SUMIFS(Input_APM!N:N,Input_APM!M:M,Check!$F$1,Input_APM!L:L,Check!B117))</f>
        <v/>
      </c>
      <c r="G117" s="233" t="str">
        <f>IF(B117="","",SUMIFS(Input_APM!N:N,Input_APM!M:M,Check!$G$1,Input_APM!L:L,Check!B117))</f>
        <v/>
      </c>
      <c r="H117" s="217" t="str">
        <f>IF(B117="","",F117-G117)</f>
        <v/>
      </c>
      <c r="I117" s="217">
        <f>SUMIFS(Input_APM!N:N,Input_APM!L:L,Check!B117)</f>
        <v>0</v>
      </c>
      <c r="J117" s="219" t="str">
        <f>IF(B117="","",(F117+G117)-I117)</f>
        <v/>
      </c>
      <c r="K117" s="22" t="str">
        <f>IF(B117="","",SUMIFS('Input_APM (Zenith)'!N:N,'Input_APM (Zenith)'!L:L,Check!B117,'Input_APM (Zenith)'!M:M,Check!$F$1))</f>
        <v/>
      </c>
      <c r="L117" s="22" t="str">
        <f>IF(B117="","",SUMIFS('Input_APM (Zenith)'!N:N,'Input_APM (Zenith)'!L:L,Check!B117,'Input_APM (Zenith)'!M:M,Check!$G$1))</f>
        <v/>
      </c>
      <c r="M117" s="217" t="str">
        <f>IF(B117="","",F117+G117+K117+L117)</f>
        <v/>
      </c>
      <c r="O117"/>
      <c r="P117" s="217" t="str">
        <f>IF(O117="","",IF(OR(LEFT(O117,4)="Cash",LEFT(O117,4)="Prov"),0,SUMIFS(Input_APM!N:N,Input_APM!L:L,Check!O117)))</f>
        <v/>
      </c>
      <c r="Q117" s="22" t="str">
        <f>IF(O117="","",IF(LEN(O117)&gt;9,SUMIFS(Options!$H$3:$H$26,Options!$B$3:$B$26,Check!O117),SUMIFS('Master P&amp;L'!$H$11:$H$93,'Master P&amp;L'!$B$11:$B$93,Check!O117)))</f>
        <v/>
      </c>
      <c r="R117" s="217" t="str">
        <f>IF(O117="","",P117-Q117)</f>
        <v/>
      </c>
      <c r="S117" s="361" t="str">
        <f t="shared" si="11"/>
        <v/>
      </c>
    </row>
    <row r="118" spans="3:20">
      <c r="C118" s="233" t="str">
        <f>IF(B118="","",IF(LEN(B118)&gt;9,SUMIFS(Options!$H$3:$H$26,Options!$B$3:$B$26,Check!B118),SUMIFS('Master P&amp;L'!$H$11:$H$93,'Master P&amp;L'!$B$11:$B$93,Check!B118)))</f>
        <v/>
      </c>
      <c r="D118" s="233" t="str">
        <f>IF(B118="","",SUMIFS(Input_APM!N:N,Input_APM!L:L,Check!B118,Input_APM!M:M,Check!$F$1))</f>
        <v/>
      </c>
      <c r="E118" s="217" t="str">
        <f>IF(B118="","",C118-M118)</f>
        <v/>
      </c>
      <c r="F118" s="233" t="str">
        <f>IF(B118="","",SUMIFS(Input_APM!N:N,Input_APM!M:M,Check!$F$1,Input_APM!L:L,Check!B118))</f>
        <v/>
      </c>
      <c r="G118" s="233" t="str">
        <f>IF(B118="","",SUMIFS(Input_APM!N:N,Input_APM!M:M,Check!$G$1,Input_APM!L:L,Check!B118))</f>
        <v/>
      </c>
      <c r="H118" s="217" t="str">
        <f>IF(B118="","",F118-G118)</f>
        <v/>
      </c>
      <c r="I118" s="217">
        <f>SUMIFS(Input_APM!N:N,Input_APM!L:L,Check!B118)</f>
        <v>0</v>
      </c>
      <c r="J118" s="219" t="str">
        <f>IF(B118="","",(F118+G118)-I118)</f>
        <v/>
      </c>
      <c r="K118" s="22" t="str">
        <f>IF(B118="","",SUMIFS('Input_APM (Zenith)'!N:N,'Input_APM (Zenith)'!L:L,Check!B118,'Input_APM (Zenith)'!M:M,Check!$F$1))</f>
        <v/>
      </c>
      <c r="L118" s="22" t="str">
        <f>IF(B118="","",SUMIFS('Input_APM (Zenith)'!N:N,'Input_APM (Zenith)'!L:L,Check!B118,'Input_APM (Zenith)'!M:M,Check!$G$1))</f>
        <v/>
      </c>
      <c r="M118" s="217" t="str">
        <f>IF(B118="","",F118+G118+K118+L118)</f>
        <v/>
      </c>
      <c r="O118"/>
      <c r="P118" s="217" t="str">
        <f>IF(O118="","",IF(OR(LEFT(O118,4)="Cash",LEFT(O118,4)="Prov"),0,SUMIFS(Input_APM!N:N,Input_APM!L:L,Check!O118)))</f>
        <v/>
      </c>
      <c r="Q118" s="22" t="str">
        <f>IF(O118="","",IF(LEN(O118)&gt;9,SUMIFS(Options!$H$3:$H$26,Options!$B$3:$B$26,Check!O118),SUMIFS('Master P&amp;L'!$H$11:$H$93,'Master P&amp;L'!$B$11:$B$93,Check!O118)))</f>
        <v/>
      </c>
      <c r="R118" s="217" t="str">
        <f t="shared" ref="R118:R124" si="27">IF(O118="","",P118-Q118)</f>
        <v/>
      </c>
      <c r="S118" s="361" t="str">
        <f t="shared" si="11"/>
        <v/>
      </c>
    </row>
    <row r="119" spans="3:20">
      <c r="C119" s="233" t="str">
        <f>IF(B119="","",IF(LEN(B119)&gt;9,SUMIFS(Options!$H$3:$H$26,Options!$B$3:$B$26,Check!B119),SUMIFS('Master P&amp;L'!$H$11:$H$93,'Master P&amp;L'!$B$11:$B$93,Check!B119)))</f>
        <v/>
      </c>
      <c r="D119" s="233" t="str">
        <f>IF(B119="","",SUMIFS(Input_APM!N:N,Input_APM!L:L,Check!B119,Input_APM!M:M,Check!$F$1))</f>
        <v/>
      </c>
      <c r="E119" s="217" t="str">
        <f t="shared" ref="E119:E128" si="28">IF(B119="","",C119-M119)</f>
        <v/>
      </c>
      <c r="F119" s="233" t="str">
        <f>IF(B119="","",SUMIFS(Input_APM!N:N,Input_APM!M:M,Check!$F$1,Input_APM!L:L,Check!B119))</f>
        <v/>
      </c>
      <c r="G119" s="233" t="str">
        <f>IF(B119="","",SUMIFS(Input_APM!N:N,Input_APM!M:M,Check!$G$1,Input_APM!L:L,Check!B119))</f>
        <v/>
      </c>
      <c r="H119" s="217" t="str">
        <f t="shared" ref="H119:H128" si="29">IF(B119="","",F119-G119)</f>
        <v/>
      </c>
      <c r="I119" s="217">
        <f>SUMIFS(Input_APM!N:N,Input_APM!L:L,Check!B119)</f>
        <v>0</v>
      </c>
      <c r="J119" s="219" t="str">
        <f t="shared" ref="J119:J128" si="30">IF(B119="","",(F119+G119)-I119)</f>
        <v/>
      </c>
      <c r="K119" s="22" t="str">
        <f>IF(B119="","",SUMIFS('Input_APM (Zenith)'!N:N,'Input_APM (Zenith)'!L:L,Check!B119,'Input_APM (Zenith)'!M:M,Check!$F$1))</f>
        <v/>
      </c>
      <c r="L119" s="22" t="str">
        <f>IF(B119="","",SUMIFS('Input_APM (Zenith)'!N:N,'Input_APM (Zenith)'!L:L,Check!B119,'Input_APM (Zenith)'!M:M,Check!$G$1))</f>
        <v/>
      </c>
      <c r="M119" s="217" t="str">
        <f t="shared" ref="M119:M128" si="31">IF(B119="","",F119+G119+K119+L119)</f>
        <v/>
      </c>
      <c r="O119"/>
      <c r="P119" s="217" t="str">
        <f>IF(O119="","",IF(OR(LEFT(O119,4)="Cash",LEFT(O119,4)="Prov"),0,SUMIFS(Input_APM!N:N,Input_APM!L:L,Check!O119)))</f>
        <v/>
      </c>
      <c r="Q119" s="22" t="str">
        <f>IF(O119="","",IF(LEN(O119)&gt;9,SUMIFS(Options!$H$3:$H$26,Options!$B$3:$B$26,Check!O119),SUMIFS('Master P&amp;L'!$H$11:$H$93,'Master P&amp;L'!$B$11:$B$93,Check!O119)))</f>
        <v/>
      </c>
      <c r="R119" s="217" t="str">
        <f t="shared" si="27"/>
        <v/>
      </c>
      <c r="S119" s="361" t="str">
        <f t="shared" si="11"/>
        <v/>
      </c>
    </row>
    <row r="120" spans="3:20">
      <c r="C120" s="233" t="str">
        <f>IF(B120="","",IF(LEN(B120)&gt;9,SUMIFS(Options!$H$3:$H$26,Options!$B$3:$B$26,Check!B120),SUMIFS('Master P&amp;L'!$H$11:$H$93,'Master P&amp;L'!$B$11:$B$93,Check!B120)))</f>
        <v/>
      </c>
      <c r="D120" s="233" t="str">
        <f>IF(B120="","",SUMIFS(Input_APM!N:N,Input_APM!L:L,Check!B120,Input_APM!M:M,Check!$F$1))</f>
        <v/>
      </c>
      <c r="E120" s="217" t="str">
        <f t="shared" si="28"/>
        <v/>
      </c>
      <c r="F120" s="233" t="str">
        <f>IF(B120="","",SUMIFS(Input_APM!N:N,Input_APM!M:M,Check!$F$1,Input_APM!L:L,Check!B120))</f>
        <v/>
      </c>
      <c r="G120" s="233" t="str">
        <f>IF(B120="","",SUMIFS(Input_APM!N:N,Input_APM!M:M,Check!$G$1,Input_APM!L:L,Check!B120))</f>
        <v/>
      </c>
      <c r="H120" s="217" t="str">
        <f t="shared" si="29"/>
        <v/>
      </c>
      <c r="I120" s="217">
        <f>SUMIFS(Input_APM!N:N,Input_APM!L:L,Check!B120)</f>
        <v>0</v>
      </c>
      <c r="J120" s="219" t="str">
        <f t="shared" si="30"/>
        <v/>
      </c>
      <c r="K120" s="22" t="str">
        <f>IF(B120="","",SUMIFS('Input_APM (Zenith)'!N:N,'Input_APM (Zenith)'!L:L,Check!B120,'Input_APM (Zenith)'!M:M,Check!$F$1))</f>
        <v/>
      </c>
      <c r="L120" s="22" t="str">
        <f>IF(B120="","",SUMIFS('Input_APM (Zenith)'!N:N,'Input_APM (Zenith)'!L:L,Check!B120,'Input_APM (Zenith)'!M:M,Check!$G$1))</f>
        <v/>
      </c>
      <c r="M120" s="217" t="str">
        <f t="shared" si="31"/>
        <v/>
      </c>
      <c r="O120"/>
      <c r="P120" s="217" t="str">
        <f>IF(O120="","",IF(OR(LEFT(O120,4)="Cash",LEFT(O120,4)="Prov"),0,SUMIFS(Input_APM!N:N,Input_APM!L:L,Check!O120)))</f>
        <v/>
      </c>
      <c r="Q120" s="22" t="str">
        <f>IF(O120="","",IF(LEN(O120)&gt;9,SUMIFS(Options!$H$3:$H$26,Options!$B$3:$B$26,Check!O120),SUMIFS('Master P&amp;L'!$H$11:$H$93,'Master P&amp;L'!$B$11:$B$93,Check!O120)))</f>
        <v/>
      </c>
      <c r="R120" s="217" t="str">
        <f t="shared" si="27"/>
        <v/>
      </c>
      <c r="S120" s="361" t="str">
        <f t="shared" si="11"/>
        <v/>
      </c>
    </row>
    <row r="121" spans="3:20">
      <c r="C121" s="233" t="str">
        <f>IF(B121="","",IF(LEN(B121)&gt;9,SUMIFS(Options!$H$3:$H$26,Options!$B$3:$B$26,Check!B121),SUMIFS('Master P&amp;L'!$H$11:$H$93,'Master P&amp;L'!$B$11:$B$93,Check!B121)))</f>
        <v/>
      </c>
      <c r="D121" s="233" t="str">
        <f>IF(B121="","",SUMIFS(Input_APM!N:N,Input_APM!L:L,Check!B121,Input_APM!M:M,Check!$F$1))</f>
        <v/>
      </c>
      <c r="E121" s="217" t="str">
        <f t="shared" si="28"/>
        <v/>
      </c>
      <c r="F121" s="233" t="str">
        <f>IF(B121="","",SUMIFS(Input_APM!N:N,Input_APM!M:M,Check!$F$1,Input_APM!L:L,Check!B121))</f>
        <v/>
      </c>
      <c r="G121" s="233" t="str">
        <f>IF(B121="","",SUMIFS(Input_APM!N:N,Input_APM!M:M,Check!$G$1,Input_APM!L:L,Check!B121))</f>
        <v/>
      </c>
      <c r="H121" s="217" t="str">
        <f t="shared" si="29"/>
        <v/>
      </c>
      <c r="I121" s="217">
        <f>SUMIFS(Input_APM!N:N,Input_APM!L:L,Check!B121)</f>
        <v>0</v>
      </c>
      <c r="J121" s="219" t="str">
        <f t="shared" si="30"/>
        <v/>
      </c>
      <c r="K121" s="22" t="str">
        <f>IF(B121="","",SUMIFS('Input_APM (Zenith)'!N:N,'Input_APM (Zenith)'!L:L,Check!B121,'Input_APM (Zenith)'!M:M,Check!$F$1))</f>
        <v/>
      </c>
      <c r="L121" s="22" t="str">
        <f>IF(B121="","",SUMIFS('Input_APM (Zenith)'!N:N,'Input_APM (Zenith)'!L:L,Check!B121,'Input_APM (Zenith)'!M:M,Check!$G$1))</f>
        <v/>
      </c>
      <c r="M121" s="217" t="str">
        <f t="shared" si="31"/>
        <v/>
      </c>
      <c r="O121"/>
      <c r="P121" s="217" t="str">
        <f>IF(O121="","",IF(OR(LEFT(O121,4)="Cash",LEFT(O121,4)="Prov"),0,SUMIFS(Input_APM!N:N,Input_APM!L:L,Check!O121)))</f>
        <v/>
      </c>
      <c r="Q121" s="22" t="str">
        <f>IF(O121="","",IF(LEN(O121)&gt;9,SUMIFS(Options!$H$3:$H$26,Options!$B$3:$B$26,Check!O121),SUMIFS('Master P&amp;L'!$H$11:$H$93,'Master P&amp;L'!$B$11:$B$93,Check!O121)))</f>
        <v/>
      </c>
      <c r="R121" s="217" t="str">
        <f t="shared" si="27"/>
        <v/>
      </c>
      <c r="S121" s="361" t="str">
        <f t="shared" si="11"/>
        <v/>
      </c>
    </row>
    <row r="122" spans="3:20">
      <c r="C122" s="233" t="str">
        <f>IF(B122="","",IF(LEN(B122)&gt;9,SUMIFS(Options!$H$3:$H$26,Options!$B$3:$B$26,Check!B122),SUMIFS('Master P&amp;L'!$H$11:$H$93,'Master P&amp;L'!$B$11:$B$93,Check!B122)))</f>
        <v/>
      </c>
      <c r="D122" s="233" t="str">
        <f>IF(B122="","",SUMIFS(Input_APM!N:N,Input_APM!L:L,Check!B122,Input_APM!M:M,Check!$F$1))</f>
        <v/>
      </c>
      <c r="E122" s="217" t="str">
        <f t="shared" si="28"/>
        <v/>
      </c>
      <c r="F122" s="233" t="str">
        <f>IF(B122="","",SUMIFS(Input_APM!N:N,Input_APM!M:M,Check!$F$1,Input_APM!L:L,Check!B122))</f>
        <v/>
      </c>
      <c r="G122" s="233" t="str">
        <f>IF(B122="","",SUMIFS(Input_APM!N:N,Input_APM!M:M,Check!$G$1,Input_APM!L:L,Check!B122))</f>
        <v/>
      </c>
      <c r="H122" s="217" t="str">
        <f t="shared" si="29"/>
        <v/>
      </c>
      <c r="I122" s="217">
        <f>SUMIFS(Input_APM!N:N,Input_APM!L:L,Check!B122)</f>
        <v>0</v>
      </c>
      <c r="J122" s="219" t="str">
        <f t="shared" si="30"/>
        <v/>
      </c>
      <c r="K122" s="22" t="str">
        <f>IF(B122="","",SUMIFS('Input_APM (Zenith)'!N:N,'Input_APM (Zenith)'!L:L,Check!B122,'Input_APM (Zenith)'!M:M,Check!$F$1))</f>
        <v/>
      </c>
      <c r="L122" s="22" t="str">
        <f>IF(B122="","",SUMIFS('Input_APM (Zenith)'!N:N,'Input_APM (Zenith)'!L:L,Check!B122,'Input_APM (Zenith)'!M:M,Check!$G$1))</f>
        <v/>
      </c>
      <c r="M122" s="217" t="str">
        <f t="shared" si="31"/>
        <v/>
      </c>
      <c r="O122"/>
      <c r="P122" s="327" t="str">
        <f>IF(O122="","",IF(OR(LEFT(O122,4)="Cash",LEFT(O122,4)="Prov"),0,SUMIFS(Input_APM!N:N,Input_APM!L:L,Check!O122)))</f>
        <v/>
      </c>
      <c r="Q122" s="163" t="str">
        <f>IF(O122="","",IF(LEN(O122)&gt;9,SUMIFS(Options!$H$3:$H$26,Options!$B$3:$B$26,Check!O122),SUMIFS('Master P&amp;L'!$H$11:$H$93,'Master P&amp;L'!$B$11:$B$93,Check!O122)))</f>
        <v/>
      </c>
      <c r="R122" s="327" t="str">
        <f t="shared" si="27"/>
        <v/>
      </c>
      <c r="S122" s="361" t="str">
        <f t="shared" si="11"/>
        <v/>
      </c>
      <c r="T122" s="59"/>
    </row>
    <row r="123" spans="3:20">
      <c r="C123" s="233" t="str">
        <f>IF(B123="","",IF(LEN(B123)&gt;9,SUMIFS(Options!$H$3:$H$26,Options!$B$3:$B$26,Check!B123),SUMIFS('Master P&amp;L'!$H$11:$H$93,'Master P&amp;L'!$B$11:$B$93,Check!B123)))</f>
        <v/>
      </c>
      <c r="D123" s="233" t="str">
        <f>IF(B123="","",SUMIFS(Input_APM!N:N,Input_APM!L:L,Check!B123,Input_APM!M:M,Check!$F$1))</f>
        <v/>
      </c>
      <c r="E123" s="217" t="str">
        <f t="shared" si="28"/>
        <v/>
      </c>
      <c r="F123" s="233" t="str">
        <f>IF(B123="","",SUMIFS(Input_APM!N:N,Input_APM!M:M,Check!$F$1,Input_APM!L:L,Check!B123))</f>
        <v/>
      </c>
      <c r="G123" s="233" t="str">
        <f>IF(B123="","",SUMIFS(Input_APM!N:N,Input_APM!M:M,Check!$G$1,Input_APM!L:L,Check!B123))</f>
        <v/>
      </c>
      <c r="H123" s="217" t="str">
        <f t="shared" si="29"/>
        <v/>
      </c>
      <c r="I123" s="217">
        <f>SUMIFS(Input_APM!N:N,Input_APM!L:L,Check!B123)</f>
        <v>0</v>
      </c>
      <c r="J123" s="219" t="str">
        <f t="shared" si="30"/>
        <v/>
      </c>
      <c r="K123" s="22" t="str">
        <f>IF(B123="","",SUMIFS('Input_APM (Zenith)'!N:N,'Input_APM (Zenith)'!L:L,Check!B123,'Input_APM (Zenith)'!M:M,Check!$F$1))</f>
        <v/>
      </c>
      <c r="L123" s="22" t="str">
        <f>IF(B123="","",SUMIFS('Input_APM (Zenith)'!N:N,'Input_APM (Zenith)'!L:L,Check!B123,'Input_APM (Zenith)'!M:M,Check!$G$1))</f>
        <v/>
      </c>
      <c r="M123" s="217" t="str">
        <f t="shared" si="31"/>
        <v/>
      </c>
      <c r="O123"/>
      <c r="P123" s="217" t="str">
        <f>IF(O123="","",IF(OR(LEFT(O123,4)="Cash",LEFT(O123,4)="Prov"),0,SUMIFS(Input_APM!N:N,Input_APM!L:L,Check!O123)))</f>
        <v/>
      </c>
      <c r="Q123" s="22" t="str">
        <f>IF(O123="","",IF(LEN(O123)&gt;9,SUMIFS(Options!$H$3:$H$26,Options!$B$3:$B$26,Check!O123),SUMIFS('Master P&amp;L'!$H$11:$H$93,'Master P&amp;L'!$B$11:$B$93,Check!O123)))</f>
        <v/>
      </c>
      <c r="R123" s="217" t="str">
        <f t="shared" si="27"/>
        <v/>
      </c>
      <c r="S123" s="361" t="str">
        <f t="shared" si="11"/>
        <v/>
      </c>
    </row>
    <row r="124" spans="3:20">
      <c r="C124" s="233" t="str">
        <f>IF(B124="","",IF(LEN(B124)&gt;9,SUMIFS(Options!$H$3:$H$26,Options!$B$3:$B$26,Check!B124),SUMIFS('Master P&amp;L'!$H$11:$H$93,'Master P&amp;L'!$B$11:$B$93,Check!B124)))</f>
        <v/>
      </c>
      <c r="D124" s="233" t="str">
        <f>IF(B124="","",SUMIFS(Input_APM!N:N,Input_APM!L:L,Check!B124,Input_APM!M:M,Check!$F$1))</f>
        <v/>
      </c>
      <c r="E124" s="217" t="str">
        <f t="shared" si="28"/>
        <v/>
      </c>
      <c r="F124" s="233" t="str">
        <f>IF(B124="","",SUMIFS(Input_APM!N:N,Input_APM!M:M,Check!$F$1,Input_APM!L:L,Check!B124))</f>
        <v/>
      </c>
      <c r="G124" s="233" t="str">
        <f>IF(B124="","",SUMIFS(Input_APM!N:N,Input_APM!M:M,Check!$G$1,Input_APM!L:L,Check!B124))</f>
        <v/>
      </c>
      <c r="H124" s="217" t="str">
        <f t="shared" si="29"/>
        <v/>
      </c>
      <c r="I124" s="217">
        <f>SUMIFS(Input_APM!N:N,Input_APM!L:L,Check!B124)</f>
        <v>0</v>
      </c>
      <c r="J124" s="219" t="str">
        <f t="shared" si="30"/>
        <v/>
      </c>
      <c r="K124" s="22" t="str">
        <f>IF(B124="","",SUMIFS('Input_APM (Zenith)'!N:N,'Input_APM (Zenith)'!L:L,Check!B124,'Input_APM (Zenith)'!M:M,Check!$F$1))</f>
        <v/>
      </c>
      <c r="L124" s="22" t="str">
        <f>IF(B124="","",SUMIFS('Input_APM (Zenith)'!N:N,'Input_APM (Zenith)'!L:L,Check!B124,'Input_APM (Zenith)'!M:M,Check!$G$1))</f>
        <v/>
      </c>
      <c r="M124" s="217" t="str">
        <f t="shared" si="31"/>
        <v/>
      </c>
      <c r="O124"/>
      <c r="P124" s="217" t="str">
        <f>IF(O124="","",IF(OR(LEFT(O124,4)="Cash",LEFT(O124,4)="Prov"),0,SUMIFS(Input_APM!N:N,Input_APM!L:L,Check!O124)))</f>
        <v/>
      </c>
      <c r="Q124" s="22" t="str">
        <f>IF(O124="","",IF(LEN(O124)&gt;9,SUMIFS(Options!$H$3:$H$26,Options!$B$3:$B$26,Check!O124),SUMIFS('Master P&amp;L'!$H$11:$H$93,'Master P&amp;L'!$B$11:$B$93,Check!O124)))</f>
        <v/>
      </c>
      <c r="R124" s="217" t="str">
        <f t="shared" si="27"/>
        <v/>
      </c>
      <c r="S124" s="361" t="str">
        <f t="shared" si="11"/>
        <v/>
      </c>
    </row>
    <row r="125" spans="3:20">
      <c r="C125" s="233" t="str">
        <f>IF(B125="","",IF(LEN(B125)&gt;9,SUMIFS(Options!$H$3:$H$26,Options!$B$3:$B$26,Check!B125),SUMIFS('Master P&amp;L'!$H$11:$H$93,'Master P&amp;L'!$B$11:$B$93,Check!B125)))</f>
        <v/>
      </c>
      <c r="D125" s="233" t="str">
        <f>IF(B125="","",SUMIFS(Input_APM!N:N,Input_APM!L:L,Check!B125,Input_APM!M:M,Check!$F$1))</f>
        <v/>
      </c>
      <c r="E125" s="217" t="str">
        <f t="shared" si="28"/>
        <v/>
      </c>
      <c r="F125" s="233" t="str">
        <f>IF(B125="","",SUMIFS(Input_APM!N:N,Input_APM!M:M,Check!$F$1,Input_APM!L:L,Check!B125))</f>
        <v/>
      </c>
      <c r="G125" s="233" t="str">
        <f>IF(B125="","",SUMIFS(Input_APM!N:N,Input_APM!M:M,Check!$G$1,Input_APM!L:L,Check!B125))</f>
        <v/>
      </c>
      <c r="H125" s="217" t="str">
        <f t="shared" si="29"/>
        <v/>
      </c>
      <c r="I125" s="217">
        <f>SUMIFS(Input_APM!N:N,Input_APM!L:L,Check!B125)</f>
        <v>0</v>
      </c>
      <c r="J125" s="219" t="str">
        <f t="shared" si="30"/>
        <v/>
      </c>
      <c r="K125" s="22" t="str">
        <f>IF(B125="","",SUMIFS('Input_APM (Zenith)'!N:N,'Input_APM (Zenith)'!L:L,Check!B125,'Input_APM (Zenith)'!M:M,Check!$F$1))</f>
        <v/>
      </c>
      <c r="L125" s="22" t="str">
        <f>IF(B125="","",SUMIFS('Input_APM (Zenith)'!N:N,'Input_APM (Zenith)'!L:L,Check!B125,'Input_APM (Zenith)'!M:M,Check!$G$1))</f>
        <v/>
      </c>
      <c r="M125" s="217" t="str">
        <f t="shared" si="31"/>
        <v/>
      </c>
      <c r="O125"/>
      <c r="P125" s="217" t="str">
        <f>IF(O125="","",IF(OR(LEFT(O125,4)="Cash",LEFT(O125,4)="Prov"),0,SUMIFS(Input_APM!N:N,Input_APM!L:L,Check!O125)))</f>
        <v/>
      </c>
      <c r="Q125" s="22" t="str">
        <f>IF(O125="","",IF(LEN(O125)&gt;9,SUMIFS(Options!$H$3:$H$26,Options!$B$3:$B$26,Check!O125),SUMIFS('Master P&amp;L'!$H$11:$H$93,'Master P&amp;L'!$B$11:$B$93,Check!O125)))</f>
        <v/>
      </c>
      <c r="R125" s="217" t="str">
        <f>IF(O125="","",P125-Q125)</f>
        <v/>
      </c>
      <c r="S125" s="361" t="str">
        <f t="shared" si="11"/>
        <v/>
      </c>
    </row>
    <row r="126" spans="3:20">
      <c r="C126" s="233" t="str">
        <f>IF(B126="","",IF(LEN(B126)&gt;9,SUMIFS(Options!$H$3:$H$26,Options!$B$3:$B$26,Check!B126),SUMIFS('Master P&amp;L'!$H$11:$H$93,'Master P&amp;L'!$B$11:$B$93,Check!B126)))</f>
        <v/>
      </c>
      <c r="D126" s="233" t="str">
        <f>IF(B126="","",SUMIFS(Input_APM!N:N,Input_APM!L:L,Check!B126,Input_APM!M:M,Check!$F$1))</f>
        <v/>
      </c>
      <c r="E126" s="217" t="str">
        <f t="shared" si="28"/>
        <v/>
      </c>
      <c r="F126" s="233" t="str">
        <f>IF(B126="","",SUMIFS(Input_APM!N:N,Input_APM!M:M,Check!$F$1,Input_APM!L:L,Check!B126))</f>
        <v/>
      </c>
      <c r="G126" s="233" t="str">
        <f>IF(B126="","",SUMIFS(Input_APM!N:N,Input_APM!M:M,Check!$G$1,Input_APM!L:L,Check!B126))</f>
        <v/>
      </c>
      <c r="H126" s="217" t="str">
        <f t="shared" si="29"/>
        <v/>
      </c>
      <c r="I126" s="217">
        <f>SUMIFS(Input_APM!N:N,Input_APM!L:L,Check!B126)</f>
        <v>0</v>
      </c>
      <c r="J126" s="219" t="str">
        <f t="shared" si="30"/>
        <v/>
      </c>
      <c r="K126" s="22" t="str">
        <f>IF(B126="","",SUMIFS('Input_APM (Zenith)'!N:N,'Input_APM (Zenith)'!L:L,Check!B126,'Input_APM (Zenith)'!M:M,Check!$F$1))</f>
        <v/>
      </c>
      <c r="L126" s="22" t="str">
        <f>IF(B126="","",SUMIFS('Input_APM (Zenith)'!N:N,'Input_APM (Zenith)'!L:L,Check!B126,'Input_APM (Zenith)'!M:M,Check!$G$1))</f>
        <v/>
      </c>
      <c r="M126" s="217" t="str">
        <f t="shared" si="31"/>
        <v/>
      </c>
      <c r="O126"/>
      <c r="P126" s="217" t="str">
        <f>IF(O126="","",IF(OR(LEFT(O126,4)="Cash",LEFT(O126,4)="Prov"),0,SUMIFS(Input_APM!N:N,Input_APM!L:L,Check!O126)))</f>
        <v/>
      </c>
      <c r="Q126" s="22" t="str">
        <f>IF(O126="","",IF(LEN(O126)&gt;9,SUMIFS(Options!$H$3:$H$26,Options!$B$3:$B$26,Check!O126),SUMIFS('Master P&amp;L'!$H$11:$H$93,'Master P&amp;L'!$B$11:$B$93,Check!O126)))</f>
        <v/>
      </c>
      <c r="R126" s="217" t="str">
        <f>IF(O126="","",P126-Q126)</f>
        <v/>
      </c>
      <c r="S126" s="361" t="str">
        <f t="shared" si="11"/>
        <v/>
      </c>
    </row>
    <row r="127" spans="3:20">
      <c r="C127" s="233" t="str">
        <f>IF(B127="","",IF(LEN(B127)&gt;9,SUMIFS(Options!$H$3:$H$26,Options!$B$3:$B$26,Check!B127),SUMIFS('Master P&amp;L'!$H$11:$H$93,'Master P&amp;L'!$B$11:$B$93,Check!B127)))</f>
        <v/>
      </c>
      <c r="D127" s="233" t="str">
        <f>IF(B127="","",SUMIFS(Input_APM!N:N,Input_APM!L:L,Check!B127,Input_APM!M:M,Check!$F$1))</f>
        <v/>
      </c>
      <c r="E127" s="217" t="str">
        <f t="shared" si="28"/>
        <v/>
      </c>
      <c r="F127" s="233" t="str">
        <f>IF(B127="","",SUMIFS(Input_APM!N:N,Input_APM!M:M,Check!$F$1,Input_APM!L:L,Check!B127))</f>
        <v/>
      </c>
      <c r="G127" s="233" t="str">
        <f>IF(B127="","",SUMIFS(Input_APM!N:N,Input_APM!M:M,Check!$G$1,Input_APM!L:L,Check!B127))</f>
        <v/>
      </c>
      <c r="H127" s="217" t="str">
        <f t="shared" si="29"/>
        <v/>
      </c>
      <c r="I127" s="217">
        <f>SUMIFS(Input_APM!N:N,Input_APM!L:L,Check!B127)</f>
        <v>0</v>
      </c>
      <c r="J127" s="219" t="str">
        <f t="shared" si="30"/>
        <v/>
      </c>
      <c r="K127" s="22" t="str">
        <f>IF(B127="","",SUMIFS('Input_APM (Zenith)'!N:N,'Input_APM (Zenith)'!L:L,Check!B127,'Input_APM (Zenith)'!M:M,Check!$F$1))</f>
        <v/>
      </c>
      <c r="L127" s="22" t="str">
        <f>IF(B127="","",SUMIFS('Input_APM (Zenith)'!N:N,'Input_APM (Zenith)'!L:L,Check!B127,'Input_APM (Zenith)'!M:M,Check!$G$1))</f>
        <v/>
      </c>
      <c r="M127" s="217" t="str">
        <f t="shared" si="31"/>
        <v/>
      </c>
      <c r="O127"/>
      <c r="P127" s="217" t="str">
        <f>IF(O127="","",IF(OR(LEFT(O127,4)="Cash",LEFT(O127,4)="Prov"),0,SUMIFS(Input_APM!N:N,Input_APM!L:L,Check!O127)))</f>
        <v/>
      </c>
      <c r="Q127" s="22" t="str">
        <f>IF(O127="","",IF(LEN(O127)&gt;9,SUMIFS(Options!$H$3:$H$26,Options!$B$3:$B$26,Check!O127),SUMIFS('Master P&amp;L'!$H$11:$H$93,'Master P&amp;L'!$B$11:$B$93,Check!O127)))</f>
        <v/>
      </c>
      <c r="R127" s="217" t="str">
        <f t="shared" ref="R127:R133" si="32">IF(O127="","",P127-Q127)</f>
        <v/>
      </c>
      <c r="S127" s="361" t="str">
        <f t="shared" si="11"/>
        <v/>
      </c>
    </row>
    <row r="128" spans="3:20">
      <c r="C128" s="233" t="str">
        <f>IF(B128="","",IF(LEN(B128)&gt;9,SUMIFS(Options!$H$3:$H$26,Options!$B$3:$B$26,Check!B128),SUMIFS('Master P&amp;L'!$H$11:$H$93,'Master P&amp;L'!$B$11:$B$93,Check!B128)))</f>
        <v/>
      </c>
      <c r="D128" s="233" t="str">
        <f>IF(B128="","",SUMIFS(Input_APM!N:N,Input_APM!L:L,Check!B128,Input_APM!M:M,Check!$F$1))</f>
        <v/>
      </c>
      <c r="E128" s="217" t="str">
        <f t="shared" si="28"/>
        <v/>
      </c>
      <c r="F128" s="233" t="str">
        <f>IF(B128="","",SUMIFS(Input_APM!N:N,Input_APM!M:M,Check!$F$1,Input_APM!L:L,Check!B128))</f>
        <v/>
      </c>
      <c r="G128" s="233" t="str">
        <f>IF(B128="","",SUMIFS(Input_APM!N:N,Input_APM!M:M,Check!$G$1,Input_APM!L:L,Check!B128))</f>
        <v/>
      </c>
      <c r="H128" s="217" t="str">
        <f t="shared" si="29"/>
        <v/>
      </c>
      <c r="I128" s="217">
        <f>SUMIFS(Input_APM!N:N,Input_APM!L:L,Check!B128)</f>
        <v>0</v>
      </c>
      <c r="J128" s="219" t="str">
        <f t="shared" si="30"/>
        <v/>
      </c>
      <c r="K128" s="22" t="str">
        <f>IF(B128="","",SUMIFS('Input_APM (Zenith)'!N:N,'Input_APM (Zenith)'!L:L,Check!B128,'Input_APM (Zenith)'!M:M,Check!$F$1))</f>
        <v/>
      </c>
      <c r="L128" s="22" t="str">
        <f>IF(B128="","",SUMIFS('Input_APM (Zenith)'!N:N,'Input_APM (Zenith)'!L:L,Check!B128,'Input_APM (Zenith)'!M:M,Check!$G$1))</f>
        <v/>
      </c>
      <c r="M128" s="217" t="str">
        <f t="shared" si="31"/>
        <v/>
      </c>
      <c r="O128"/>
      <c r="P128" s="217" t="str">
        <f>IF(O128="","",IF(OR(LEFT(O128,4)="Cash",LEFT(O128,4)="Prov"),0,SUMIFS(Input_APM!N:N,Input_APM!L:L,Check!O128)))</f>
        <v/>
      </c>
      <c r="Q128" s="22" t="str">
        <f>IF(O128="","",IF(LEN(O128)&gt;9,SUMIFS(Options!$H$3:$H$26,Options!$B$3:$B$26,Check!O128),SUMIFS('Master P&amp;L'!$H$11:$H$93,'Master P&amp;L'!$B$11:$B$93,Check!O128)))</f>
        <v/>
      </c>
      <c r="R128" s="217" t="str">
        <f t="shared" si="32"/>
        <v/>
      </c>
      <c r="S128" s="361" t="str">
        <f t="shared" si="11"/>
        <v/>
      </c>
    </row>
    <row r="129" spans="3:20">
      <c r="C129" s="233" t="str">
        <f>IF(B129="","",IF(LEN(B129)&gt;9,SUMIFS(Options!$H$3:$H$26,Options!$B$3:$B$26,Check!B129),SUMIFS('Master P&amp;L'!$H$11:$H$93,'Master P&amp;L'!$B$11:$B$93,Check!B129)))</f>
        <v/>
      </c>
      <c r="D129" s="233" t="str">
        <f>IF(B129="","",SUMIFS(Input_APM!N:N,Input_APM!L:L,Check!B129,Input_APM!M:M,Check!$F$1))</f>
        <v/>
      </c>
      <c r="E129" s="217" t="str">
        <f t="shared" ref="E129:E135" si="33">IF(B129="","",C129-M129)</f>
        <v/>
      </c>
      <c r="F129" s="233" t="str">
        <f>IF(B129="","",SUMIFS(Input_APM!N:N,Input_APM!M:M,Check!$F$1,Input_APM!L:L,Check!B129))</f>
        <v/>
      </c>
      <c r="G129" s="233" t="str">
        <f>IF(B129="","",SUMIFS(Input_APM!N:N,Input_APM!M:M,Check!$G$1,Input_APM!L:L,Check!B129))</f>
        <v/>
      </c>
      <c r="H129" s="217" t="str">
        <f t="shared" ref="H129:H135" si="34">IF(B129="","",F129-G129)</f>
        <v/>
      </c>
      <c r="I129" s="217">
        <f>SUMIFS(Input_APM!N:N,Input_APM!L:L,Check!B129)</f>
        <v>0</v>
      </c>
      <c r="J129" s="219" t="str">
        <f t="shared" ref="J129:J135" si="35">IF(B129="","",(F129+G129)-I129)</f>
        <v/>
      </c>
      <c r="K129" s="22" t="str">
        <f>IF(B129="","",SUMIFS('Input_APM (Zenith)'!N:N,'Input_APM (Zenith)'!L:L,Check!B129,'Input_APM (Zenith)'!M:M,Check!$F$1))</f>
        <v/>
      </c>
      <c r="L129" s="22" t="str">
        <f>IF(B129="","",SUMIFS('Input_APM (Zenith)'!N:N,'Input_APM (Zenith)'!L:L,Check!B129,'Input_APM (Zenith)'!M:M,Check!$G$1))</f>
        <v/>
      </c>
      <c r="M129" s="217" t="str">
        <f t="shared" ref="M129:M135" si="36">IF(B129="","",F129+G129+K129+L129)</f>
        <v/>
      </c>
      <c r="O129"/>
      <c r="P129" s="217" t="str">
        <f>IF(O129="","",IF(OR(LEFT(O129,4)="Cash",LEFT(O129,4)="Prov"),0,SUMIFS(Input_APM!N:N,Input_APM!L:L,Check!O129)))</f>
        <v/>
      </c>
      <c r="Q129" s="22" t="str">
        <f>IF(O129="","",IF(LEN(O129)&gt;9,SUMIFS(Options!$H$3:$H$26,Options!$B$3:$B$26,Check!O129),SUMIFS('Master P&amp;L'!$H$11:$H$93,'Master P&amp;L'!$B$11:$B$93,Check!O129)))</f>
        <v/>
      </c>
      <c r="R129" s="217" t="str">
        <f t="shared" si="32"/>
        <v/>
      </c>
      <c r="S129" s="361" t="str">
        <f t="shared" si="11"/>
        <v/>
      </c>
    </row>
    <row r="130" spans="3:20">
      <c r="C130" s="233" t="str">
        <f>IF(B130="","",IF(LEN(B130)&gt;9,SUMIFS(Options!$H$3:$H$26,Options!$B$3:$B$26,Check!B130),SUMIFS('Master P&amp;L'!$H$11:$H$93,'Master P&amp;L'!$B$11:$B$93,Check!B130)))</f>
        <v/>
      </c>
      <c r="D130" s="233" t="str">
        <f>IF(B130="","",SUMIFS(Input_APM!N:N,Input_APM!L:L,Check!B130,Input_APM!M:M,Check!$F$1))</f>
        <v/>
      </c>
      <c r="E130" s="217" t="str">
        <f t="shared" si="33"/>
        <v/>
      </c>
      <c r="F130" s="233" t="str">
        <f>IF(B130="","",SUMIFS(Input_APM!N:N,Input_APM!M:M,Check!$F$1,Input_APM!L:L,Check!B130))</f>
        <v/>
      </c>
      <c r="G130" s="233" t="str">
        <f>IF(B130="","",SUMIFS(Input_APM!N:N,Input_APM!M:M,Check!$G$1,Input_APM!L:L,Check!B130))</f>
        <v/>
      </c>
      <c r="H130" s="217" t="str">
        <f t="shared" si="34"/>
        <v/>
      </c>
      <c r="I130" s="217">
        <f>SUMIFS(Input_APM!N:N,Input_APM!L:L,Check!B130)</f>
        <v>0</v>
      </c>
      <c r="J130" s="219" t="str">
        <f t="shared" si="35"/>
        <v/>
      </c>
      <c r="K130" s="22" t="str">
        <f>IF(B130="","",SUMIFS('Input_APM (Zenith)'!N:N,'Input_APM (Zenith)'!L:L,Check!B130,'Input_APM (Zenith)'!M:M,Check!$F$1))</f>
        <v/>
      </c>
      <c r="L130" s="22" t="str">
        <f>IF(B130="","",SUMIFS('Input_APM (Zenith)'!N:N,'Input_APM (Zenith)'!L:L,Check!B130,'Input_APM (Zenith)'!M:M,Check!$G$1))</f>
        <v/>
      </c>
      <c r="M130" s="217" t="str">
        <f t="shared" si="36"/>
        <v/>
      </c>
      <c r="O130"/>
      <c r="P130" s="217" t="str">
        <f>IF(O130="","",IF(OR(LEFT(O130,4)="Cash",LEFT(O130,4)="Prov"),0,SUMIFS(Input_APM!N:N,Input_APM!L:L,Check!O130)))</f>
        <v/>
      </c>
      <c r="Q130" s="22" t="str">
        <f>IF(O130="","",IF(LEN(O130)&gt;9,SUMIFS(Options!$H$3:$H$26,Options!$B$3:$B$26,Check!O130),SUMIFS('Master P&amp;L'!$H$11:$H$93,'Master P&amp;L'!$B$11:$B$93,Check!O130)))</f>
        <v/>
      </c>
      <c r="R130" s="217" t="str">
        <f t="shared" si="32"/>
        <v/>
      </c>
      <c r="S130" s="361" t="str">
        <f t="shared" si="11"/>
        <v/>
      </c>
    </row>
    <row r="131" spans="3:20">
      <c r="C131" s="233" t="str">
        <f>IF(B131="","",IF(LEN(B131)&gt;9,SUMIFS(Options!$H$3:$H$26,Options!$B$3:$B$26,Check!B131),SUMIFS('Master P&amp;L'!$H$11:$H$93,'Master P&amp;L'!$B$11:$B$93,Check!B131)))</f>
        <v/>
      </c>
      <c r="D131" s="233" t="str">
        <f>IF(B131="","",SUMIFS(Input_APM!N:N,Input_APM!L:L,Check!B131,Input_APM!M:M,Check!$F$1))</f>
        <v/>
      </c>
      <c r="E131" s="217" t="str">
        <f t="shared" si="33"/>
        <v/>
      </c>
      <c r="F131" s="233" t="str">
        <f>IF(B131="","",SUMIFS(Input_APM!N:N,Input_APM!M:M,Check!$F$1,Input_APM!L:L,Check!B131))</f>
        <v/>
      </c>
      <c r="G131" s="233" t="str">
        <f>IF(B131="","",SUMIFS(Input_APM!N:N,Input_APM!M:M,Check!$G$1,Input_APM!L:L,Check!B131))</f>
        <v/>
      </c>
      <c r="H131" s="217" t="str">
        <f t="shared" si="34"/>
        <v/>
      </c>
      <c r="I131" s="217">
        <f>SUMIFS(Input_APM!N:N,Input_APM!L:L,Check!B131)</f>
        <v>0</v>
      </c>
      <c r="J131" s="219" t="str">
        <f t="shared" si="35"/>
        <v/>
      </c>
      <c r="K131" s="22" t="str">
        <f>IF(B131="","",SUMIFS('Input_APM (Zenith)'!N:N,'Input_APM (Zenith)'!L:L,Check!B131,'Input_APM (Zenith)'!M:M,Check!$F$1))</f>
        <v/>
      </c>
      <c r="L131" s="22" t="str">
        <f>IF(B131="","",SUMIFS('Input_APM (Zenith)'!N:N,'Input_APM (Zenith)'!L:L,Check!B131,'Input_APM (Zenith)'!M:M,Check!$G$1))</f>
        <v/>
      </c>
      <c r="M131" s="217" t="str">
        <f t="shared" si="36"/>
        <v/>
      </c>
      <c r="O131"/>
      <c r="P131" s="217" t="str">
        <f>IF(O131="","",IF(OR(LEFT(O131,4)="Cash",LEFT(O131,4)="Prov"),0,SUMIFS(Input_APM!N:N,Input_APM!L:L,Check!O131)))</f>
        <v/>
      </c>
      <c r="Q131" s="22" t="str">
        <f>IF(O131="","",IF(LEN(O131)&gt;9,SUMIFS(Options!$H$3:$H$26,Options!$B$3:$B$26,Check!O131),SUMIFS('Master P&amp;L'!$H$11:$H$93,'Master P&amp;L'!$B$11:$B$93,Check!O131)))</f>
        <v/>
      </c>
      <c r="R131" s="217" t="str">
        <f t="shared" si="32"/>
        <v/>
      </c>
      <c r="S131" s="361" t="str">
        <f t="shared" si="11"/>
        <v/>
      </c>
    </row>
    <row r="132" spans="3:20">
      <c r="C132" s="233" t="str">
        <f>IF(B132="","",IF(LEN(B132)&gt;9,SUMIFS(Options!$H$3:$H$26,Options!$B$3:$B$26,Check!B132),SUMIFS('Master P&amp;L'!$H$11:$H$93,'Master P&amp;L'!$B$11:$B$93,Check!B132)))</f>
        <v/>
      </c>
      <c r="D132" s="233" t="str">
        <f>IF(B132="","",SUMIFS(Input_APM!N:N,Input_APM!L:L,Check!B132,Input_APM!M:M,Check!$F$1))</f>
        <v/>
      </c>
      <c r="E132" s="217" t="str">
        <f t="shared" si="33"/>
        <v/>
      </c>
      <c r="F132" s="233" t="str">
        <f>IF(B132="","",SUMIFS(Input_APM!N:N,Input_APM!M:M,Check!$F$1,Input_APM!L:L,Check!B132))</f>
        <v/>
      </c>
      <c r="G132" s="233" t="str">
        <f>IF(B132="","",SUMIFS(Input_APM!N:N,Input_APM!M:M,Check!$G$1,Input_APM!L:L,Check!B132))</f>
        <v/>
      </c>
      <c r="H132" s="217" t="str">
        <f t="shared" si="34"/>
        <v/>
      </c>
      <c r="I132" s="217">
        <f>SUMIFS(Input_APM!N:N,Input_APM!L:L,Check!B132)</f>
        <v>0</v>
      </c>
      <c r="J132" s="219" t="str">
        <f t="shared" si="35"/>
        <v/>
      </c>
      <c r="K132" s="22" t="str">
        <f>IF(B132="","",SUMIFS('Input_APM (Zenith)'!N:N,'Input_APM (Zenith)'!L:L,Check!B132,'Input_APM (Zenith)'!M:M,Check!$F$1))</f>
        <v/>
      </c>
      <c r="L132" s="22" t="str">
        <f>IF(B132="","",SUMIFS('Input_APM (Zenith)'!N:N,'Input_APM (Zenith)'!L:L,Check!B132,'Input_APM (Zenith)'!M:M,Check!$G$1))</f>
        <v/>
      </c>
      <c r="M132" s="217" t="str">
        <f t="shared" si="36"/>
        <v/>
      </c>
      <c r="O132"/>
      <c r="P132" s="217" t="str">
        <f>IF(O132="","",IF(OR(LEFT(O132,4)="Cash",LEFT(O132,4)="Prov"),0,SUMIFS(Input_APM!N:N,Input_APM!L:L,Check!O132)))</f>
        <v/>
      </c>
      <c r="Q132" s="22" t="str">
        <f>IF(O132="","",IF(LEN(O132)&gt;9,SUMIFS(Options!$H$3:$H$26,Options!$B$3:$B$26,Check!O132),SUMIFS('Master P&amp;L'!$H$11:$H$93,'Master P&amp;L'!$B$11:$B$93,Check!O132)))</f>
        <v/>
      </c>
      <c r="R132" s="217" t="str">
        <f t="shared" si="32"/>
        <v/>
      </c>
      <c r="S132" s="361" t="str">
        <f t="shared" si="11"/>
        <v/>
      </c>
    </row>
    <row r="133" spans="3:20">
      <c r="C133" s="233" t="str">
        <f>IF(B133="","",IF(LEN(B133)&gt;9,SUMIFS(Options!$H$3:$H$26,Options!$B$3:$B$26,Check!B133),SUMIFS('Master P&amp;L'!$H$11:$H$93,'Master P&amp;L'!$B$11:$B$93,Check!B133)))</f>
        <v/>
      </c>
      <c r="D133" s="233" t="str">
        <f>IF(B133="","",SUMIFS(Input_APM!N:N,Input_APM!L:L,Check!B133,Input_APM!M:M,Check!$F$1))</f>
        <v/>
      </c>
      <c r="E133" s="217" t="str">
        <f t="shared" si="33"/>
        <v/>
      </c>
      <c r="F133" s="233" t="str">
        <f>IF(B133="","",SUMIFS(Input_APM!N:N,Input_APM!M:M,Check!$F$1,Input_APM!L:L,Check!B133))</f>
        <v/>
      </c>
      <c r="G133" s="233" t="str">
        <f>IF(B133="","",SUMIFS(Input_APM!N:N,Input_APM!M:M,Check!$G$1,Input_APM!L:L,Check!B133))</f>
        <v/>
      </c>
      <c r="H133" s="217" t="str">
        <f t="shared" si="34"/>
        <v/>
      </c>
      <c r="I133" s="217">
        <f>SUMIFS(Input_APM!N:N,Input_APM!L:L,Check!B133)</f>
        <v>0</v>
      </c>
      <c r="J133" s="219" t="str">
        <f t="shared" si="35"/>
        <v/>
      </c>
      <c r="K133" s="22" t="str">
        <f>IF(B133="","",SUMIFS('Input_APM (Zenith)'!N:N,'Input_APM (Zenith)'!L:L,Check!B133,'Input_APM (Zenith)'!M:M,Check!$F$1))</f>
        <v/>
      </c>
      <c r="L133" s="22" t="str">
        <f>IF(B133="","",SUMIFS('Input_APM (Zenith)'!N:N,'Input_APM (Zenith)'!L:L,Check!B133,'Input_APM (Zenith)'!M:M,Check!$G$1))</f>
        <v/>
      </c>
      <c r="M133" s="217" t="str">
        <f t="shared" si="36"/>
        <v/>
      </c>
      <c r="O133"/>
      <c r="P133" s="217" t="str">
        <f>IF(O133="","",IF(OR(LEFT(O133,4)="Cash",LEFT(O133,4)="Prov"),0,SUMIFS(Input_APM!N:N,Input_APM!L:L,Check!O133)))</f>
        <v/>
      </c>
      <c r="Q133" s="22" t="str">
        <f>IF(O133="","",IF(LEN(O133)&gt;9,SUMIFS(Options!$H$3:$H$26,Options!$B$3:$B$26,Check!O133),SUMIFS('Master P&amp;L'!$H$11:$H$93,'Master P&amp;L'!$B$11:$B$93,Check!O133)))</f>
        <v/>
      </c>
      <c r="R133" s="217" t="str">
        <f t="shared" si="32"/>
        <v/>
      </c>
      <c r="S133" s="361" t="str">
        <f t="shared" si="11"/>
        <v/>
      </c>
    </row>
    <row r="134" spans="3:20">
      <c r="C134" s="233" t="str">
        <f>IF(B134="","",IF(LEN(B134)&gt;9,SUMIFS(Options!$H$3:$H$26,Options!$B$3:$B$26,Check!B134),SUMIFS('Master P&amp;L'!$H$11:$H$93,'Master P&amp;L'!$B$11:$B$93,Check!B134)))</f>
        <v/>
      </c>
      <c r="D134" s="233" t="str">
        <f>IF(B134="","",SUMIFS(Input_APM!N:N,Input_APM!L:L,Check!B134,Input_APM!M:M,Check!$F$1))</f>
        <v/>
      </c>
      <c r="E134" s="217" t="str">
        <f t="shared" si="33"/>
        <v/>
      </c>
      <c r="F134" s="233" t="str">
        <f>IF(B134="","",SUMIFS(Input_APM!N:N,Input_APM!M:M,Check!$F$1,Input_APM!L:L,Check!B134))</f>
        <v/>
      </c>
      <c r="G134" s="233" t="str">
        <f>IF(B134="","",SUMIFS(Input_APM!N:N,Input_APM!M:M,Check!$G$1,Input_APM!L:L,Check!B134))</f>
        <v/>
      </c>
      <c r="H134" s="217" t="str">
        <f t="shared" si="34"/>
        <v/>
      </c>
      <c r="I134" s="217">
        <f>SUMIFS(Input_APM!N:N,Input_APM!L:L,Check!B134)</f>
        <v>0</v>
      </c>
      <c r="J134" s="219" t="str">
        <f t="shared" si="35"/>
        <v/>
      </c>
      <c r="K134" s="22" t="str">
        <f>IF(B134="","",SUMIFS('Input_APM (Zenith)'!N:N,'Input_APM (Zenith)'!L:L,Check!B134,'Input_APM (Zenith)'!M:M,Check!$F$1))</f>
        <v/>
      </c>
      <c r="L134" s="22" t="str">
        <f>IF(B134="","",SUMIFS('Input_APM (Zenith)'!N:N,'Input_APM (Zenith)'!L:L,Check!B134,'Input_APM (Zenith)'!M:M,Check!$G$1))</f>
        <v/>
      </c>
      <c r="M134" s="217" t="str">
        <f t="shared" si="36"/>
        <v/>
      </c>
      <c r="O134"/>
      <c r="P134" s="217" t="str">
        <f>IF(O134="","",IF(OR(LEFT(O134,4)="Cash",LEFT(O134,4)="Prov"),0,SUMIFS(Input_APM!N:N,Input_APM!L:L,Check!O134)))</f>
        <v/>
      </c>
      <c r="Q134" s="22" t="str">
        <f>IF(O134="","",IF(LEN(O134)&gt;9,SUMIFS(Options!$H$3:$H$26,Options!$B$3:$B$26,Check!O134),SUMIFS('Master P&amp;L'!$H$11:$H$93,'Master P&amp;L'!$B$11:$B$93,Check!O134)))</f>
        <v/>
      </c>
      <c r="R134" s="217" t="str">
        <f>IF(O134="","",P134-Q134)</f>
        <v/>
      </c>
      <c r="S134" s="361" t="str">
        <f t="shared" ref="S134:S197" si="37">IF(O134="","",IF((P134+Q134)=0,"Ok",IF(OR(P134=0,Q134=0),"Erro",P134/Q134)))</f>
        <v/>
      </c>
    </row>
    <row r="135" spans="3:20">
      <c r="C135" s="233" t="str">
        <f>IF(B135="","",IF(LEN(B135)&gt;9,SUMIFS(Options!$H$3:$H$26,Options!$B$3:$B$26,Check!B135),SUMIFS('Master P&amp;L'!$H$11:$H$93,'Master P&amp;L'!$B$11:$B$93,Check!B135)))</f>
        <v/>
      </c>
      <c r="D135" s="233" t="str">
        <f>IF(B135="","",SUMIFS(Input_APM!N:N,Input_APM!L:L,Check!B135,Input_APM!M:M,Check!$F$1))</f>
        <v/>
      </c>
      <c r="E135" s="217" t="str">
        <f t="shared" si="33"/>
        <v/>
      </c>
      <c r="F135" s="233" t="str">
        <f>IF(B135="","",SUMIFS(Input_APM!N:N,Input_APM!M:M,Check!$F$1,Input_APM!L:L,Check!B135))</f>
        <v/>
      </c>
      <c r="G135" s="233" t="str">
        <f>IF(B135="","",SUMIFS(Input_APM!N:N,Input_APM!M:M,Check!$G$1,Input_APM!L:L,Check!B135))</f>
        <v/>
      </c>
      <c r="H135" s="217" t="str">
        <f t="shared" si="34"/>
        <v/>
      </c>
      <c r="I135" s="217">
        <f>SUMIFS(Input_APM!N:N,Input_APM!L:L,Check!B135)</f>
        <v>0</v>
      </c>
      <c r="J135" s="219" t="str">
        <f t="shared" si="35"/>
        <v/>
      </c>
      <c r="K135" s="22" t="str">
        <f>IF(B135="","",SUMIFS('Input_APM (Zenith)'!N:N,'Input_APM (Zenith)'!L:L,Check!B135,'Input_APM (Zenith)'!M:M,Check!$F$1))</f>
        <v/>
      </c>
      <c r="L135" s="22" t="str">
        <f>IF(B135="","",SUMIFS('Input_APM (Zenith)'!N:N,'Input_APM (Zenith)'!L:L,Check!B135,'Input_APM (Zenith)'!M:M,Check!$G$1))</f>
        <v/>
      </c>
      <c r="M135" s="217" t="str">
        <f t="shared" si="36"/>
        <v/>
      </c>
      <c r="O135"/>
      <c r="P135" s="217" t="str">
        <f>IF(O135="","",IF(OR(LEFT(O135,4)="Cash",LEFT(O135,4)="Prov"),0,SUMIFS(Input_APM!N:N,Input_APM!L:L,Check!O135)))</f>
        <v/>
      </c>
      <c r="Q135" s="22" t="str">
        <f>IF(O135="","",IF(LEN(O135)&gt;9,SUMIFS(Options!$H$3:$H$26,Options!$B$3:$B$26,Check!O135),SUMIFS('Master P&amp;L'!$H$11:$H$93,'Master P&amp;L'!$B$11:$B$93,Check!O135)))</f>
        <v/>
      </c>
      <c r="R135" s="217" t="str">
        <f>IF(O135="","",P135-Q135)</f>
        <v/>
      </c>
      <c r="S135" s="361" t="str">
        <f t="shared" si="37"/>
        <v/>
      </c>
    </row>
    <row r="136" spans="3:20">
      <c r="C136" s="233" t="str">
        <f>IF(B136="","",IF(LEN(B136)&gt;9,SUMIFS(Options!$H$3:$H$26,Options!$B$3:$B$26,Check!B136),SUMIFS('Master P&amp;L'!$H$11:$H$93,'Master P&amp;L'!$B$11:$B$93,Check!B136)))</f>
        <v/>
      </c>
      <c r="D136" s="233" t="str">
        <f>IF(B136="","",SUMIFS(Input_APM!N:N,Input_APM!L:L,Check!B136,Input_APM!M:M,Check!$F$1))</f>
        <v/>
      </c>
      <c r="E136" s="217" t="str">
        <f t="shared" ref="E136:E150" si="38">IF(B136="","",C136-M136)</f>
        <v/>
      </c>
      <c r="F136" s="233" t="str">
        <f>IF(B136="","",SUMIFS(Input_APM!N:N,Input_APM!M:M,Check!$F$1,Input_APM!L:L,Check!B136))</f>
        <v/>
      </c>
      <c r="G136" s="233" t="str">
        <f>IF(B136="","",SUMIFS(Input_APM!N:N,Input_APM!M:M,Check!$G$1,Input_APM!L:L,Check!B136))</f>
        <v/>
      </c>
      <c r="H136" s="217" t="str">
        <f t="shared" ref="H136:H150" si="39">IF(B136="","",F136-G136)</f>
        <v/>
      </c>
      <c r="I136" s="217">
        <f>SUMIFS(Input_APM!N:N,Input_APM!L:L,Check!B136)</f>
        <v>0</v>
      </c>
      <c r="J136" s="219" t="str">
        <f t="shared" ref="J136:J150" si="40">IF(B136="","",(F136+G136)-I136)</f>
        <v/>
      </c>
      <c r="K136" s="22" t="str">
        <f>IF(B136="","",SUMIFS('Input_APM (Zenith)'!N:N,'Input_APM (Zenith)'!L:L,Check!B136,'Input_APM (Zenith)'!M:M,Check!$F$1))</f>
        <v/>
      </c>
      <c r="L136" s="22" t="str">
        <f>IF(B136="","",SUMIFS('Input_APM (Zenith)'!N:N,'Input_APM (Zenith)'!L:L,Check!B136,'Input_APM (Zenith)'!M:M,Check!$G$1))</f>
        <v/>
      </c>
      <c r="M136" s="217" t="str">
        <f t="shared" ref="M136:M150" si="41">IF(B136="","",F136+G136+K136+L136)</f>
        <v/>
      </c>
      <c r="O136"/>
      <c r="P136" s="217" t="str">
        <f>IF(O136="","",IF(OR(LEFT(O136,4)="Cash",LEFT(O136,4)="Prov"),0,SUMIFS(Input_APM!N:N,Input_APM!L:L,Check!O136)))</f>
        <v/>
      </c>
      <c r="Q136" s="22" t="str">
        <f>IF(O136="","",IF(LEN(O136)&gt;9,SUMIFS(Options!$H$3:$H$26,Options!$B$3:$B$26,Check!O136),SUMIFS('Master P&amp;L'!$H$11:$H$93,'Master P&amp;L'!$B$11:$B$93,Check!O136)))</f>
        <v/>
      </c>
      <c r="R136" s="217" t="str">
        <f t="shared" ref="R136:R142" si="42">IF(O136="","",P136-Q136)</f>
        <v/>
      </c>
      <c r="S136" s="361" t="str">
        <f t="shared" si="37"/>
        <v/>
      </c>
    </row>
    <row r="137" spans="3:20">
      <c r="C137" s="233" t="str">
        <f>IF(B137="","",IF(LEN(B137)&gt;9,SUMIFS(Options!$H$3:$H$26,Options!$B$3:$B$26,Check!B137),SUMIFS('Master P&amp;L'!$H$11:$H$93,'Master P&amp;L'!$B$11:$B$93,Check!B137)))</f>
        <v/>
      </c>
      <c r="D137" s="233" t="str">
        <f>IF(B137="","",SUMIFS(Input_APM!N:N,Input_APM!L:L,Check!B137,Input_APM!M:M,Check!$F$1))</f>
        <v/>
      </c>
      <c r="E137" s="217" t="str">
        <f t="shared" si="38"/>
        <v/>
      </c>
      <c r="F137" s="233" t="str">
        <f>IF(B137="","",SUMIFS(Input_APM!N:N,Input_APM!M:M,Check!$F$1,Input_APM!L:L,Check!B137))</f>
        <v/>
      </c>
      <c r="G137" s="233" t="str">
        <f>IF(B137="","",SUMIFS(Input_APM!N:N,Input_APM!M:M,Check!$G$1,Input_APM!L:L,Check!B137))</f>
        <v/>
      </c>
      <c r="H137" s="217" t="str">
        <f t="shared" si="39"/>
        <v/>
      </c>
      <c r="I137" s="217">
        <f>SUMIFS(Input_APM!N:N,Input_APM!L:L,Check!B137)</f>
        <v>0</v>
      </c>
      <c r="J137" s="219" t="str">
        <f t="shared" si="40"/>
        <v/>
      </c>
      <c r="K137" s="22" t="str">
        <f>IF(B137="","",SUMIFS('Input_APM (Zenith)'!N:N,'Input_APM (Zenith)'!L:L,Check!B137,'Input_APM (Zenith)'!M:M,Check!$F$1))</f>
        <v/>
      </c>
      <c r="L137" s="22" t="str">
        <f>IF(B137="","",SUMIFS('Input_APM (Zenith)'!N:N,'Input_APM (Zenith)'!L:L,Check!B137,'Input_APM (Zenith)'!M:M,Check!$G$1))</f>
        <v/>
      </c>
      <c r="M137" s="217" t="str">
        <f t="shared" si="41"/>
        <v/>
      </c>
      <c r="O137"/>
      <c r="P137" s="217" t="str">
        <f>IF(O137="","",IF(OR(LEFT(O137,4)="Cash",LEFT(O137,4)="Prov"),0,SUMIFS(Input_APM!N:N,Input_APM!L:L,Check!O137)))</f>
        <v/>
      </c>
      <c r="Q137" s="22" t="str">
        <f>IF(O137="","",IF(LEN(O137)&gt;9,SUMIFS(Options!$H$3:$H$26,Options!$B$3:$B$26,Check!O137),SUMIFS('Master P&amp;L'!$H$11:$H$93,'Master P&amp;L'!$B$11:$B$93,Check!O137)))</f>
        <v/>
      </c>
      <c r="R137" s="217" t="str">
        <f t="shared" si="42"/>
        <v/>
      </c>
      <c r="S137" s="361" t="str">
        <f t="shared" si="37"/>
        <v/>
      </c>
    </row>
    <row r="138" spans="3:20">
      <c r="C138" s="233" t="str">
        <f>IF(B138="","",IF(LEN(B138)&gt;9,SUMIFS(Options!$H$3:$H$26,Options!$B$3:$B$26,Check!B138),SUMIFS('Master P&amp;L'!$H$11:$H$93,'Master P&amp;L'!$B$11:$B$93,Check!B138)))</f>
        <v/>
      </c>
      <c r="D138" s="233" t="str">
        <f>IF(B138="","",SUMIFS(Input_APM!N:N,Input_APM!L:L,Check!B138,Input_APM!M:M,Check!$F$1))</f>
        <v/>
      </c>
      <c r="E138" s="217" t="str">
        <f t="shared" si="38"/>
        <v/>
      </c>
      <c r="F138" s="233" t="str">
        <f>IF(B138="","",SUMIFS(Input_APM!N:N,Input_APM!M:M,Check!$F$1,Input_APM!L:L,Check!B138))</f>
        <v/>
      </c>
      <c r="G138" s="233" t="str">
        <f>IF(B138="","",SUMIFS(Input_APM!N:N,Input_APM!M:M,Check!$G$1,Input_APM!L:L,Check!B138))</f>
        <v/>
      </c>
      <c r="H138" s="217" t="str">
        <f t="shared" si="39"/>
        <v/>
      </c>
      <c r="I138" s="217">
        <f>SUMIFS(Input_APM!N:N,Input_APM!L:L,Check!B138)</f>
        <v>0</v>
      </c>
      <c r="J138" s="219" t="str">
        <f t="shared" si="40"/>
        <v/>
      </c>
      <c r="K138" s="22" t="str">
        <f>IF(B138="","",SUMIFS('Input_APM (Zenith)'!N:N,'Input_APM (Zenith)'!L:L,Check!B138,'Input_APM (Zenith)'!M:M,Check!$F$1))</f>
        <v/>
      </c>
      <c r="L138" s="22" t="str">
        <f>IF(B138="","",SUMIFS('Input_APM (Zenith)'!N:N,'Input_APM (Zenith)'!L:L,Check!B138,'Input_APM (Zenith)'!M:M,Check!$G$1))</f>
        <v/>
      </c>
      <c r="M138" s="217" t="str">
        <f t="shared" si="41"/>
        <v/>
      </c>
      <c r="O138"/>
      <c r="P138" s="217" t="str">
        <f>IF(O138="","",IF(OR(LEFT(O138,4)="Cash",LEFT(O138,4)="Prov"),0,SUMIFS(Input_APM!N:N,Input_APM!L:L,Check!O138)))</f>
        <v/>
      </c>
      <c r="Q138" s="22" t="str">
        <f>IF(O138="","",IF(LEN(O138)&gt;9,SUMIFS(Options!$H$3:$H$26,Options!$B$3:$B$26,Check!O138),SUMIFS('Master P&amp;L'!$H$11:$H$93,'Master P&amp;L'!$B$11:$B$93,Check!O138)))</f>
        <v/>
      </c>
      <c r="R138" s="217" t="str">
        <f t="shared" si="42"/>
        <v/>
      </c>
      <c r="S138" s="361" t="str">
        <f t="shared" si="37"/>
        <v/>
      </c>
    </row>
    <row r="139" spans="3:20">
      <c r="C139" s="233" t="str">
        <f>IF(B139="","",IF(LEN(B139)&gt;9,SUMIFS(Options!$H$3:$H$26,Options!$B$3:$B$26,Check!B139),SUMIFS('Master P&amp;L'!$H$11:$H$93,'Master P&amp;L'!$B$11:$B$93,Check!B139)))</f>
        <v/>
      </c>
      <c r="D139" s="233" t="str">
        <f>IF(B139="","",SUMIFS(Input_APM!N:N,Input_APM!L:L,Check!B139,Input_APM!M:M,Check!$F$1))</f>
        <v/>
      </c>
      <c r="E139" s="217" t="str">
        <f t="shared" si="38"/>
        <v/>
      </c>
      <c r="F139" s="233" t="str">
        <f>IF(B139="","",SUMIFS(Input_APM!N:N,Input_APM!M:M,Check!$F$1,Input_APM!L:L,Check!B139))</f>
        <v/>
      </c>
      <c r="G139" s="233" t="str">
        <f>IF(B139="","",SUMIFS(Input_APM!N:N,Input_APM!M:M,Check!$G$1,Input_APM!L:L,Check!B139))</f>
        <v/>
      </c>
      <c r="H139" s="217" t="str">
        <f t="shared" si="39"/>
        <v/>
      </c>
      <c r="I139" s="217">
        <f>SUMIFS(Input_APM!N:N,Input_APM!L:L,Check!B139)</f>
        <v>0</v>
      </c>
      <c r="J139" s="219" t="str">
        <f t="shared" si="40"/>
        <v/>
      </c>
      <c r="K139" s="22" t="str">
        <f>IF(B139="","",SUMIFS('Input_APM (Zenith)'!N:N,'Input_APM (Zenith)'!L:L,Check!B139,'Input_APM (Zenith)'!M:M,Check!$F$1))</f>
        <v/>
      </c>
      <c r="L139" s="22" t="str">
        <f>IF(B139="","",SUMIFS('Input_APM (Zenith)'!N:N,'Input_APM (Zenith)'!L:L,Check!B139,'Input_APM (Zenith)'!M:M,Check!$G$1))</f>
        <v/>
      </c>
      <c r="M139" s="217" t="str">
        <f t="shared" si="41"/>
        <v/>
      </c>
      <c r="O139"/>
      <c r="P139" s="217" t="str">
        <f>IF(O139="","",IF(OR(LEFT(O139,4)="Cash",LEFT(O139,4)="Prov"),0,SUMIFS(Input_APM!N:N,Input_APM!L:L,Check!O139)))</f>
        <v/>
      </c>
      <c r="Q139" s="22" t="str">
        <f>IF(O139="","",IF(LEN(O139)&gt;9,SUMIFS(Options!$H$3:$H$26,Options!$B$3:$B$26,Check!O139),SUMIFS('Master P&amp;L'!$H$11:$H$93,'Master P&amp;L'!$B$11:$B$93,Check!O139)))</f>
        <v/>
      </c>
      <c r="R139" s="217" t="str">
        <f t="shared" si="42"/>
        <v/>
      </c>
      <c r="S139" s="361" t="str">
        <f t="shared" si="37"/>
        <v/>
      </c>
    </row>
    <row r="140" spans="3:20">
      <c r="C140" s="233" t="str">
        <f>IF(B140="","",IF(LEN(B140)&gt;9,SUMIFS(Options!$H$3:$H$26,Options!$B$3:$B$26,Check!B140),SUMIFS('Master P&amp;L'!$H$11:$H$93,'Master P&amp;L'!$B$11:$B$93,Check!B140)))</f>
        <v/>
      </c>
      <c r="D140" s="233" t="str">
        <f>IF(B140="","",SUMIFS(Input_APM!N:N,Input_APM!L:L,Check!B140,Input_APM!M:M,Check!$F$1))</f>
        <v/>
      </c>
      <c r="E140" s="217" t="str">
        <f t="shared" si="38"/>
        <v/>
      </c>
      <c r="F140" s="233" t="str">
        <f>IF(B140="","",SUMIFS(Input_APM!N:N,Input_APM!M:M,Check!$F$1,Input_APM!L:L,Check!B140))</f>
        <v/>
      </c>
      <c r="G140" s="233" t="str">
        <f>IF(B140="","",SUMIFS(Input_APM!N:N,Input_APM!M:M,Check!$G$1,Input_APM!L:L,Check!B140))</f>
        <v/>
      </c>
      <c r="H140" s="217" t="str">
        <f t="shared" si="39"/>
        <v/>
      </c>
      <c r="I140" s="217">
        <f>SUMIFS(Input_APM!N:N,Input_APM!L:L,Check!B140)</f>
        <v>0</v>
      </c>
      <c r="J140" s="219" t="str">
        <f t="shared" si="40"/>
        <v/>
      </c>
      <c r="K140" s="22" t="str">
        <f>IF(B140="","",SUMIFS('Input_APM (Zenith)'!N:N,'Input_APM (Zenith)'!L:L,Check!B140,'Input_APM (Zenith)'!M:M,Check!$F$1))</f>
        <v/>
      </c>
      <c r="L140" s="22" t="str">
        <f>IF(B140="","",SUMIFS('Input_APM (Zenith)'!N:N,'Input_APM (Zenith)'!L:L,Check!B140,'Input_APM (Zenith)'!M:M,Check!$G$1))</f>
        <v/>
      </c>
      <c r="M140" s="217" t="str">
        <f t="shared" si="41"/>
        <v/>
      </c>
      <c r="O140"/>
      <c r="P140" s="217" t="str">
        <f>IF(O140="","",IF(OR(LEFT(O140,4)="Cash",LEFT(O140,4)="Prov"),0,SUMIFS(Input_APM!N:N,Input_APM!L:L,Check!O140)))</f>
        <v/>
      </c>
      <c r="Q140" s="22" t="str">
        <f>IF(O140="","",IF(LEN(O140)&gt;9,SUMIFS(Options!$H$3:$H$26,Options!$B$3:$B$26,Check!O140),SUMIFS('Master P&amp;L'!$H$11:$H$93,'Master P&amp;L'!$B$11:$B$93,Check!O140)))</f>
        <v/>
      </c>
      <c r="R140" s="217" t="str">
        <f t="shared" si="42"/>
        <v/>
      </c>
      <c r="S140" s="361" t="str">
        <f t="shared" si="37"/>
        <v/>
      </c>
    </row>
    <row r="141" spans="3:20">
      <c r="C141" s="233" t="str">
        <f>IF(B141="","",IF(LEN(B141)&gt;9,SUMIFS(Options!$H$3:$H$26,Options!$B$3:$B$26,Check!B141),SUMIFS('Master P&amp;L'!$H$11:$H$93,'Master P&amp;L'!$B$11:$B$93,Check!B141)))</f>
        <v/>
      </c>
      <c r="D141" s="233" t="str">
        <f>IF(B141="","",SUMIFS(Input_APM!N:N,Input_APM!L:L,Check!B141,Input_APM!M:M,Check!$F$1))</f>
        <v/>
      </c>
      <c r="E141" s="217" t="str">
        <f t="shared" si="38"/>
        <v/>
      </c>
      <c r="F141" s="233" t="str">
        <f>IF(B141="","",SUMIFS(Input_APM!N:N,Input_APM!M:M,Check!$F$1,Input_APM!L:L,Check!B141))</f>
        <v/>
      </c>
      <c r="G141" s="233" t="str">
        <f>IF(B141="","",SUMIFS(Input_APM!N:N,Input_APM!M:M,Check!$G$1,Input_APM!L:L,Check!B141))</f>
        <v/>
      </c>
      <c r="H141" s="217" t="str">
        <f t="shared" si="39"/>
        <v/>
      </c>
      <c r="I141" s="217">
        <f>SUMIFS(Input_APM!N:N,Input_APM!L:L,Check!B141)</f>
        <v>0</v>
      </c>
      <c r="J141" s="219" t="str">
        <f t="shared" si="40"/>
        <v/>
      </c>
      <c r="K141" s="22" t="str">
        <f>IF(B141="","",SUMIFS('Input_APM (Zenith)'!N:N,'Input_APM (Zenith)'!L:L,Check!B141,'Input_APM (Zenith)'!M:M,Check!$F$1))</f>
        <v/>
      </c>
      <c r="L141" s="22" t="str">
        <f>IF(B141="","",SUMIFS('Input_APM (Zenith)'!N:N,'Input_APM (Zenith)'!L:L,Check!B141,'Input_APM (Zenith)'!M:M,Check!$G$1))</f>
        <v/>
      </c>
      <c r="M141" s="217" t="str">
        <f t="shared" si="41"/>
        <v/>
      </c>
      <c r="O141"/>
      <c r="P141" s="217" t="str">
        <f>IF(O141="","",IF(OR(LEFT(O141,4)="Cash",LEFT(O141,4)="Prov"),0,SUMIFS(Input_APM!N:N,Input_APM!L:L,Check!O141)))</f>
        <v/>
      </c>
      <c r="Q141" s="22" t="str">
        <f>IF(O141="","",IF(LEN(O141)&gt;9,SUMIFS(Options!$H$3:$H$26,Options!$B$3:$B$26,Check!O141),SUMIFS('Master P&amp;L'!$H$11:$H$93,'Master P&amp;L'!$B$11:$B$93,Check!O141)))</f>
        <v/>
      </c>
      <c r="R141" s="217" t="str">
        <f t="shared" si="42"/>
        <v/>
      </c>
      <c r="S141" s="361" t="str">
        <f t="shared" si="37"/>
        <v/>
      </c>
      <c r="T141" t="s">
        <v>1770</v>
      </c>
    </row>
    <row r="142" spans="3:20">
      <c r="C142" s="233" t="str">
        <f>IF(B142="","",IF(LEN(B142)&gt;9,SUMIFS(Options!$H$3:$H$26,Options!$B$3:$B$26,Check!B142),SUMIFS('Master P&amp;L'!$H$11:$H$93,'Master P&amp;L'!$B$11:$B$93,Check!B142)))</f>
        <v/>
      </c>
      <c r="D142" s="233" t="str">
        <f>IF(B142="","",SUMIFS(Input_APM!N:N,Input_APM!L:L,Check!B142,Input_APM!M:M,Check!$F$1))</f>
        <v/>
      </c>
      <c r="E142" s="217" t="str">
        <f>IF(B142="","",C142-M142)</f>
        <v/>
      </c>
      <c r="F142" s="233" t="str">
        <f>IF(B142="","",SUMIFS(Input_APM!N:N,Input_APM!M:M,Check!$F$1,Input_APM!L:L,Check!B142))</f>
        <v/>
      </c>
      <c r="G142" s="233" t="str">
        <f>IF(B142="","",SUMIFS(Input_APM!N:N,Input_APM!M:M,Check!$G$1,Input_APM!L:L,Check!B142))</f>
        <v/>
      </c>
      <c r="H142" s="217" t="str">
        <f t="shared" si="39"/>
        <v/>
      </c>
      <c r="I142" s="217">
        <f>SUMIFS(Input_APM!N:N,Input_APM!L:L,Check!B142)</f>
        <v>0</v>
      </c>
      <c r="J142" s="219" t="str">
        <f t="shared" si="40"/>
        <v/>
      </c>
      <c r="K142" s="22" t="str">
        <f>IF(B142="","",SUMIFS('Input_APM (Zenith)'!N:N,'Input_APM (Zenith)'!L:L,Check!B142,'Input_APM (Zenith)'!M:M,Check!$F$1))</f>
        <v/>
      </c>
      <c r="L142" s="22" t="str">
        <f>IF(B142="","",SUMIFS('Input_APM (Zenith)'!N:N,'Input_APM (Zenith)'!L:L,Check!B142,'Input_APM (Zenith)'!M:M,Check!$G$1))</f>
        <v/>
      </c>
      <c r="M142" s="217" t="str">
        <f t="shared" si="41"/>
        <v/>
      </c>
      <c r="O142"/>
      <c r="P142" s="327" t="str">
        <f>IF(O142="","",IF(OR(LEFT(O142,4)="Cash",LEFT(O142,4)="Prov"),0,SUMIFS(Input_APM!N:N,Input_APM!L:L,Check!O142)))</f>
        <v/>
      </c>
      <c r="Q142" s="163" t="str">
        <f>IF(O142="","",IF(LEN(O142)&gt;9,SUMIFS(Options!$H$3:$H$26,Options!$B$3:$B$26,Check!O142),SUMIFS('Master P&amp;L'!$H$11:$H$93,'Master P&amp;L'!$B$11:$B$93,Check!O142)))</f>
        <v/>
      </c>
      <c r="R142" s="327" t="str">
        <f t="shared" si="42"/>
        <v/>
      </c>
      <c r="S142" s="361" t="str">
        <f t="shared" si="37"/>
        <v/>
      </c>
      <c r="T142" s="59" t="s">
        <v>1770</v>
      </c>
    </row>
    <row r="143" spans="3:20">
      <c r="C143" s="233" t="str">
        <f>IF(B143="","",IF(LEN(B143)&gt;9,SUMIFS(Options!$H$3:$H$26,Options!$B$3:$B$26,Check!B143),SUMIFS('Master P&amp;L'!$H$11:$H$93,'Master P&amp;L'!$B$11:$B$93,Check!B143)))</f>
        <v/>
      </c>
      <c r="D143" s="233" t="str">
        <f>IF(B143="","",SUMIFS(Input_APM!N:N,Input_APM!L:L,Check!B143,Input_APM!M:M,Check!$F$1))</f>
        <v/>
      </c>
      <c r="E143" s="217" t="str">
        <f t="shared" si="38"/>
        <v/>
      </c>
      <c r="F143" s="233" t="str">
        <f>IF(B143="","",SUMIFS(Input_APM!N:N,Input_APM!M:M,Check!$F$1,Input_APM!L:L,Check!B143))</f>
        <v/>
      </c>
      <c r="G143" s="233" t="str">
        <f>IF(B143="","",SUMIFS(Input_APM!N:N,Input_APM!M:M,Check!$G$1,Input_APM!L:L,Check!B143))</f>
        <v/>
      </c>
      <c r="H143" s="217" t="str">
        <f t="shared" si="39"/>
        <v/>
      </c>
      <c r="I143" s="217">
        <f>SUMIFS(Input_APM!N:N,Input_APM!L:L,Check!B143)</f>
        <v>0</v>
      </c>
      <c r="J143" s="219" t="str">
        <f t="shared" si="40"/>
        <v/>
      </c>
      <c r="K143" s="22" t="str">
        <f>IF(B143="","",SUMIFS('Input_APM (Zenith)'!N:N,'Input_APM (Zenith)'!L:L,Check!B143,'Input_APM (Zenith)'!M:M,Check!$F$1))</f>
        <v/>
      </c>
      <c r="L143" s="22" t="str">
        <f>IF(B143="","",SUMIFS('Input_APM (Zenith)'!N:N,'Input_APM (Zenith)'!L:L,Check!B143,'Input_APM (Zenith)'!M:M,Check!$G$1))</f>
        <v/>
      </c>
      <c r="M143" s="217" t="str">
        <f t="shared" si="41"/>
        <v/>
      </c>
      <c r="O143"/>
      <c r="P143" s="217" t="str">
        <f>IF(O143="","",IF(OR(LEFT(O143,4)="Cash",LEFT(O143,4)="Prov"),0,SUMIFS(Input_APM!N:N,Input_APM!L:L,Check!O143)))</f>
        <v/>
      </c>
      <c r="Q143" s="22" t="str">
        <f>IF(O143="","",IF(LEN(O143)&gt;9,SUMIFS(Options!$H$3:$H$26,Options!$B$3:$B$26,Check!O143),SUMIFS('Master P&amp;L'!$H$11:$H$93,'Master P&amp;L'!$B$11:$B$93,Check!O143)))</f>
        <v/>
      </c>
      <c r="R143" s="217" t="str">
        <f t="shared" ref="R143:R150" si="43">IF(O143="","",P143-Q143)</f>
        <v/>
      </c>
      <c r="S143" s="361" t="str">
        <f t="shared" si="37"/>
        <v/>
      </c>
    </row>
    <row r="144" spans="3:20">
      <c r="C144" s="233" t="str">
        <f>IF(B144="","",IF(LEN(B144)&gt;9,SUMIFS(Options!$H$3:$H$26,Options!$B$3:$B$26,Check!B144),SUMIFS('Master P&amp;L'!$H$11:$H$93,'Master P&amp;L'!$B$11:$B$93,Check!B144)))</f>
        <v/>
      </c>
      <c r="D144" s="233" t="str">
        <f>IF(B144="","",SUMIFS(Input_APM!N:N,Input_APM!L:L,Check!B144,Input_APM!M:M,Check!$F$1))</f>
        <v/>
      </c>
      <c r="E144" s="217" t="str">
        <f t="shared" si="38"/>
        <v/>
      </c>
      <c r="F144" s="233" t="str">
        <f>IF(B144="","",SUMIFS(Input_APM!N:N,Input_APM!M:M,Check!$F$1,Input_APM!L:L,Check!B144))</f>
        <v/>
      </c>
      <c r="G144" s="233" t="str">
        <f>IF(B144="","",SUMIFS(Input_APM!N:N,Input_APM!M:M,Check!$G$1,Input_APM!L:L,Check!B144))</f>
        <v/>
      </c>
      <c r="H144" s="217" t="str">
        <f t="shared" si="39"/>
        <v/>
      </c>
      <c r="I144" s="217">
        <f>SUMIFS(Input_APM!N:N,Input_APM!L:L,Check!B144)</f>
        <v>0</v>
      </c>
      <c r="J144" s="219" t="str">
        <f t="shared" si="40"/>
        <v/>
      </c>
      <c r="K144" s="22" t="str">
        <f>IF(B144="","",SUMIFS('Input_APM (Zenith)'!N:N,'Input_APM (Zenith)'!L:L,Check!B144,'Input_APM (Zenith)'!M:M,Check!$F$1))</f>
        <v/>
      </c>
      <c r="L144" s="22" t="str">
        <f>IF(B144="","",SUMIFS('Input_APM (Zenith)'!N:N,'Input_APM (Zenith)'!L:L,Check!B144,'Input_APM (Zenith)'!M:M,Check!$G$1))</f>
        <v/>
      </c>
      <c r="M144" s="217" t="str">
        <f t="shared" si="41"/>
        <v/>
      </c>
      <c r="O144"/>
      <c r="P144" s="217" t="str">
        <f>IF(O144="","",IF(OR(LEFT(O144,4)="Cash",LEFT(O144,4)="Prov"),0,SUMIFS(Input_APM!N:N,Input_APM!L:L,Check!O144)))</f>
        <v/>
      </c>
      <c r="Q144" s="22" t="str">
        <f>IF(O144="","",IF(LEN(O144)&gt;9,SUMIFS(Options!$H$3:$H$26,Options!$B$3:$B$26,Check!O144),SUMIFS('Master P&amp;L'!$H$11:$H$93,'Master P&amp;L'!$B$11:$B$93,Check!O144)))</f>
        <v/>
      </c>
      <c r="R144" s="217" t="str">
        <f t="shared" si="43"/>
        <v/>
      </c>
      <c r="S144" s="361" t="str">
        <f t="shared" si="37"/>
        <v/>
      </c>
    </row>
    <row r="145" spans="3:20">
      <c r="C145" s="233" t="str">
        <f>IF(B145="","",IF(LEN(B145)&gt;9,SUMIFS(Options!$H$3:$H$26,Options!$B$3:$B$26,Check!B145),SUMIFS('Master P&amp;L'!$H$11:$H$93,'Master P&amp;L'!$B$11:$B$93,Check!B145)))</f>
        <v/>
      </c>
      <c r="D145" s="233" t="str">
        <f>IF(B145="","",SUMIFS(Input_APM!N:N,Input_APM!L:L,Check!B145,Input_APM!M:M,Check!$F$1))</f>
        <v/>
      </c>
      <c r="E145" s="217" t="str">
        <f t="shared" si="38"/>
        <v/>
      </c>
      <c r="F145" s="233" t="str">
        <f>IF(B145="","",SUMIFS(Input_APM!N:N,Input_APM!M:M,Check!$F$1,Input_APM!L:L,Check!B145))</f>
        <v/>
      </c>
      <c r="G145" s="233" t="str">
        <f>IF(B145="","",SUMIFS(Input_APM!N:N,Input_APM!M:M,Check!$G$1,Input_APM!L:L,Check!B145))</f>
        <v/>
      </c>
      <c r="H145" s="217" t="str">
        <f t="shared" si="39"/>
        <v/>
      </c>
      <c r="I145" s="217">
        <f>SUMIFS(Input_APM!N:N,Input_APM!L:L,Check!B145)</f>
        <v>0</v>
      </c>
      <c r="J145" s="219" t="str">
        <f t="shared" si="40"/>
        <v/>
      </c>
      <c r="K145" s="22" t="str">
        <f>IF(B145="","",SUMIFS('Input_APM (Zenith)'!N:N,'Input_APM (Zenith)'!L:L,Check!B145,'Input_APM (Zenith)'!M:M,Check!$F$1))</f>
        <v/>
      </c>
      <c r="L145" s="22" t="str">
        <f>IF(B145="","",SUMIFS('Input_APM (Zenith)'!N:N,'Input_APM (Zenith)'!L:L,Check!B145,'Input_APM (Zenith)'!M:M,Check!$G$1))</f>
        <v/>
      </c>
      <c r="M145" s="217" t="str">
        <f t="shared" si="41"/>
        <v/>
      </c>
      <c r="O145"/>
      <c r="P145" s="327" t="str">
        <f>IF(O145="","",IF(OR(LEFT(O145,4)="Cash",LEFT(O145,4)="Prov"),0,SUMIFS(Input_APM!N:N,Input_APM!L:L,Check!O145)))</f>
        <v/>
      </c>
      <c r="Q145" s="163" t="str">
        <f>IF(O145="","",IF(LEN(O145)&gt;9,SUMIFS(Options!$H$3:$H$26,Options!$B$3:$B$26,Check!O145),SUMIFS('Master P&amp;L'!$H$11:$H$93,'Master P&amp;L'!$B$11:$B$93,Check!O145)))</f>
        <v/>
      </c>
      <c r="R145" s="327" t="str">
        <f t="shared" si="43"/>
        <v/>
      </c>
      <c r="S145" s="361" t="str">
        <f t="shared" si="37"/>
        <v/>
      </c>
      <c r="T145" s="59" t="s">
        <v>1770</v>
      </c>
    </row>
    <row r="146" spans="3:20">
      <c r="C146" s="233" t="str">
        <f>IF(B146="","",IF(LEN(B146)&gt;9,SUMIFS(Options!$H$3:$H$26,Options!$B$3:$B$26,Check!B146),SUMIFS('Master P&amp;L'!$H$11:$H$93,'Master P&amp;L'!$B$11:$B$93,Check!B146)))</f>
        <v/>
      </c>
      <c r="D146" s="233" t="str">
        <f>IF(B146="","",SUMIFS(Input_APM!N:N,Input_APM!L:L,Check!B146,Input_APM!M:M,Check!$F$1))</f>
        <v/>
      </c>
      <c r="E146" s="217" t="str">
        <f t="shared" si="38"/>
        <v/>
      </c>
      <c r="F146" s="233" t="str">
        <f>IF(B146="","",SUMIFS(Input_APM!N:N,Input_APM!M:M,Check!$F$1,Input_APM!L:L,Check!B146))</f>
        <v/>
      </c>
      <c r="G146" s="233" t="str">
        <f>IF(B146="","",SUMIFS(Input_APM!N:N,Input_APM!M:M,Check!$G$1,Input_APM!L:L,Check!B146))</f>
        <v/>
      </c>
      <c r="H146" s="217" t="str">
        <f t="shared" si="39"/>
        <v/>
      </c>
      <c r="I146" s="217">
        <f>SUMIFS(Input_APM!N:N,Input_APM!L:L,Check!B146)</f>
        <v>0</v>
      </c>
      <c r="J146" s="219" t="str">
        <f t="shared" si="40"/>
        <v/>
      </c>
      <c r="K146" s="22" t="str">
        <f>IF(B146="","",SUMIFS('Input_APM (Zenith)'!N:N,'Input_APM (Zenith)'!L:L,Check!B146,'Input_APM (Zenith)'!M:M,Check!$F$1))</f>
        <v/>
      </c>
      <c r="L146" s="22" t="str">
        <f>IF(B146="","",SUMIFS('Input_APM (Zenith)'!N:N,'Input_APM (Zenith)'!L:L,Check!B146,'Input_APM (Zenith)'!M:M,Check!$G$1))</f>
        <v/>
      </c>
      <c r="M146" s="217" t="str">
        <f t="shared" si="41"/>
        <v/>
      </c>
      <c r="O146"/>
      <c r="P146" s="327" t="str">
        <f>IF(O146="","",IF(OR(LEFT(O146,4)="Cash",LEFT(O146,4)="Prov"),0,SUMIFS(Input_APM!N:N,Input_APM!L:L,Check!O146)))</f>
        <v/>
      </c>
      <c r="Q146" s="163" t="str">
        <f>IF(O146="","",IF(LEN(O146)&gt;9,SUMIFS(Options!$H$3:$H$26,Options!$B$3:$B$26,Check!O146),SUMIFS('Master P&amp;L'!$H$11:$H$93,'Master P&amp;L'!$B$11:$B$93,Check!O146)))</f>
        <v/>
      </c>
      <c r="R146" s="327" t="str">
        <f t="shared" si="43"/>
        <v/>
      </c>
      <c r="S146" s="361" t="str">
        <f t="shared" si="37"/>
        <v/>
      </c>
      <c r="T146" s="59" t="s">
        <v>1770</v>
      </c>
    </row>
    <row r="147" spans="3:20">
      <c r="C147" s="233" t="str">
        <f>IF(B147="","",IF(LEN(B147)&gt;9,SUMIFS(Options!$H$3:$H$26,Options!$B$3:$B$26,Check!B147),SUMIFS('Master P&amp;L'!$H$11:$H$93,'Master P&amp;L'!$B$11:$B$93,Check!B147)))</f>
        <v/>
      </c>
      <c r="D147" s="233" t="str">
        <f>IF(B147="","",SUMIFS(Input_APM!N:N,Input_APM!L:L,Check!B147,Input_APM!M:M,Check!$F$1))</f>
        <v/>
      </c>
      <c r="E147" s="217" t="str">
        <f t="shared" si="38"/>
        <v/>
      </c>
      <c r="F147" s="233" t="str">
        <f>IF(B147="","",SUMIFS(Input_APM!N:N,Input_APM!M:M,Check!$F$1,Input_APM!L:L,Check!B147))</f>
        <v/>
      </c>
      <c r="G147" s="233" t="str">
        <f>IF(B147="","",SUMIFS(Input_APM!N:N,Input_APM!M:M,Check!$G$1,Input_APM!L:L,Check!B147))</f>
        <v/>
      </c>
      <c r="H147" s="217" t="str">
        <f t="shared" si="39"/>
        <v/>
      </c>
      <c r="I147" s="217">
        <f>SUMIFS(Input_APM!N:N,Input_APM!L:L,Check!B147)</f>
        <v>0</v>
      </c>
      <c r="J147" s="219" t="str">
        <f t="shared" si="40"/>
        <v/>
      </c>
      <c r="K147" s="22" t="str">
        <f>IF(B147="","",SUMIFS('Input_APM (Zenith)'!N:N,'Input_APM (Zenith)'!L:L,Check!B147,'Input_APM (Zenith)'!M:M,Check!$F$1))</f>
        <v/>
      </c>
      <c r="L147" s="22" t="str">
        <f>IF(B147="","",SUMIFS('Input_APM (Zenith)'!N:N,'Input_APM (Zenith)'!L:L,Check!B147,'Input_APM (Zenith)'!M:M,Check!$G$1))</f>
        <v/>
      </c>
      <c r="M147" s="217" t="str">
        <f t="shared" si="41"/>
        <v/>
      </c>
      <c r="O147"/>
      <c r="P147" s="217" t="str">
        <f>IF(O147="","",IF(OR(LEFT(O147,4)="Cash",LEFT(O147,4)="Prov"),0,SUMIFS(Input_APM!N:N,Input_APM!L:L,Check!O147)))</f>
        <v/>
      </c>
      <c r="Q147" s="22" t="str">
        <f>IF(O147="","",IF(LEN(O147)&gt;9,SUMIFS(Options!$H$3:$H$26,Options!$B$3:$B$26,Check!O147),SUMIFS('Master P&amp;L'!$H$11:$H$93,'Master P&amp;L'!$B$11:$B$93,Check!O147)))</f>
        <v/>
      </c>
      <c r="R147" s="217" t="str">
        <f t="shared" si="43"/>
        <v/>
      </c>
      <c r="S147" s="361" t="str">
        <f t="shared" si="37"/>
        <v/>
      </c>
    </row>
    <row r="148" spans="3:20">
      <c r="C148" s="233" t="str">
        <f>IF(B148="","",IF(LEN(B148)&gt;9,SUMIFS(Options!$H$3:$H$26,Options!$B$3:$B$26,Check!B148),SUMIFS('Master P&amp;L'!$H$11:$H$93,'Master P&amp;L'!$B$11:$B$93,Check!B148)))</f>
        <v/>
      </c>
      <c r="D148" s="233" t="str">
        <f>IF(B148="","",SUMIFS(Input_APM!N:N,Input_APM!L:L,Check!B148,Input_APM!M:M,Check!$F$1))</f>
        <v/>
      </c>
      <c r="E148" s="217" t="str">
        <f t="shared" si="38"/>
        <v/>
      </c>
      <c r="F148" s="233" t="str">
        <f>IF(B148="","",SUMIFS(Input_APM!N:N,Input_APM!M:M,Check!$F$1,Input_APM!L:L,Check!B148))</f>
        <v/>
      </c>
      <c r="G148" s="233" t="str">
        <f>IF(B148="","",SUMIFS(Input_APM!N:N,Input_APM!M:M,Check!$G$1,Input_APM!L:L,Check!B148))</f>
        <v/>
      </c>
      <c r="H148" s="217" t="str">
        <f t="shared" si="39"/>
        <v/>
      </c>
      <c r="I148" s="217">
        <f>SUMIFS(Input_APM!N:N,Input_APM!L:L,Check!B148)</f>
        <v>0</v>
      </c>
      <c r="J148" s="219" t="str">
        <f t="shared" si="40"/>
        <v/>
      </c>
      <c r="K148" s="22" t="str">
        <f>IF(B148="","",SUMIFS('Input_APM (Zenith)'!N:N,'Input_APM (Zenith)'!L:L,Check!B148,'Input_APM (Zenith)'!M:M,Check!$F$1))</f>
        <v/>
      </c>
      <c r="L148" s="22" t="str">
        <f>IF(B148="","",SUMIFS('Input_APM (Zenith)'!N:N,'Input_APM (Zenith)'!L:L,Check!B148,'Input_APM (Zenith)'!M:M,Check!$G$1))</f>
        <v/>
      </c>
      <c r="M148" s="217" t="str">
        <f t="shared" si="41"/>
        <v/>
      </c>
      <c r="O148"/>
      <c r="P148" s="217" t="str">
        <f>IF(O148="","",IF(OR(LEFT(O148,4)="Cash",LEFT(O148,4)="Prov"),0,SUMIFS(Input_APM!N:N,Input_APM!L:L,Check!O148)))</f>
        <v/>
      </c>
      <c r="Q148" s="22" t="str">
        <f>IF(O148="","",IF(LEN(O148)&gt;9,SUMIFS(Options!$H$3:$H$26,Options!$B$3:$B$26,Check!O148),SUMIFS('Master P&amp;L'!$H$11:$H$93,'Master P&amp;L'!$B$11:$B$93,Check!O148)))</f>
        <v/>
      </c>
      <c r="R148" s="217" t="str">
        <f t="shared" si="43"/>
        <v/>
      </c>
      <c r="S148" s="361" t="str">
        <f t="shared" si="37"/>
        <v/>
      </c>
    </row>
    <row r="149" spans="3:20">
      <c r="C149" s="233" t="str">
        <f>IF(B149="","",IF(LEN(B149)&gt;9,SUMIFS(Options!$H$3:$H$26,Options!$B$3:$B$26,Check!B149),SUMIFS('Master P&amp;L'!$H$11:$H$93,'Master P&amp;L'!$B$11:$B$93,Check!B149)))</f>
        <v/>
      </c>
      <c r="D149" s="233" t="str">
        <f>IF(B149="","",SUMIFS(Input_APM!N:N,Input_APM!L:L,Check!B149,Input_APM!M:M,Check!$F$1))</f>
        <v/>
      </c>
      <c r="E149" s="217" t="str">
        <f t="shared" si="38"/>
        <v/>
      </c>
      <c r="F149" s="233" t="str">
        <f>IF(B149="","",SUMIFS(Input_APM!N:N,Input_APM!M:M,Check!$F$1,Input_APM!L:L,Check!B149))</f>
        <v/>
      </c>
      <c r="G149" s="233" t="str">
        <f>IF(B149="","",SUMIFS(Input_APM!N:N,Input_APM!M:M,Check!$G$1,Input_APM!L:L,Check!B149))</f>
        <v/>
      </c>
      <c r="H149" s="217" t="str">
        <f t="shared" si="39"/>
        <v/>
      </c>
      <c r="I149" s="217">
        <f>SUMIFS(Input_APM!N:N,Input_APM!L:L,Check!B149)</f>
        <v>0</v>
      </c>
      <c r="J149" s="219" t="str">
        <f t="shared" si="40"/>
        <v/>
      </c>
      <c r="K149" s="22" t="str">
        <f>IF(B149="","",SUMIFS('Input_APM (Zenith)'!N:N,'Input_APM (Zenith)'!L:L,Check!B149,'Input_APM (Zenith)'!M:M,Check!$F$1))</f>
        <v/>
      </c>
      <c r="L149" s="22" t="str">
        <f>IF(B149="","",SUMIFS('Input_APM (Zenith)'!N:N,'Input_APM (Zenith)'!L:L,Check!B149,'Input_APM (Zenith)'!M:M,Check!$G$1))</f>
        <v/>
      </c>
      <c r="M149" s="217" t="str">
        <f t="shared" si="41"/>
        <v/>
      </c>
      <c r="O149"/>
      <c r="P149" s="217" t="str">
        <f>IF(O149="","",IF(OR(LEFT(O149,4)="Cash",LEFT(O149,4)="Prov"),0,SUMIFS(Input_APM!N:N,Input_APM!L:L,Check!O149)))</f>
        <v/>
      </c>
      <c r="Q149" s="22" t="str">
        <f>IF(O149="","",IF(LEN(O149)&gt;9,SUMIFS(Options!$H$3:$H$26,Options!$B$3:$B$26,Check!O149),SUMIFS('Master P&amp;L'!$H$11:$H$93,'Master P&amp;L'!$B$11:$B$93,Check!O149)))</f>
        <v/>
      </c>
      <c r="R149" s="217" t="str">
        <f t="shared" si="43"/>
        <v/>
      </c>
      <c r="S149" s="361" t="str">
        <f t="shared" si="37"/>
        <v/>
      </c>
    </row>
    <row r="150" spans="3:20">
      <c r="C150" s="233" t="str">
        <f>IF(B150="","",IF(LEN(B150)&gt;9,SUMIFS(Options!$H$3:$H$26,Options!$B$3:$B$26,Check!B150),SUMIFS('Master P&amp;L'!$H$11:$H$93,'Master P&amp;L'!$B$11:$B$93,Check!B150)))</f>
        <v/>
      </c>
      <c r="D150" s="233" t="str">
        <f>IF(B150="","",SUMIFS(Input_APM!N:N,Input_APM!L:L,Check!B150,Input_APM!M:M,Check!$F$1))</f>
        <v/>
      </c>
      <c r="E150" s="217" t="str">
        <f t="shared" si="38"/>
        <v/>
      </c>
      <c r="F150" s="233" t="str">
        <f>IF(B150="","",SUMIFS(Input_APM!N:N,Input_APM!M:M,Check!$F$1,Input_APM!L:L,Check!B150))</f>
        <v/>
      </c>
      <c r="G150" s="233" t="str">
        <f>IF(B150="","",SUMIFS(Input_APM!N:N,Input_APM!M:M,Check!$G$1,Input_APM!L:L,Check!B150))</f>
        <v/>
      </c>
      <c r="H150" s="217" t="str">
        <f t="shared" si="39"/>
        <v/>
      </c>
      <c r="I150" s="217">
        <f>SUMIFS(Input_APM!N:N,Input_APM!L:L,Check!B150)</f>
        <v>0</v>
      </c>
      <c r="J150" s="219" t="str">
        <f t="shared" si="40"/>
        <v/>
      </c>
      <c r="K150" s="22" t="str">
        <f>IF(B150="","",SUMIFS('Input_APM (Zenith)'!N:N,'Input_APM (Zenith)'!L:L,Check!B150,'Input_APM (Zenith)'!M:M,Check!$F$1))</f>
        <v/>
      </c>
      <c r="L150" s="22" t="str">
        <f>IF(B150="","",SUMIFS('Input_APM (Zenith)'!N:N,'Input_APM (Zenith)'!L:L,Check!B150,'Input_APM (Zenith)'!M:M,Check!$G$1))</f>
        <v/>
      </c>
      <c r="M150" s="217" t="str">
        <f t="shared" si="41"/>
        <v/>
      </c>
      <c r="O150"/>
      <c r="P150" s="217" t="str">
        <f>IF(O150="","",IF(OR(LEFT(O150,4)="Cash",LEFT(O150,4)="Prov"),0,SUMIFS(Input_APM!N:N,Input_APM!L:L,Check!O150)))</f>
        <v/>
      </c>
      <c r="Q150" s="22" t="str">
        <f>IF(O150="","",IF(LEN(O150)&gt;9,SUMIFS(Options!$H$3:$H$26,Options!$B$3:$B$26,Check!O150),SUMIFS('Master P&amp;L'!$H$11:$H$93,'Master P&amp;L'!$B$11:$B$93,Check!O150)))</f>
        <v/>
      </c>
      <c r="R150" s="217" t="str">
        <f t="shared" si="43"/>
        <v/>
      </c>
      <c r="S150" s="361" t="str">
        <f t="shared" si="37"/>
        <v/>
      </c>
    </row>
    <row r="151" spans="3:20">
      <c r="C151" s="233" t="str">
        <f>IF(B151="","",IF(LEN(B151)&gt;9,SUMIFS(Options!$H$3:$H$26,Options!$B$3:$B$26,Check!B151),SUMIFS('Master P&amp;L'!$H$11:$H$93,'Master P&amp;L'!$B$11:$B$93,Check!B151)))</f>
        <v/>
      </c>
      <c r="D151" s="233" t="str">
        <f>IF(B151="","",SUMIFS(Input_APM!N:N,Input_APM!L:L,Check!B151,Input_APM!M:M,Check!$F$1))</f>
        <v/>
      </c>
      <c r="E151" s="217" t="str">
        <f t="shared" ref="E151:E157" si="44">IF(B151="","",C151-M151)</f>
        <v/>
      </c>
      <c r="F151" s="233" t="str">
        <f>IF(B151="","",SUMIFS(Input_APM!N:N,Input_APM!M:M,Check!$F$1,Input_APM!L:L,Check!B151))</f>
        <v/>
      </c>
      <c r="G151" s="233" t="str">
        <f>IF(B151="","",SUMIFS(Input_APM!N:N,Input_APM!M:M,Check!$G$1,Input_APM!L:L,Check!B151))</f>
        <v/>
      </c>
      <c r="H151" s="217" t="str">
        <f t="shared" ref="H151:H158" si="45">IF(B151="","",F151-G151)</f>
        <v/>
      </c>
      <c r="I151" s="217">
        <f>SUMIFS(Input_APM!N:N,Input_APM!L:L,Check!B151)</f>
        <v>0</v>
      </c>
      <c r="J151" s="219" t="str">
        <f t="shared" ref="J151:J158" si="46">IF(B151="","",(F151+G151)-I151)</f>
        <v/>
      </c>
      <c r="K151" s="22" t="str">
        <f>IF(B151="","",SUMIFS('Input_APM (Zenith)'!N:N,'Input_APM (Zenith)'!L:L,Check!B151,'Input_APM (Zenith)'!M:M,Check!$F$1))</f>
        <v/>
      </c>
      <c r="L151" s="22" t="str">
        <f>IF(B151="","",SUMIFS('Input_APM (Zenith)'!N:N,'Input_APM (Zenith)'!L:L,Check!B151,'Input_APM (Zenith)'!M:M,Check!$G$1))</f>
        <v/>
      </c>
      <c r="M151" s="217" t="str">
        <f t="shared" ref="M151:M158" si="47">IF(B151="","",F151+G151+K151+L151)</f>
        <v/>
      </c>
      <c r="O151"/>
      <c r="P151" s="217" t="str">
        <f>IF(O151="","",IF(OR(LEFT(O151,4)="Cash",LEFT(O151,4)="Prov"),0,SUMIFS(Input_APM!N:N,Input_APM!L:L,Check!O151)))</f>
        <v/>
      </c>
      <c r="Q151" s="22" t="str">
        <f>IF(O151="","",IF(LEN(O151)&gt;9,SUMIFS(Options!$H$3:$H$26,Options!$B$3:$B$26,Check!O151),SUMIFS('Master P&amp;L'!$H$11:$H$93,'Master P&amp;L'!$B$11:$B$93,Check!O151)))</f>
        <v/>
      </c>
      <c r="R151" s="217" t="str">
        <f>IF(O151="","",P151-Q151)</f>
        <v/>
      </c>
      <c r="S151" s="361" t="str">
        <f t="shared" si="37"/>
        <v/>
      </c>
    </row>
    <row r="152" spans="3:20">
      <c r="C152" s="233" t="str">
        <f>IF(B152="","",IF(LEN(B152)&gt;9,SUMIFS(Options!$H$3:$H$26,Options!$B$3:$B$26,Check!B152),SUMIFS('Master P&amp;L'!$H$11:$H$93,'Master P&amp;L'!$B$11:$B$93,Check!B152)))</f>
        <v/>
      </c>
      <c r="D152" s="233" t="str">
        <f>IF(B152="","",SUMIFS(Input_APM!N:N,Input_APM!L:L,Check!B152,Input_APM!M:M,Check!$F$1))</f>
        <v/>
      </c>
      <c r="E152" s="217" t="str">
        <f t="shared" si="44"/>
        <v/>
      </c>
      <c r="F152" s="233" t="str">
        <f>IF(B152="","",SUMIFS(Input_APM!N:N,Input_APM!M:M,Check!$F$1,Input_APM!L:L,Check!B152))</f>
        <v/>
      </c>
      <c r="G152" s="233" t="str">
        <f>IF(B152="","",SUMIFS(Input_APM!N:N,Input_APM!M:M,Check!$G$1,Input_APM!L:L,Check!B152))</f>
        <v/>
      </c>
      <c r="H152" s="217" t="str">
        <f t="shared" si="45"/>
        <v/>
      </c>
      <c r="I152" s="217">
        <f>SUMIFS(Input_APM!N:N,Input_APM!L:L,Check!B152)</f>
        <v>0</v>
      </c>
      <c r="J152" s="219" t="str">
        <f t="shared" si="46"/>
        <v/>
      </c>
      <c r="K152" s="22" t="str">
        <f>IF(B152="","",SUMIFS('Input_APM (Zenith)'!N:N,'Input_APM (Zenith)'!L:L,Check!B152,'Input_APM (Zenith)'!M:M,Check!$F$1))</f>
        <v/>
      </c>
      <c r="L152" s="22" t="str">
        <f>IF(B152="","",SUMIFS('Input_APM (Zenith)'!N:N,'Input_APM (Zenith)'!L:L,Check!B152,'Input_APM (Zenith)'!M:M,Check!$G$1))</f>
        <v/>
      </c>
      <c r="M152" s="217" t="str">
        <f t="shared" si="47"/>
        <v/>
      </c>
      <c r="O152"/>
      <c r="P152" s="217" t="str">
        <f>IF(O152="","",IF(OR(LEFT(O152,4)="Cash",LEFT(O152,4)="Prov"),0,SUMIFS(Input_APM!N:N,Input_APM!L:L,Check!O152)))</f>
        <v/>
      </c>
      <c r="Q152" s="22" t="str">
        <f>IF(O152="","",IF(LEN(O152)&gt;9,SUMIFS(Options!$H$3:$H$26,Options!$B$3:$B$26,Check!O152),SUMIFS('Master P&amp;L'!$H$11:$H$93,'Master P&amp;L'!$B$11:$B$93,Check!O152)))</f>
        <v/>
      </c>
      <c r="R152" s="217" t="str">
        <f>IF(O152="","",P152-Q152)</f>
        <v/>
      </c>
      <c r="S152" s="361" t="str">
        <f t="shared" si="37"/>
        <v/>
      </c>
    </row>
    <row r="153" spans="3:20">
      <c r="C153" s="233" t="str">
        <f>IF(B153="","",IF(LEN(B153)&gt;9,SUMIFS(Options!$H$3:$H$26,Options!$B$3:$B$26,Check!B153),SUMIFS('Master P&amp;L'!$H$11:$H$93,'Master P&amp;L'!$B$11:$B$93,Check!B153)))</f>
        <v/>
      </c>
      <c r="D153" s="233" t="str">
        <f>IF(B153="","",SUMIFS(Input_APM!N:N,Input_APM!L:L,Check!B153,Input_APM!M:M,Check!$F$1))</f>
        <v/>
      </c>
      <c r="E153" s="217" t="str">
        <f t="shared" si="44"/>
        <v/>
      </c>
      <c r="F153" s="233" t="str">
        <f>IF(B153="","",SUMIFS(Input_APM!N:N,Input_APM!M:M,Check!$F$1,Input_APM!L:L,Check!B153))</f>
        <v/>
      </c>
      <c r="G153" s="233" t="str">
        <f>IF(B153="","",SUMIFS(Input_APM!N:N,Input_APM!M:M,Check!$G$1,Input_APM!L:L,Check!B153))</f>
        <v/>
      </c>
      <c r="H153" s="217" t="str">
        <f t="shared" si="45"/>
        <v/>
      </c>
      <c r="I153" s="217">
        <f>SUMIFS(Input_APM!N:N,Input_APM!L:L,Check!B153)</f>
        <v>0</v>
      </c>
      <c r="J153" s="219" t="str">
        <f t="shared" si="46"/>
        <v/>
      </c>
      <c r="K153" s="22" t="str">
        <f>IF(B153="","",SUMIFS('Input_APM (Zenith)'!N:N,'Input_APM (Zenith)'!L:L,Check!B153,'Input_APM (Zenith)'!M:M,Check!$F$1))</f>
        <v/>
      </c>
      <c r="L153" s="22" t="str">
        <f>IF(B153="","",SUMIFS('Input_APM (Zenith)'!N:N,'Input_APM (Zenith)'!L:L,Check!B153,'Input_APM (Zenith)'!M:M,Check!$G$1))</f>
        <v/>
      </c>
      <c r="M153" s="217" t="str">
        <f t="shared" si="47"/>
        <v/>
      </c>
      <c r="O153"/>
      <c r="P153" s="217" t="str">
        <f>IF(O153="","",IF(OR(LEFT(O153,4)="Cash",LEFT(O153,4)="Prov"),0,SUMIFS(Input_APM!N:N,Input_APM!L:L,Check!O153)))</f>
        <v/>
      </c>
      <c r="Q153" s="22" t="str">
        <f>IF(O153="","",IF(LEN(O153)&gt;9,SUMIFS(Options!$H$3:$H$26,Options!$B$3:$B$26,Check!O153),SUMIFS('Master P&amp;L'!$H$11:$H$93,'Master P&amp;L'!$B$11:$B$93,Check!O153)))</f>
        <v/>
      </c>
      <c r="R153" s="217" t="str">
        <f>IF(O153="","",P153-Q153)</f>
        <v/>
      </c>
      <c r="S153" s="361" t="str">
        <f t="shared" si="37"/>
        <v/>
      </c>
    </row>
    <row r="154" spans="3:20">
      <c r="C154" s="233" t="str">
        <f>IF(B154="","",IF(LEN(B154)&gt;9,SUMIFS(Options!$H$3:$H$26,Options!$B$3:$B$26,Check!B154),SUMIFS('Master P&amp;L'!$H$11:$H$93,'Master P&amp;L'!$B$11:$B$93,Check!B154)))</f>
        <v/>
      </c>
      <c r="D154" s="233" t="str">
        <f>IF(B154="","",SUMIFS(Input_APM!N:N,Input_APM!L:L,Check!B154,Input_APM!M:M,Check!$F$1))</f>
        <v/>
      </c>
      <c r="E154" s="217" t="str">
        <f t="shared" si="44"/>
        <v/>
      </c>
      <c r="F154" s="233" t="str">
        <f>IF(B154="","",SUMIFS(Input_APM!N:N,Input_APM!M:M,Check!$F$1,Input_APM!L:L,Check!B154))</f>
        <v/>
      </c>
      <c r="G154" s="233" t="str">
        <f>IF(B154="","",SUMIFS(Input_APM!N:N,Input_APM!M:M,Check!$G$1,Input_APM!L:L,Check!B154))</f>
        <v/>
      </c>
      <c r="H154" s="217" t="str">
        <f t="shared" si="45"/>
        <v/>
      </c>
      <c r="I154" s="217">
        <f>SUMIFS(Input_APM!N:N,Input_APM!L:L,Check!B154)</f>
        <v>0</v>
      </c>
      <c r="J154" s="219" t="str">
        <f t="shared" si="46"/>
        <v/>
      </c>
      <c r="K154" s="22" t="str">
        <f>IF(B154="","",SUMIFS('Input_APM (Zenith)'!N:N,'Input_APM (Zenith)'!L:L,Check!B154,'Input_APM (Zenith)'!M:M,Check!$F$1))</f>
        <v/>
      </c>
      <c r="L154" s="22" t="str">
        <f>IF(B154="","",SUMIFS('Input_APM (Zenith)'!N:N,'Input_APM (Zenith)'!L:L,Check!B154,'Input_APM (Zenith)'!M:M,Check!$G$1))</f>
        <v/>
      </c>
      <c r="M154" s="217" t="str">
        <f t="shared" si="47"/>
        <v/>
      </c>
      <c r="O154"/>
      <c r="P154" s="217" t="str">
        <f>IF(O154="","",IF(OR(LEFT(O154,4)="Cash",LEFT(O154,4)="Prov"),0,SUMIFS(Input_APM!N:N,Input_APM!L:L,Check!O154)))</f>
        <v/>
      </c>
      <c r="Q154" s="22" t="str">
        <f>IF(O154="","",IF(LEN(O154)&gt;9,SUMIFS(Options!$H$3:$H$26,Options!$B$3:$B$26,Check!O154),SUMIFS('Master P&amp;L'!$H$11:$H$93,'Master P&amp;L'!$B$11:$B$93,Check!O154)))</f>
        <v/>
      </c>
      <c r="R154" s="217" t="str">
        <f>IF(O154="","",P154-Q154)</f>
        <v/>
      </c>
      <c r="S154" s="361" t="str">
        <f t="shared" si="37"/>
        <v/>
      </c>
    </row>
    <row r="155" spans="3:20">
      <c r="C155" s="233" t="str">
        <f>IF(B155="","",IF(LEN(B155)&gt;9,SUMIFS(Options!$H$3:$H$26,Options!$B$3:$B$26,Check!B155),SUMIFS('Master P&amp;L'!$H$11:$H$93,'Master P&amp;L'!$B$11:$B$93,Check!B155)))</f>
        <v/>
      </c>
      <c r="D155" s="233" t="str">
        <f>IF(B155="","",SUMIFS(Input_APM!N:N,Input_APM!L:L,Check!B155,Input_APM!M:M,Check!$F$1))</f>
        <v/>
      </c>
      <c r="E155" s="217" t="str">
        <f t="shared" si="44"/>
        <v/>
      </c>
      <c r="F155" s="233" t="str">
        <f>IF(B155="","",SUMIFS(Input_APM!N:N,Input_APM!M:M,Check!$F$1,Input_APM!L:L,Check!B155))</f>
        <v/>
      </c>
      <c r="G155" s="233" t="str">
        <f>IF(B155="","",SUMIFS(Input_APM!N:N,Input_APM!M:M,Check!$G$1,Input_APM!L:L,Check!B155))</f>
        <v/>
      </c>
      <c r="H155" s="217" t="str">
        <f t="shared" si="45"/>
        <v/>
      </c>
      <c r="I155" s="217">
        <f>SUMIFS(Input_APM!N:N,Input_APM!L:L,Check!B155)</f>
        <v>0</v>
      </c>
      <c r="J155" s="219" t="str">
        <f t="shared" si="46"/>
        <v/>
      </c>
      <c r="K155" s="22" t="str">
        <f>IF(B155="","",SUMIFS('Input_APM (Zenith)'!N:N,'Input_APM (Zenith)'!L:L,Check!B155,'Input_APM (Zenith)'!M:M,Check!$F$1))</f>
        <v/>
      </c>
      <c r="L155" s="22" t="str">
        <f>IF(B155="","",SUMIFS('Input_APM (Zenith)'!N:N,'Input_APM (Zenith)'!L:L,Check!B155,'Input_APM (Zenith)'!M:M,Check!$G$1))</f>
        <v/>
      </c>
      <c r="M155" s="217" t="str">
        <f t="shared" si="47"/>
        <v/>
      </c>
      <c r="O155"/>
      <c r="P155" s="217" t="str">
        <f>IF(O155="","",IF(OR(LEFT(O155,4)="Cash",LEFT(O155,4)="Prov"),0,SUMIFS(Input_APM!N:N,Input_APM!L:L,Check!O155)))</f>
        <v/>
      </c>
      <c r="Q155" s="22" t="str">
        <f>IF(O155="","",IF(LEN(O155)&gt;9,SUMIFS(Options!$H$3:$H$26,Options!$B$3:$B$26,Check!O155),SUMIFS('Master P&amp;L'!$H$11:$H$93,'Master P&amp;L'!$B$11:$B$93,Check!O155)))</f>
        <v/>
      </c>
      <c r="R155" s="217" t="str">
        <f t="shared" ref="R155:R166" si="48">IF(O155="","",P155-Q155)</f>
        <v/>
      </c>
      <c r="S155" s="361" t="str">
        <f t="shared" si="37"/>
        <v/>
      </c>
    </row>
    <row r="156" spans="3:20">
      <c r="C156" s="233" t="str">
        <f>IF(B156="","",IF(LEN(B156)&gt;9,SUMIFS(Options!$H$3:$H$26,Options!$B$3:$B$26,Check!B156),SUMIFS('Master P&amp;L'!$H$11:$H$93,'Master P&amp;L'!$B$11:$B$93,Check!B156)))</f>
        <v/>
      </c>
      <c r="D156" s="233" t="str">
        <f>IF(B156="","",SUMIFS(Input_APM!N:N,Input_APM!L:L,Check!B156,Input_APM!M:M,Check!$F$1))</f>
        <v/>
      </c>
      <c r="E156" s="217" t="str">
        <f t="shared" si="44"/>
        <v/>
      </c>
      <c r="F156" s="233" t="str">
        <f>IF(B156="","",SUMIFS(Input_APM!N:N,Input_APM!M:M,Check!$F$1,Input_APM!L:L,Check!B156))</f>
        <v/>
      </c>
      <c r="G156" s="233" t="str">
        <f>IF(B156="","",SUMIFS(Input_APM!N:N,Input_APM!M:M,Check!$G$1,Input_APM!L:L,Check!B156))</f>
        <v/>
      </c>
      <c r="H156" s="217" t="str">
        <f t="shared" si="45"/>
        <v/>
      </c>
      <c r="I156" s="217">
        <f>SUMIFS(Input_APM!N:N,Input_APM!L:L,Check!B156)</f>
        <v>0</v>
      </c>
      <c r="J156" s="219" t="str">
        <f t="shared" si="46"/>
        <v/>
      </c>
      <c r="K156" s="22" t="str">
        <f>IF(B156="","",SUMIFS('Input_APM (Zenith)'!N:N,'Input_APM (Zenith)'!L:L,Check!B156,'Input_APM (Zenith)'!M:M,Check!$F$1))</f>
        <v/>
      </c>
      <c r="L156" s="22" t="str">
        <f>IF(B156="","",SUMIFS('Input_APM (Zenith)'!N:N,'Input_APM (Zenith)'!L:L,Check!B156,'Input_APM (Zenith)'!M:M,Check!$G$1))</f>
        <v/>
      </c>
      <c r="M156" s="217" t="str">
        <f t="shared" si="47"/>
        <v/>
      </c>
      <c r="O156"/>
      <c r="P156" s="217" t="str">
        <f>IF(O156="","",IF(OR(LEFT(O156,4)="Cash",LEFT(O156,4)="Prov"),0,SUMIFS(Input_APM!N:N,Input_APM!L:L,Check!O156)))</f>
        <v/>
      </c>
      <c r="Q156" s="22" t="str">
        <f>IF(O156="","",IF(LEN(O156)&gt;9,SUMIFS(Options!$H$3:$H$26,Options!$B$3:$B$26,Check!O156),SUMIFS('Master P&amp;L'!$H$11:$H$93,'Master P&amp;L'!$B$11:$B$93,Check!O156)))</f>
        <v/>
      </c>
      <c r="R156" s="217" t="str">
        <f t="shared" si="48"/>
        <v/>
      </c>
      <c r="S156" s="361" t="str">
        <f t="shared" si="37"/>
        <v/>
      </c>
    </row>
    <row r="157" spans="3:20">
      <c r="C157" s="233" t="str">
        <f>IF(B157="","",IF(LEN(B157)&gt;9,SUMIFS(Options!$H$3:$H$26,Options!$B$3:$B$26,Check!B157),SUMIFS('Master P&amp;L'!$H$11:$H$93,'Master P&amp;L'!$B$11:$B$93,Check!B157)))</f>
        <v/>
      </c>
      <c r="D157" s="233" t="str">
        <f>IF(B157="","",SUMIFS(Input_APM!N:N,Input_APM!L:L,Check!B157,Input_APM!M:M,Check!$F$1))</f>
        <v/>
      </c>
      <c r="E157" s="217" t="str">
        <f t="shared" si="44"/>
        <v/>
      </c>
      <c r="F157" s="233" t="str">
        <f>IF(B157="","",SUMIFS(Input_APM!N:N,Input_APM!M:M,Check!$F$1,Input_APM!L:L,Check!B157))</f>
        <v/>
      </c>
      <c r="G157" s="233" t="str">
        <f>IF(B157="","",SUMIFS(Input_APM!N:N,Input_APM!M:M,Check!$G$1,Input_APM!L:L,Check!B157))</f>
        <v/>
      </c>
      <c r="H157" s="217" t="str">
        <f t="shared" si="45"/>
        <v/>
      </c>
      <c r="I157" s="217">
        <f>SUMIFS(Input_APM!N:N,Input_APM!L:L,Check!B157)</f>
        <v>0</v>
      </c>
      <c r="J157" s="219" t="str">
        <f t="shared" si="46"/>
        <v/>
      </c>
      <c r="K157" s="22" t="str">
        <f>IF(B157="","",SUMIFS('Input_APM (Zenith)'!N:N,'Input_APM (Zenith)'!L:L,Check!B157,'Input_APM (Zenith)'!M:M,Check!$F$1))</f>
        <v/>
      </c>
      <c r="L157" s="22" t="str">
        <f>IF(B157="","",SUMIFS('Input_APM (Zenith)'!N:N,'Input_APM (Zenith)'!L:L,Check!B157,'Input_APM (Zenith)'!M:M,Check!$G$1))</f>
        <v/>
      </c>
      <c r="M157" s="217" t="str">
        <f t="shared" si="47"/>
        <v/>
      </c>
      <c r="O157"/>
      <c r="P157" s="217" t="str">
        <f>IF(O157="","",IF(OR(LEFT(O157,4)="Cash",LEFT(O157,4)="Prov"),0,SUMIFS(Input_APM!N:N,Input_APM!L:L,Check!O157)))</f>
        <v/>
      </c>
      <c r="Q157" s="22" t="str">
        <f>IF(O157="","",IF(LEN(O157)&gt;9,SUMIFS(Options!$H$3:$H$26,Options!$B$3:$B$26,Check!O157),SUMIFS('Master P&amp;L'!$H$11:$H$93,'Master P&amp;L'!$B$11:$B$93,Check!O157)))</f>
        <v/>
      </c>
      <c r="R157" s="217" t="str">
        <f t="shared" si="48"/>
        <v/>
      </c>
      <c r="S157" s="361" t="str">
        <f t="shared" si="37"/>
        <v/>
      </c>
    </row>
    <row r="158" spans="3:20">
      <c r="C158" s="233" t="str">
        <f>IF(B158="","",IF(LEN(B158)&gt;9,SUMIFS(Options!$H$3:$H$26,Options!$B$3:$B$26,Check!B158),SUMIFS('Master P&amp;L'!$H$11:$H$93,'Master P&amp;L'!$B$11:$B$93,Check!B158)))</f>
        <v/>
      </c>
      <c r="D158" s="233" t="str">
        <f>IF(B158="","",SUMIFS(Input_APM!N:N,Input_APM!L:L,Check!B158,Input_APM!M:M,Check!$F$1))</f>
        <v/>
      </c>
      <c r="E158" s="217" t="str">
        <f>IF(B158="","",C158-M158)</f>
        <v/>
      </c>
      <c r="F158" s="233" t="str">
        <f>IF(B158="","",SUMIFS(Input_APM!N:N,Input_APM!M:M,Check!$F$1,Input_APM!L:L,Check!B158))</f>
        <v/>
      </c>
      <c r="G158" s="233" t="str">
        <f>IF(B158="","",SUMIFS(Input_APM!N:N,Input_APM!M:M,Check!$G$1,Input_APM!L:L,Check!B158))</f>
        <v/>
      </c>
      <c r="H158" s="217" t="str">
        <f t="shared" si="45"/>
        <v/>
      </c>
      <c r="I158" s="217">
        <f>SUMIFS(Input_APM!N:N,Input_APM!L:L,Check!B158)</f>
        <v>0</v>
      </c>
      <c r="J158" s="219" t="str">
        <f t="shared" si="46"/>
        <v/>
      </c>
      <c r="K158" s="22" t="str">
        <f>IF(B158="","",SUMIFS('Input_APM (Zenith)'!N:N,'Input_APM (Zenith)'!L:L,Check!B158,'Input_APM (Zenith)'!M:M,Check!$F$1))</f>
        <v/>
      </c>
      <c r="L158" s="22" t="str">
        <f>IF(B158="","",SUMIFS('Input_APM (Zenith)'!N:N,'Input_APM (Zenith)'!L:L,Check!B158,'Input_APM (Zenith)'!M:M,Check!$G$1))</f>
        <v/>
      </c>
      <c r="M158" s="217" t="str">
        <f t="shared" si="47"/>
        <v/>
      </c>
      <c r="O158"/>
      <c r="P158" s="217" t="str">
        <f>IF(O158="","",IF(OR(LEFT(O158,4)="Cash",LEFT(O158,4)="Prov"),0,SUMIFS(Input_APM!N:N,Input_APM!L:L,Check!O158)))</f>
        <v/>
      </c>
      <c r="Q158" s="22" t="str">
        <f>IF(O158="","",IF(LEN(O158)&gt;9,SUMIFS(Options!$H$3:$H$26,Options!$B$3:$B$26,Check!O158),SUMIFS('Master P&amp;L'!$H$11:$H$93,'Master P&amp;L'!$B$11:$B$93,Check!O158)))</f>
        <v/>
      </c>
      <c r="R158" s="217" t="str">
        <f t="shared" si="48"/>
        <v/>
      </c>
      <c r="S158" s="361" t="str">
        <f t="shared" si="37"/>
        <v/>
      </c>
    </row>
    <row r="159" spans="3:20">
      <c r="C159" s="233" t="str">
        <f>IF(B159="","",IF(LEN(B159)&gt;9,SUMIFS(Options!$H$3:$H$26,Options!$B$3:$B$26,Check!B159),SUMIFS('Master P&amp;L'!$H$11:$H$93,'Master P&amp;L'!$B$11:$B$93,Check!B159)))</f>
        <v/>
      </c>
      <c r="D159" s="233" t="str">
        <f>IF(B159="","",SUMIFS(Input_APM!N:N,Input_APM!L:L,Check!B159,Input_APM!M:M,Check!$F$1))</f>
        <v/>
      </c>
      <c r="E159" s="217" t="str">
        <f t="shared" ref="E159:E165" si="49">IF(B159="","",C159-M159)</f>
        <v/>
      </c>
      <c r="F159" s="233" t="str">
        <f>IF(B159="","",SUMIFS(Input_APM!N:N,Input_APM!M:M,Check!$F$1,Input_APM!L:L,Check!B159))</f>
        <v/>
      </c>
      <c r="G159" s="233" t="str">
        <f>IF(B159="","",SUMIFS(Input_APM!N:N,Input_APM!M:M,Check!$G$1,Input_APM!L:L,Check!B159))</f>
        <v/>
      </c>
      <c r="H159" s="217" t="str">
        <f t="shared" ref="H159:H165" si="50">IF(B159="","",F159-G159)</f>
        <v/>
      </c>
      <c r="I159" s="217">
        <f>SUMIFS(Input_APM!N:N,Input_APM!L:L,Check!B159)</f>
        <v>0</v>
      </c>
      <c r="J159" s="219" t="str">
        <f t="shared" ref="J159:J165" si="51">IF(B159="","",(F159+G159)-I159)</f>
        <v/>
      </c>
      <c r="K159" s="22" t="str">
        <f>IF(B159="","",SUMIFS('Input_APM (Zenith)'!N:N,'Input_APM (Zenith)'!L:L,Check!B159,'Input_APM (Zenith)'!M:M,Check!$F$1))</f>
        <v/>
      </c>
      <c r="L159" s="22" t="str">
        <f>IF(B159="","",SUMIFS('Input_APM (Zenith)'!N:N,'Input_APM (Zenith)'!L:L,Check!B159,'Input_APM (Zenith)'!M:M,Check!$G$1))</f>
        <v/>
      </c>
      <c r="M159" s="217" t="str">
        <f t="shared" ref="M159:M165" si="52">IF(B159="","",F159+G159+K159+L159)</f>
        <v/>
      </c>
      <c r="O159"/>
      <c r="P159" s="217" t="str">
        <f>IF(O159="","",IF(OR(LEFT(O159,4)="Cash",LEFT(O159,4)="Prov"),0,SUMIFS(Input_APM!N:N,Input_APM!L:L,Check!O159)))</f>
        <v/>
      </c>
      <c r="Q159" s="22" t="str">
        <f>IF(O159="","",IF(LEN(O159)&gt;9,SUMIFS(Options!$H$3:$H$26,Options!$B$3:$B$26,Check!O159),SUMIFS('Master P&amp;L'!$H$11:$H$93,'Master P&amp;L'!$B$11:$B$93,Check!O159)))</f>
        <v/>
      </c>
      <c r="R159" s="217" t="str">
        <f t="shared" si="48"/>
        <v/>
      </c>
      <c r="S159" s="361" t="str">
        <f t="shared" si="37"/>
        <v/>
      </c>
    </row>
    <row r="160" spans="3:20">
      <c r="C160" s="233" t="str">
        <f>IF(B160="","",IF(LEN(B160)&gt;9,SUMIFS(Options!$H$3:$H$26,Options!$B$3:$B$26,Check!B160),SUMIFS('Master P&amp;L'!$H$11:$H$93,'Master P&amp;L'!$B$11:$B$93,Check!B160)))</f>
        <v/>
      </c>
      <c r="D160" s="233" t="str">
        <f>IF(B160="","",SUMIFS(Input_APM!N:N,Input_APM!L:L,Check!B160,Input_APM!M:M,Check!$F$1))</f>
        <v/>
      </c>
      <c r="E160" s="217" t="str">
        <f t="shared" si="49"/>
        <v/>
      </c>
      <c r="F160" s="233" t="str">
        <f>IF(B160="","",SUMIFS(Input_APM!N:N,Input_APM!M:M,Check!$F$1,Input_APM!L:L,Check!B160))</f>
        <v/>
      </c>
      <c r="G160" s="233" t="str">
        <f>IF(B160="","",SUMIFS(Input_APM!N:N,Input_APM!M:M,Check!$G$1,Input_APM!L:L,Check!B160))</f>
        <v/>
      </c>
      <c r="H160" s="217" t="str">
        <f t="shared" si="50"/>
        <v/>
      </c>
      <c r="I160" s="217">
        <f>SUMIFS(Input_APM!N:N,Input_APM!L:L,Check!B160)</f>
        <v>0</v>
      </c>
      <c r="J160" s="219" t="str">
        <f t="shared" si="51"/>
        <v/>
      </c>
      <c r="K160" s="22" t="str">
        <f>IF(B160="","",SUMIFS('Input_APM (Zenith)'!N:N,'Input_APM (Zenith)'!L:L,Check!B160,'Input_APM (Zenith)'!M:M,Check!$F$1))</f>
        <v/>
      </c>
      <c r="L160" s="22" t="str">
        <f>IF(B160="","",SUMIFS('Input_APM (Zenith)'!N:N,'Input_APM (Zenith)'!L:L,Check!B160,'Input_APM (Zenith)'!M:M,Check!$G$1))</f>
        <v/>
      </c>
      <c r="M160" s="217" t="str">
        <f t="shared" si="52"/>
        <v/>
      </c>
      <c r="O160"/>
      <c r="P160" s="217" t="str">
        <f>IF(O160="","",IF(OR(LEFT(O160,4)="Cash",LEFT(O160,4)="Prov"),0,SUMIFS(Input_APM!N:N,Input_APM!L:L,Check!O160)))</f>
        <v/>
      </c>
      <c r="Q160" s="22" t="str">
        <f>IF(O160="","",IF(LEN(O160)&gt;9,SUMIFS(Options!$H$3:$H$26,Options!$B$3:$B$26,Check!O160),SUMIFS('Master P&amp;L'!$H$11:$H$93,'Master P&amp;L'!$B$11:$B$93,Check!O160)))</f>
        <v/>
      </c>
      <c r="R160" s="217" t="str">
        <f t="shared" si="48"/>
        <v/>
      </c>
      <c r="S160" s="361" t="str">
        <f t="shared" si="37"/>
        <v/>
      </c>
    </row>
    <row r="161" spans="3:19">
      <c r="C161" s="233" t="str">
        <f>IF(B161="","",IF(LEN(B161)&gt;9,SUMIFS(Options!$H$3:$H$26,Options!$B$3:$B$26,Check!B161),SUMIFS('Master P&amp;L'!$H$11:$H$93,'Master P&amp;L'!$B$11:$B$93,Check!B161)))</f>
        <v/>
      </c>
      <c r="D161" s="233" t="str">
        <f>IF(B161="","",SUMIFS(Input_APM!N:N,Input_APM!L:L,Check!B161,Input_APM!M:M,Check!$F$1))</f>
        <v/>
      </c>
      <c r="E161" s="217" t="str">
        <f t="shared" si="49"/>
        <v/>
      </c>
      <c r="F161" s="233" t="str">
        <f>IF(B161="","",SUMIFS(Input_APM!N:N,Input_APM!M:M,Check!$F$1,Input_APM!L:L,Check!B161))</f>
        <v/>
      </c>
      <c r="G161" s="233" t="str">
        <f>IF(B161="","",SUMIFS(Input_APM!N:N,Input_APM!M:M,Check!$G$1,Input_APM!L:L,Check!B161))</f>
        <v/>
      </c>
      <c r="H161" s="217" t="str">
        <f t="shared" si="50"/>
        <v/>
      </c>
      <c r="I161" s="217">
        <f>SUMIFS(Input_APM!N:N,Input_APM!L:L,Check!B161)</f>
        <v>0</v>
      </c>
      <c r="J161" s="219" t="str">
        <f t="shared" si="51"/>
        <v/>
      </c>
      <c r="K161" s="22" t="str">
        <f>IF(B161="","",SUMIFS('Input_APM (Zenith)'!N:N,'Input_APM (Zenith)'!L:L,Check!B161,'Input_APM (Zenith)'!M:M,Check!$F$1))</f>
        <v/>
      </c>
      <c r="L161" s="22" t="str">
        <f>IF(B161="","",SUMIFS('Input_APM (Zenith)'!N:N,'Input_APM (Zenith)'!L:L,Check!B161,'Input_APM (Zenith)'!M:M,Check!$G$1))</f>
        <v/>
      </c>
      <c r="M161" s="217" t="str">
        <f t="shared" si="52"/>
        <v/>
      </c>
      <c r="O161"/>
      <c r="P161" s="217" t="str">
        <f>IF(O161="","",IF(OR(LEFT(O161,4)="Cash",LEFT(O161,4)="Prov"),0,SUMIFS(Input_APM!N:N,Input_APM!L:L,Check!O161)))</f>
        <v/>
      </c>
      <c r="Q161" s="22" t="str">
        <f>IF(O161="","",IF(LEN(O161)&gt;9,SUMIFS(Options!$H$3:$H$26,Options!$B$3:$B$26,Check!O161),SUMIFS('Master P&amp;L'!$H$11:$H$93,'Master P&amp;L'!$B$11:$B$93,Check!O161)))</f>
        <v/>
      </c>
      <c r="R161" s="217" t="str">
        <f t="shared" si="48"/>
        <v/>
      </c>
      <c r="S161" s="361" t="str">
        <f t="shared" si="37"/>
        <v/>
      </c>
    </row>
    <row r="162" spans="3:19">
      <c r="C162" s="233" t="str">
        <f>IF(B162="","",IF(LEN(B162)&gt;9,SUMIFS(Options!$H$3:$H$26,Options!$B$3:$B$26,Check!B162),SUMIFS('Master P&amp;L'!$H$11:$H$93,'Master P&amp;L'!$B$11:$B$93,Check!B162)))</f>
        <v/>
      </c>
      <c r="D162" s="233" t="str">
        <f>IF(B162="","",SUMIFS(Input_APM!N:N,Input_APM!L:L,Check!B162,Input_APM!M:M,Check!$F$1))</f>
        <v/>
      </c>
      <c r="E162" s="217" t="str">
        <f t="shared" si="49"/>
        <v/>
      </c>
      <c r="F162" s="233" t="str">
        <f>IF(B162="","",SUMIFS(Input_APM!N:N,Input_APM!M:M,Check!$F$1,Input_APM!L:L,Check!B162))</f>
        <v/>
      </c>
      <c r="G162" s="233" t="str">
        <f>IF(B162="","",SUMIFS(Input_APM!N:N,Input_APM!M:M,Check!$G$1,Input_APM!L:L,Check!B162))</f>
        <v/>
      </c>
      <c r="H162" s="217" t="str">
        <f t="shared" si="50"/>
        <v/>
      </c>
      <c r="I162" s="217">
        <f>SUMIFS(Input_APM!N:N,Input_APM!L:L,Check!B162)</f>
        <v>0</v>
      </c>
      <c r="J162" s="219" t="str">
        <f t="shared" si="51"/>
        <v/>
      </c>
      <c r="K162" s="22" t="str">
        <f>IF(B162="","",SUMIFS('Input_APM (Zenith)'!N:N,'Input_APM (Zenith)'!L:L,Check!B162,'Input_APM (Zenith)'!M:M,Check!$F$1))</f>
        <v/>
      </c>
      <c r="L162" s="22" t="str">
        <f>IF(B162="","",SUMIFS('Input_APM (Zenith)'!N:N,'Input_APM (Zenith)'!L:L,Check!B162,'Input_APM (Zenith)'!M:M,Check!$G$1))</f>
        <v/>
      </c>
      <c r="M162" s="217" t="str">
        <f t="shared" si="52"/>
        <v/>
      </c>
      <c r="O162"/>
      <c r="P162" s="217" t="str">
        <f>IF(O162="","",IF(OR(LEFT(O162,4)="Cash",LEFT(O162,4)="Prov"),0,SUMIFS(Input_APM!N:N,Input_APM!L:L,Check!O162)))</f>
        <v/>
      </c>
      <c r="Q162" s="22" t="str">
        <f>IF(O162="","",IF(LEN(O162)&gt;9,SUMIFS(Options!$H$3:$H$26,Options!$B$3:$B$26,Check!O162),SUMIFS('Master P&amp;L'!$H$11:$H$93,'Master P&amp;L'!$B$11:$B$93,Check!O162)))</f>
        <v/>
      </c>
      <c r="R162" s="217" t="str">
        <f t="shared" si="48"/>
        <v/>
      </c>
      <c r="S162" s="361" t="str">
        <f t="shared" si="37"/>
        <v/>
      </c>
    </row>
    <row r="163" spans="3:19">
      <c r="C163" s="233" t="str">
        <f>IF(B163="","",IF(LEN(B163)&gt;9,SUMIFS(Options!$H$3:$H$26,Options!$B$3:$B$26,Check!B163),SUMIFS('Master P&amp;L'!$H$11:$H$93,'Master P&amp;L'!$B$11:$B$93,Check!B163)))</f>
        <v/>
      </c>
      <c r="D163" s="233" t="str">
        <f>IF(B163="","",SUMIFS(Input_APM!N:N,Input_APM!L:L,Check!B163,Input_APM!M:M,Check!$F$1))</f>
        <v/>
      </c>
      <c r="E163" s="217" t="str">
        <f t="shared" si="49"/>
        <v/>
      </c>
      <c r="F163" s="233" t="str">
        <f>IF(B163="","",SUMIFS(Input_APM!N:N,Input_APM!M:M,Check!$F$1,Input_APM!L:L,Check!B163))</f>
        <v/>
      </c>
      <c r="G163" s="233" t="str">
        <f>IF(B163="","",SUMIFS(Input_APM!N:N,Input_APM!M:M,Check!$G$1,Input_APM!L:L,Check!B163))</f>
        <v/>
      </c>
      <c r="H163" s="217" t="str">
        <f t="shared" si="50"/>
        <v/>
      </c>
      <c r="I163" s="217">
        <f>SUMIFS(Input_APM!N:N,Input_APM!L:L,Check!B163)</f>
        <v>0</v>
      </c>
      <c r="J163" s="219" t="str">
        <f t="shared" si="51"/>
        <v/>
      </c>
      <c r="K163" s="22" t="str">
        <f>IF(B163="","",SUMIFS('Input_APM (Zenith)'!N:N,'Input_APM (Zenith)'!L:L,Check!B163,'Input_APM (Zenith)'!M:M,Check!$F$1))</f>
        <v/>
      </c>
      <c r="L163" s="22" t="str">
        <f>IF(B163="","",SUMIFS('Input_APM (Zenith)'!N:N,'Input_APM (Zenith)'!L:L,Check!B163,'Input_APM (Zenith)'!M:M,Check!$G$1))</f>
        <v/>
      </c>
      <c r="M163" s="217" t="str">
        <f t="shared" si="52"/>
        <v/>
      </c>
      <c r="O163"/>
      <c r="P163" s="217" t="str">
        <f>IF(O163="","",IF(OR(LEFT(O163,4)="Cash",LEFT(O163,4)="Prov"),0,SUMIFS(Input_APM!N:N,Input_APM!L:L,Check!O163)))</f>
        <v/>
      </c>
      <c r="Q163" s="22" t="str">
        <f>IF(O163="","",IF(LEN(O163)&gt;9,SUMIFS(Options!$H$3:$H$26,Options!$B$3:$B$26,Check!O163),SUMIFS('Master P&amp;L'!$H$11:$H$93,'Master P&amp;L'!$B$11:$B$93,Check!O163)))</f>
        <v/>
      </c>
      <c r="R163" s="217" t="str">
        <f t="shared" si="48"/>
        <v/>
      </c>
      <c r="S163" s="361" t="str">
        <f t="shared" si="37"/>
        <v/>
      </c>
    </row>
    <row r="164" spans="3:19">
      <c r="C164" s="233" t="str">
        <f>IF(B164="","",IF(LEN(B164)&gt;9,SUMIFS(Options!$H$3:$H$26,Options!$B$3:$B$26,Check!B164),SUMIFS('Master P&amp;L'!$H$11:$H$93,'Master P&amp;L'!$B$11:$B$93,Check!B164)))</f>
        <v/>
      </c>
      <c r="D164" s="233" t="str">
        <f>IF(B164="","",SUMIFS(Input_APM!N:N,Input_APM!L:L,Check!B164,Input_APM!M:M,Check!$F$1))</f>
        <v/>
      </c>
      <c r="E164" s="217" t="str">
        <f t="shared" si="49"/>
        <v/>
      </c>
      <c r="F164" s="233" t="str">
        <f>IF(B164="","",SUMIFS(Input_APM!N:N,Input_APM!M:M,Check!$F$1,Input_APM!L:L,Check!B164))</f>
        <v/>
      </c>
      <c r="G164" s="233" t="str">
        <f>IF(B164="","",SUMIFS(Input_APM!N:N,Input_APM!M:M,Check!$G$1,Input_APM!L:L,Check!B164))</f>
        <v/>
      </c>
      <c r="H164" s="217" t="str">
        <f t="shared" si="50"/>
        <v/>
      </c>
      <c r="I164" s="217">
        <f>SUMIFS(Input_APM!N:N,Input_APM!L:L,Check!B164)</f>
        <v>0</v>
      </c>
      <c r="J164" s="219" t="str">
        <f t="shared" si="51"/>
        <v/>
      </c>
      <c r="K164" s="22" t="str">
        <f>IF(B164="","",SUMIFS('Input_APM (Zenith)'!N:N,'Input_APM (Zenith)'!L:L,Check!B164,'Input_APM (Zenith)'!M:M,Check!$F$1))</f>
        <v/>
      </c>
      <c r="L164" s="22" t="str">
        <f>IF(B164="","",SUMIFS('Input_APM (Zenith)'!N:N,'Input_APM (Zenith)'!L:L,Check!B164,'Input_APM (Zenith)'!M:M,Check!$G$1))</f>
        <v/>
      </c>
      <c r="M164" s="217" t="str">
        <f t="shared" si="52"/>
        <v/>
      </c>
      <c r="O164"/>
      <c r="P164" s="217" t="str">
        <f>IF(O164="","",IF(OR(LEFT(O164,4)="Cash",LEFT(O164,4)="Prov"),0,SUMIFS(Input_APM!N:N,Input_APM!L:L,Check!O164)))</f>
        <v/>
      </c>
      <c r="Q164" s="22" t="str">
        <f>IF(O164="","",IF(LEN(O164)&gt;9,SUMIFS(Options!$H$3:$H$26,Options!$B$3:$B$26,Check!O164),SUMIFS('Master P&amp;L'!$H$11:$H$93,'Master P&amp;L'!$B$11:$B$93,Check!O164)))</f>
        <v/>
      </c>
      <c r="R164" s="217" t="str">
        <f t="shared" si="48"/>
        <v/>
      </c>
      <c r="S164" s="361" t="str">
        <f t="shared" si="37"/>
        <v/>
      </c>
    </row>
    <row r="165" spans="3:19">
      <c r="C165" s="233" t="str">
        <f>IF(B165="","",IF(LEN(B165)&gt;9,SUMIFS(Options!$H$3:$H$26,Options!$B$3:$B$26,Check!B165),SUMIFS('Master P&amp;L'!$H$11:$H$93,'Master P&amp;L'!$B$11:$B$93,Check!B165)))</f>
        <v/>
      </c>
      <c r="D165" s="233" t="str">
        <f>IF(B165="","",SUMIFS(Input_APM!N:N,Input_APM!L:L,Check!B165,Input_APM!M:M,Check!$F$1))</f>
        <v/>
      </c>
      <c r="E165" s="217" t="str">
        <f t="shared" si="49"/>
        <v/>
      </c>
      <c r="F165" s="233" t="str">
        <f>IF(B165="","",SUMIFS(Input_APM!N:N,Input_APM!M:M,Check!$F$1,Input_APM!L:L,Check!B165))</f>
        <v/>
      </c>
      <c r="G165" s="233" t="str">
        <f>IF(B165="","",SUMIFS(Input_APM!N:N,Input_APM!M:M,Check!$G$1,Input_APM!L:L,Check!B165))</f>
        <v/>
      </c>
      <c r="H165" s="217" t="str">
        <f t="shared" si="50"/>
        <v/>
      </c>
      <c r="I165" s="217">
        <f>SUMIFS(Input_APM!N:N,Input_APM!L:L,Check!B165)</f>
        <v>0</v>
      </c>
      <c r="J165" s="219" t="str">
        <f t="shared" si="51"/>
        <v/>
      </c>
      <c r="K165" s="22" t="str">
        <f>IF(B165="","",SUMIFS('Input_APM (Zenith)'!N:N,'Input_APM (Zenith)'!L:L,Check!B165,'Input_APM (Zenith)'!M:M,Check!$F$1))</f>
        <v/>
      </c>
      <c r="L165" s="22" t="str">
        <f>IF(B165="","",SUMIFS('Input_APM (Zenith)'!N:N,'Input_APM (Zenith)'!L:L,Check!B165,'Input_APM (Zenith)'!M:M,Check!$G$1))</f>
        <v/>
      </c>
      <c r="M165" s="217" t="str">
        <f t="shared" si="52"/>
        <v/>
      </c>
      <c r="O165"/>
      <c r="P165" s="217" t="str">
        <f>IF(O165="","",IF(OR(LEFT(O165,4)="Cash",LEFT(O165,4)="Prov"),0,SUMIFS(Input_APM!N:N,Input_APM!L:L,Check!O165)))</f>
        <v/>
      </c>
      <c r="Q165" s="22" t="str">
        <f>IF(O165="","",IF(LEN(O165)&gt;9,SUMIFS(Options!$H$3:$H$26,Options!$B$3:$B$26,Check!O165),SUMIFS('Master P&amp;L'!$H$11:$H$93,'Master P&amp;L'!$B$11:$B$93,Check!O165)))</f>
        <v/>
      </c>
      <c r="R165" s="217" t="str">
        <f t="shared" si="48"/>
        <v/>
      </c>
      <c r="S165" s="361" t="str">
        <f t="shared" si="37"/>
        <v/>
      </c>
    </row>
    <row r="166" spans="3:19">
      <c r="C166" s="233" t="str">
        <f>IF(B166="","",IF(LEN(B166)&gt;9,SUMIFS(Options!$H$3:$H$26,Options!$B$3:$B$26,Check!B166),SUMIFS('Master P&amp;L'!$H$11:$H$93,'Master P&amp;L'!$B$11:$B$93,Check!B166)))</f>
        <v/>
      </c>
      <c r="D166" s="233" t="str">
        <f>IF(B166="","",SUMIFS(Input_APM!N:N,Input_APM!L:L,Check!B166,Input_APM!M:M,Check!$F$1))</f>
        <v/>
      </c>
      <c r="E166" s="217" t="str">
        <f>IF(B166="","",C166-M166)</f>
        <v/>
      </c>
      <c r="F166" s="233" t="str">
        <f>IF(B166="","",SUMIFS(Input_APM!N:N,Input_APM!M:M,Check!$F$1,Input_APM!L:L,Check!B166))</f>
        <v/>
      </c>
      <c r="G166" s="233" t="str">
        <f>IF(B166="","",SUMIFS(Input_APM!N:N,Input_APM!M:M,Check!$G$1,Input_APM!L:L,Check!B166))</f>
        <v/>
      </c>
      <c r="H166" s="217" t="str">
        <f>IF(B166="","",F166-G166)</f>
        <v/>
      </c>
      <c r="I166" s="217">
        <f>SUMIFS(Input_APM!N:N,Input_APM!L:L,Check!B166)</f>
        <v>0</v>
      </c>
      <c r="J166" s="219" t="str">
        <f>IF(B166="","",(F166+G166)-I166)</f>
        <v/>
      </c>
      <c r="K166" s="22" t="str">
        <f>IF(B166="","",SUMIFS('Input_APM (Zenith)'!N:N,'Input_APM (Zenith)'!L:L,Check!B166,'Input_APM (Zenith)'!M:M,Check!$F$1))</f>
        <v/>
      </c>
      <c r="L166" s="22" t="str">
        <f>IF(B166="","",SUMIFS('Input_APM (Zenith)'!N:N,'Input_APM (Zenith)'!L:L,Check!B166,'Input_APM (Zenith)'!M:M,Check!$G$1))</f>
        <v/>
      </c>
      <c r="M166" s="217" t="str">
        <f>IF(B166="","",F166+G166+K166+L166)</f>
        <v/>
      </c>
      <c r="O166"/>
      <c r="P166" s="217" t="str">
        <f>IF(O166="","",IF(OR(LEFT(O166,4)="Cash",LEFT(O166,4)="Prov"),0,SUMIFS(Input_APM!N:N,Input_APM!L:L,Check!O166)))</f>
        <v/>
      </c>
      <c r="Q166" s="22" t="str">
        <f>IF(O166="","",IF(LEN(O166)&gt;9,SUMIFS(Options!$H$3:$H$26,Options!$B$3:$B$26,Check!O166),SUMIFS('Master P&amp;L'!$H$11:$H$93,'Master P&amp;L'!$B$11:$B$93,Check!O166)))</f>
        <v/>
      </c>
      <c r="R166" s="217" t="str">
        <f t="shared" si="48"/>
        <v/>
      </c>
      <c r="S166" s="361" t="str">
        <f t="shared" si="37"/>
        <v/>
      </c>
    </row>
    <row r="167" spans="3:19">
      <c r="C167" s="233" t="str">
        <f>IF(B167="","",IF(LEN(B167)&gt;9,SUMIFS(Options!$H$3:$H$26,Options!$B$3:$B$26,Check!B167),SUMIFS('Master P&amp;L'!$H$11:$H$93,'Master P&amp;L'!$B$11:$B$93,Check!B167)))</f>
        <v/>
      </c>
      <c r="D167" s="233" t="str">
        <f>IF(B167="","",SUMIFS(Input_APM!N:N,Input_APM!L:L,Check!B167,Input_APM!M:M,Check!$F$1))</f>
        <v/>
      </c>
      <c r="E167" s="217" t="str">
        <f>IF(B167="","",C167-M167)</f>
        <v/>
      </c>
      <c r="F167" s="233" t="str">
        <f>IF(B167="","",SUMIFS(Input_APM!N:N,Input_APM!M:M,Check!$F$1,Input_APM!L:L,Check!B167))</f>
        <v/>
      </c>
      <c r="G167" s="233" t="str">
        <f>IF(B167="","",SUMIFS(Input_APM!N:N,Input_APM!M:M,Check!$G$1,Input_APM!L:L,Check!B167))</f>
        <v/>
      </c>
      <c r="H167" s="217" t="str">
        <f>IF(B167="","",F167-G167)</f>
        <v/>
      </c>
      <c r="I167" s="217">
        <f>SUMIFS(Input_APM!N:N,Input_APM!L:L,Check!B167)</f>
        <v>0</v>
      </c>
      <c r="J167" s="219" t="str">
        <f>IF(B167="","",(F167+G167)-I167)</f>
        <v/>
      </c>
      <c r="K167" s="22" t="str">
        <f>IF(B167="","",SUMIFS('Input_APM (Zenith)'!N:N,'Input_APM (Zenith)'!L:L,Check!B167,'Input_APM (Zenith)'!M:M,Check!$F$1))</f>
        <v/>
      </c>
      <c r="L167" s="22" t="str">
        <f>IF(B167="","",SUMIFS('Input_APM (Zenith)'!N:N,'Input_APM (Zenith)'!L:L,Check!B167,'Input_APM (Zenith)'!M:M,Check!$G$1))</f>
        <v/>
      </c>
      <c r="M167" s="217" t="str">
        <f>IF(B167="","",F167+G167+K167+L167)</f>
        <v/>
      </c>
      <c r="O167"/>
      <c r="P167" s="217" t="str">
        <f>IF(O167="","",IF(OR(LEFT(O167,4)="Cash",LEFT(O167,4)="Prov"),0,SUMIFS(Input_APM!N:N,Input_APM!L:L,Check!O167)))</f>
        <v/>
      </c>
      <c r="Q167" s="22" t="str">
        <f>IF(O167="","",IF(LEN(O167)&gt;9,SUMIFS(Options!$H$3:$H$26,Options!$B$3:$B$26,Check!O167),SUMIFS('Master P&amp;L'!$H$11:$H$93,'Master P&amp;L'!$B$11:$B$93,Check!O167)))</f>
        <v/>
      </c>
      <c r="R167" s="217" t="str">
        <f t="shared" ref="R167:R177" si="53">IF(O167="","",P167-Q167)</f>
        <v/>
      </c>
      <c r="S167" s="361" t="str">
        <f t="shared" si="37"/>
        <v/>
      </c>
    </row>
    <row r="168" spans="3:19">
      <c r="C168" s="233" t="str">
        <f>IF(B168="","",IF(LEN(B168)&gt;9,SUMIFS(Options!$H$3:$H$26,Options!$B$3:$B$26,Check!B168),SUMIFS('Master P&amp;L'!$H$11:$H$93,'Master P&amp;L'!$B$11:$B$93,Check!B168)))</f>
        <v/>
      </c>
      <c r="D168" s="233" t="str">
        <f>IF(B168="","",SUMIFS(Input_APM!N:N,Input_APM!L:L,Check!B168,Input_APM!M:M,Check!$F$1))</f>
        <v/>
      </c>
      <c r="E168" s="217" t="str">
        <f t="shared" ref="E168:E175" si="54">IF(B168="","",C168-M168)</f>
        <v/>
      </c>
      <c r="F168" s="233" t="str">
        <f>IF(B168="","",SUMIFS(Input_APM!N:N,Input_APM!M:M,Check!$F$1,Input_APM!L:L,Check!B168))</f>
        <v/>
      </c>
      <c r="G168" s="233" t="str">
        <f>IF(B168="","",SUMIFS(Input_APM!N:N,Input_APM!M:M,Check!$G$1,Input_APM!L:L,Check!B168))</f>
        <v/>
      </c>
      <c r="H168" s="217" t="str">
        <f t="shared" ref="H168:H175" si="55">IF(B168="","",F168-G168)</f>
        <v/>
      </c>
      <c r="I168" s="217">
        <f>SUMIFS(Input_APM!N:N,Input_APM!L:L,Check!B168)</f>
        <v>0</v>
      </c>
      <c r="J168" s="219" t="str">
        <f t="shared" ref="J168:J175" si="56">IF(B168="","",(F168+G168)-I168)</f>
        <v/>
      </c>
      <c r="K168" s="22" t="str">
        <f>IF(B168="","",SUMIFS('Input_APM (Zenith)'!N:N,'Input_APM (Zenith)'!L:L,Check!B168,'Input_APM (Zenith)'!M:M,Check!$F$1))</f>
        <v/>
      </c>
      <c r="L168" s="22" t="str">
        <f>IF(B168="","",SUMIFS('Input_APM (Zenith)'!N:N,'Input_APM (Zenith)'!L:L,Check!B168,'Input_APM (Zenith)'!M:M,Check!$G$1))</f>
        <v/>
      </c>
      <c r="M168" s="217" t="str">
        <f t="shared" ref="M168:M175" si="57">IF(B168="","",F168+G168+K168+L168)</f>
        <v/>
      </c>
      <c r="O168"/>
      <c r="P168" s="217" t="str">
        <f>IF(O168="","",IF(OR(LEFT(O168,4)="Cash",LEFT(O168,4)="Prov"),0,SUMIFS(Input_APM!N:N,Input_APM!L:L,Check!O168)))</f>
        <v/>
      </c>
      <c r="Q168" s="22" t="str">
        <f>IF(O168="","",IF(LEN(O168)&gt;9,SUMIFS(Options!$H$3:$H$26,Options!$B$3:$B$26,Check!O168),SUMIFS('Master P&amp;L'!$H$11:$H$93,'Master P&amp;L'!$B$11:$B$93,Check!O168)))</f>
        <v/>
      </c>
      <c r="R168" s="217" t="str">
        <f t="shared" si="53"/>
        <v/>
      </c>
      <c r="S168" s="361" t="str">
        <f t="shared" si="37"/>
        <v/>
      </c>
    </row>
    <row r="169" spans="3:19">
      <c r="C169" s="233" t="str">
        <f>IF(B169="","",IF(LEN(B169)&gt;9,SUMIFS(Options!$H$3:$H$26,Options!$B$3:$B$26,Check!B169),SUMIFS('Master P&amp;L'!$H$11:$H$93,'Master P&amp;L'!$B$11:$B$93,Check!B169)))</f>
        <v/>
      </c>
      <c r="D169" s="233" t="str">
        <f>IF(B169="","",SUMIFS(Input_APM!N:N,Input_APM!L:L,Check!B169,Input_APM!M:M,Check!$F$1))</f>
        <v/>
      </c>
      <c r="E169" s="217" t="str">
        <f t="shared" si="54"/>
        <v/>
      </c>
      <c r="F169" s="233" t="str">
        <f>IF(B169="","",SUMIFS(Input_APM!N:N,Input_APM!M:M,Check!$F$1,Input_APM!L:L,Check!B169))</f>
        <v/>
      </c>
      <c r="G169" s="233" t="str">
        <f>IF(B169="","",SUMIFS(Input_APM!N:N,Input_APM!M:M,Check!$G$1,Input_APM!L:L,Check!B169))</f>
        <v/>
      </c>
      <c r="H169" s="217" t="str">
        <f t="shared" si="55"/>
        <v/>
      </c>
      <c r="I169" s="217">
        <f>SUMIFS(Input_APM!N:N,Input_APM!L:L,Check!B169)</f>
        <v>0</v>
      </c>
      <c r="J169" s="219" t="str">
        <f t="shared" si="56"/>
        <v/>
      </c>
      <c r="K169" s="22" t="str">
        <f>IF(B169="","",SUMIFS('Input_APM (Zenith)'!N:N,'Input_APM (Zenith)'!L:L,Check!B169,'Input_APM (Zenith)'!M:M,Check!$F$1))</f>
        <v/>
      </c>
      <c r="L169" s="22" t="str">
        <f>IF(B169="","",SUMIFS('Input_APM (Zenith)'!N:N,'Input_APM (Zenith)'!L:L,Check!B169,'Input_APM (Zenith)'!M:M,Check!$G$1))</f>
        <v/>
      </c>
      <c r="M169" s="217" t="str">
        <f t="shared" si="57"/>
        <v/>
      </c>
      <c r="O169"/>
      <c r="P169" s="217" t="str">
        <f>IF(O169="","",IF(OR(LEFT(O169,4)="Cash",LEFT(O169,4)="Prov"),0,SUMIFS(Input_APM!N:N,Input_APM!L:L,Check!O169)))</f>
        <v/>
      </c>
      <c r="Q169" s="22" t="str">
        <f>IF(O169="","",IF(LEN(O169)&gt;9,SUMIFS(Options!$H$3:$H$26,Options!$B$3:$B$26,Check!O169),SUMIFS('Master P&amp;L'!$H$11:$H$93,'Master P&amp;L'!$B$11:$B$93,Check!O169)))</f>
        <v/>
      </c>
      <c r="R169" s="217" t="str">
        <f t="shared" si="53"/>
        <v/>
      </c>
      <c r="S169" s="361" t="str">
        <f t="shared" si="37"/>
        <v/>
      </c>
    </row>
    <row r="170" spans="3:19">
      <c r="C170" s="233" t="str">
        <f>IF(B170="","",IF(LEN(B170)&gt;9,SUMIFS(Options!$H$3:$H$26,Options!$B$3:$B$26,Check!B170),SUMIFS('Master P&amp;L'!$H$11:$H$93,'Master P&amp;L'!$B$11:$B$93,Check!B170)))</f>
        <v/>
      </c>
      <c r="D170" s="233" t="str">
        <f>IF(B170="","",SUMIFS(Input_APM!N:N,Input_APM!L:L,Check!B170,Input_APM!M:M,Check!$F$1))</f>
        <v/>
      </c>
      <c r="E170" s="217" t="str">
        <f t="shared" si="54"/>
        <v/>
      </c>
      <c r="F170" s="233" t="str">
        <f>IF(B170="","",SUMIFS(Input_APM!N:N,Input_APM!M:M,Check!$F$1,Input_APM!L:L,Check!B170))</f>
        <v/>
      </c>
      <c r="G170" s="233" t="str">
        <f>IF(B170="","",SUMIFS(Input_APM!N:N,Input_APM!M:M,Check!$G$1,Input_APM!L:L,Check!B170))</f>
        <v/>
      </c>
      <c r="H170" s="217" t="str">
        <f t="shared" si="55"/>
        <v/>
      </c>
      <c r="I170" s="217">
        <f>SUMIFS(Input_APM!N:N,Input_APM!L:L,Check!B170)</f>
        <v>0</v>
      </c>
      <c r="J170" s="219" t="str">
        <f t="shared" si="56"/>
        <v/>
      </c>
      <c r="K170" s="22" t="str">
        <f>IF(B170="","",SUMIFS('Input_APM (Zenith)'!N:N,'Input_APM (Zenith)'!L:L,Check!B170,'Input_APM (Zenith)'!M:M,Check!$F$1))</f>
        <v/>
      </c>
      <c r="L170" s="22" t="str">
        <f>IF(B170="","",SUMIFS('Input_APM (Zenith)'!N:N,'Input_APM (Zenith)'!L:L,Check!B170,'Input_APM (Zenith)'!M:M,Check!$G$1))</f>
        <v/>
      </c>
      <c r="M170" s="217" t="str">
        <f t="shared" si="57"/>
        <v/>
      </c>
      <c r="O170"/>
      <c r="P170" s="217" t="str">
        <f>IF(O170="","",IF(OR(LEFT(O170,4)="Cash",LEFT(O170,4)="Prov"),0,SUMIFS(Input_APM!N:N,Input_APM!L:L,Check!O170)))</f>
        <v/>
      </c>
      <c r="Q170" s="22" t="str">
        <f>IF(O170="","",IF(LEN(O170)&gt;9,SUMIFS(Options!$H$3:$H$26,Options!$B$3:$B$26,Check!O170),SUMIFS('Master P&amp;L'!$H$11:$H$93,'Master P&amp;L'!$B$11:$B$93,Check!O170)))</f>
        <v/>
      </c>
      <c r="R170" s="217" t="str">
        <f t="shared" si="53"/>
        <v/>
      </c>
      <c r="S170" s="361" t="str">
        <f t="shared" si="37"/>
        <v/>
      </c>
    </row>
    <row r="171" spans="3:19">
      <c r="C171" s="233" t="str">
        <f>IF(B171="","",IF(LEN(B171)&gt;9,SUMIFS(Options!$H$3:$H$26,Options!$B$3:$B$26,Check!B171),SUMIFS('Master P&amp;L'!$H$11:$H$93,'Master P&amp;L'!$B$11:$B$93,Check!B171)))</f>
        <v/>
      </c>
      <c r="D171" s="233" t="str">
        <f>IF(B171="","",SUMIFS(Input_APM!N:N,Input_APM!L:L,Check!B171,Input_APM!M:M,Check!$F$1))</f>
        <v/>
      </c>
      <c r="E171" s="217" t="str">
        <f t="shared" si="54"/>
        <v/>
      </c>
      <c r="F171" s="233" t="str">
        <f>IF(B171="","",SUMIFS(Input_APM!N:N,Input_APM!M:M,Check!$F$1,Input_APM!L:L,Check!B171))</f>
        <v/>
      </c>
      <c r="G171" s="233" t="str">
        <f>IF(B171="","",SUMIFS(Input_APM!N:N,Input_APM!M:M,Check!$G$1,Input_APM!L:L,Check!B171))</f>
        <v/>
      </c>
      <c r="H171" s="217" t="str">
        <f t="shared" si="55"/>
        <v/>
      </c>
      <c r="I171" s="217">
        <f>SUMIFS(Input_APM!N:N,Input_APM!L:L,Check!B171)</f>
        <v>0</v>
      </c>
      <c r="J171" s="219" t="str">
        <f t="shared" si="56"/>
        <v/>
      </c>
      <c r="K171" s="22" t="str">
        <f>IF(B171="","",SUMIFS('Input_APM (Zenith)'!N:N,'Input_APM (Zenith)'!L:L,Check!B171,'Input_APM (Zenith)'!M:M,Check!$F$1))</f>
        <v/>
      </c>
      <c r="L171" s="22" t="str">
        <f>IF(B171="","",SUMIFS('Input_APM (Zenith)'!N:N,'Input_APM (Zenith)'!L:L,Check!B171,'Input_APM (Zenith)'!M:M,Check!$G$1))</f>
        <v/>
      </c>
      <c r="M171" s="217" t="str">
        <f t="shared" si="57"/>
        <v/>
      </c>
      <c r="O171"/>
      <c r="P171" s="217" t="str">
        <f>IF(O171="","",IF(OR(LEFT(O171,4)="Cash",LEFT(O171,4)="Prov"),0,SUMIFS(Input_APM!N:N,Input_APM!L:L,Check!O171)))</f>
        <v/>
      </c>
      <c r="Q171" s="22" t="str">
        <f>IF(O171="","",IF(LEN(O171)&gt;9,SUMIFS(Options!$H$3:$H$26,Options!$B$3:$B$26,Check!O171),SUMIFS('Master P&amp;L'!$H$11:$H$93,'Master P&amp;L'!$B$11:$B$93,Check!O171)))</f>
        <v/>
      </c>
      <c r="R171" s="217" t="str">
        <f t="shared" si="53"/>
        <v/>
      </c>
      <c r="S171" s="361" t="str">
        <f t="shared" si="37"/>
        <v/>
      </c>
    </row>
    <row r="172" spans="3:19">
      <c r="C172" s="233" t="str">
        <f>IF(B172="","",IF(LEN(B172)&gt;9,SUMIFS(Options!$H$3:$H$26,Options!$B$3:$B$26,Check!B172),SUMIFS('Master P&amp;L'!$H$11:$H$93,'Master P&amp;L'!$B$11:$B$93,Check!B172)))</f>
        <v/>
      </c>
      <c r="D172" s="233" t="str">
        <f>IF(B172="","",SUMIFS(Input_APM!N:N,Input_APM!L:L,Check!B172,Input_APM!M:M,Check!$F$1))</f>
        <v/>
      </c>
      <c r="E172" s="217" t="str">
        <f t="shared" si="54"/>
        <v/>
      </c>
      <c r="F172" s="233" t="str">
        <f>IF(B172="","",SUMIFS(Input_APM!N:N,Input_APM!M:M,Check!$F$1,Input_APM!L:L,Check!B172))</f>
        <v/>
      </c>
      <c r="G172" s="233" t="str">
        <f>IF(B172="","",SUMIFS(Input_APM!N:N,Input_APM!M:M,Check!$G$1,Input_APM!L:L,Check!B172))</f>
        <v/>
      </c>
      <c r="H172" s="217" t="str">
        <f t="shared" si="55"/>
        <v/>
      </c>
      <c r="I172" s="217">
        <f>SUMIFS(Input_APM!N:N,Input_APM!L:L,Check!B172)</f>
        <v>0</v>
      </c>
      <c r="J172" s="219" t="str">
        <f t="shared" si="56"/>
        <v/>
      </c>
      <c r="K172" s="22" t="str">
        <f>IF(B172="","",SUMIFS('Input_APM (Zenith)'!N:N,'Input_APM (Zenith)'!L:L,Check!B172,'Input_APM (Zenith)'!M:M,Check!$F$1))</f>
        <v/>
      </c>
      <c r="L172" s="22" t="str">
        <f>IF(B172="","",SUMIFS('Input_APM (Zenith)'!N:N,'Input_APM (Zenith)'!L:L,Check!B172,'Input_APM (Zenith)'!M:M,Check!$G$1))</f>
        <v/>
      </c>
      <c r="M172" s="217" t="str">
        <f t="shared" si="57"/>
        <v/>
      </c>
      <c r="O172"/>
      <c r="P172" s="217" t="str">
        <f>IF(O172="","",IF(OR(LEFT(O172,4)="Cash",LEFT(O172,4)="Prov"),0,SUMIFS(Input_APM!N:N,Input_APM!L:L,Check!O172)))</f>
        <v/>
      </c>
      <c r="Q172" s="22" t="str">
        <f>IF(O172="","",IF(LEN(O172)&gt;9,SUMIFS(Options!$H$3:$H$26,Options!$B$3:$B$26,Check!O172),SUMIFS('Master P&amp;L'!$H$11:$H$93,'Master P&amp;L'!$B$11:$B$93,Check!O172)))</f>
        <v/>
      </c>
      <c r="R172" s="217" t="str">
        <f t="shared" si="53"/>
        <v/>
      </c>
      <c r="S172" s="361" t="str">
        <f t="shared" si="37"/>
        <v/>
      </c>
    </row>
    <row r="173" spans="3:19">
      <c r="C173" s="233" t="str">
        <f>IF(B173="","",IF(LEN(B173)&gt;9,SUMIFS(Options!$H$3:$H$26,Options!$B$3:$B$26,Check!B173),SUMIFS('Master P&amp;L'!$H$11:$H$93,'Master P&amp;L'!$B$11:$B$93,Check!B173)))</f>
        <v/>
      </c>
      <c r="D173" s="233" t="str">
        <f>IF(B173="","",SUMIFS(Input_APM!N:N,Input_APM!L:L,Check!B173,Input_APM!M:M,Check!$F$1))</f>
        <v/>
      </c>
      <c r="E173" s="217" t="str">
        <f t="shared" si="54"/>
        <v/>
      </c>
      <c r="F173" s="233" t="str">
        <f>IF(B173="","",SUMIFS(Input_APM!N:N,Input_APM!M:M,Check!$F$1,Input_APM!L:L,Check!B173))</f>
        <v/>
      </c>
      <c r="G173" s="233" t="str">
        <f>IF(B173="","",SUMIFS(Input_APM!N:N,Input_APM!M:M,Check!$G$1,Input_APM!L:L,Check!B173))</f>
        <v/>
      </c>
      <c r="H173" s="217" t="str">
        <f t="shared" si="55"/>
        <v/>
      </c>
      <c r="I173" s="217">
        <f>SUMIFS(Input_APM!N:N,Input_APM!L:L,Check!B173)</f>
        <v>0</v>
      </c>
      <c r="J173" s="219" t="str">
        <f t="shared" si="56"/>
        <v/>
      </c>
      <c r="K173" s="22" t="str">
        <f>IF(B173="","",SUMIFS('Input_APM (Zenith)'!N:N,'Input_APM (Zenith)'!L:L,Check!B173,'Input_APM (Zenith)'!M:M,Check!$F$1))</f>
        <v/>
      </c>
      <c r="L173" s="22" t="str">
        <f>IF(B173="","",SUMIFS('Input_APM (Zenith)'!N:N,'Input_APM (Zenith)'!L:L,Check!B173,'Input_APM (Zenith)'!M:M,Check!$G$1))</f>
        <v/>
      </c>
      <c r="M173" s="217" t="str">
        <f t="shared" si="57"/>
        <v/>
      </c>
      <c r="O173"/>
      <c r="P173" s="217" t="str">
        <f>IF(O173="","",IF(OR(LEFT(O173,4)="Cash",LEFT(O173,4)="Prov"),0,SUMIFS(Input_APM!N:N,Input_APM!L:L,Check!O173)))</f>
        <v/>
      </c>
      <c r="Q173" s="22" t="str">
        <f>IF(O173="","",IF(LEN(O173)&gt;9,SUMIFS(Options!$H$3:$H$26,Options!$B$3:$B$26,Check!O173),SUMIFS('Master P&amp;L'!$H$11:$H$93,'Master P&amp;L'!$B$11:$B$93,Check!O173)))</f>
        <v/>
      </c>
      <c r="R173" s="217" t="str">
        <f t="shared" si="53"/>
        <v/>
      </c>
      <c r="S173" s="361" t="str">
        <f t="shared" si="37"/>
        <v/>
      </c>
    </row>
    <row r="174" spans="3:19">
      <c r="C174" s="233" t="str">
        <f>IF(B174="","",IF(LEN(B174)&gt;9,SUMIFS(Options!$H$3:$H$26,Options!$B$3:$B$26,Check!B174),SUMIFS('Master P&amp;L'!$H$11:$H$93,'Master P&amp;L'!$B$11:$B$93,Check!B174)))</f>
        <v/>
      </c>
      <c r="D174" s="233" t="str">
        <f>IF(B174="","",SUMIFS(Input_APM!N:N,Input_APM!L:L,Check!B174,Input_APM!M:M,Check!$F$1))</f>
        <v/>
      </c>
      <c r="E174" s="217" t="str">
        <f t="shared" si="54"/>
        <v/>
      </c>
      <c r="F174" s="233" t="str">
        <f>IF(B174="","",SUMIFS(Input_APM!N:N,Input_APM!M:M,Check!$F$1,Input_APM!L:L,Check!B174))</f>
        <v/>
      </c>
      <c r="G174" s="233" t="str">
        <f>IF(B174="","",SUMIFS(Input_APM!N:N,Input_APM!M:M,Check!$G$1,Input_APM!L:L,Check!B174))</f>
        <v/>
      </c>
      <c r="H174" s="217" t="str">
        <f t="shared" si="55"/>
        <v/>
      </c>
      <c r="I174" s="217">
        <f>SUMIFS(Input_APM!N:N,Input_APM!L:L,Check!B174)</f>
        <v>0</v>
      </c>
      <c r="J174" s="219" t="str">
        <f t="shared" si="56"/>
        <v/>
      </c>
      <c r="K174" s="22" t="str">
        <f>IF(B174="","",SUMIFS('Input_APM (Zenith)'!N:N,'Input_APM (Zenith)'!L:L,Check!B174,'Input_APM (Zenith)'!M:M,Check!$F$1))</f>
        <v/>
      </c>
      <c r="L174" s="22" t="str">
        <f>IF(B174="","",SUMIFS('Input_APM (Zenith)'!N:N,'Input_APM (Zenith)'!L:L,Check!B174,'Input_APM (Zenith)'!M:M,Check!$G$1))</f>
        <v/>
      </c>
      <c r="M174" s="217" t="str">
        <f t="shared" si="57"/>
        <v/>
      </c>
      <c r="O174"/>
      <c r="P174" s="217" t="str">
        <f>IF(O174="","",IF(OR(LEFT(O174,4)="Cash",LEFT(O174,4)="Prov"),0,SUMIFS(Input_APM!N:N,Input_APM!L:L,Check!O174)))</f>
        <v/>
      </c>
      <c r="Q174" s="22" t="str">
        <f>IF(O174="","",IF(LEN(O174)&gt;9,SUMIFS(Options!$H$3:$H$26,Options!$B$3:$B$26,Check!O174),SUMIFS('Master P&amp;L'!$H$11:$H$93,'Master P&amp;L'!$B$11:$B$93,Check!O174)))</f>
        <v/>
      </c>
      <c r="R174" s="217" t="str">
        <f t="shared" si="53"/>
        <v/>
      </c>
      <c r="S174" s="361" t="str">
        <f t="shared" si="37"/>
        <v/>
      </c>
    </row>
    <row r="175" spans="3:19">
      <c r="C175" s="233" t="str">
        <f>IF(B175="","",IF(LEN(B175)&gt;9,SUMIFS(Options!$H$3:$H$26,Options!$B$3:$B$26,Check!B175),SUMIFS('Master P&amp;L'!$H$11:$H$93,'Master P&amp;L'!$B$11:$B$93,Check!B175)))</f>
        <v/>
      </c>
      <c r="D175" s="233" t="str">
        <f>IF(B175="","",SUMIFS(Input_APM!N:N,Input_APM!L:L,Check!B175,Input_APM!M:M,Check!$F$1))</f>
        <v/>
      </c>
      <c r="E175" s="217" t="str">
        <f t="shared" si="54"/>
        <v/>
      </c>
      <c r="F175" s="233" t="str">
        <f>IF(B175="","",SUMIFS(Input_APM!N:N,Input_APM!M:M,Check!$F$1,Input_APM!L:L,Check!B175))</f>
        <v/>
      </c>
      <c r="G175" s="233" t="str">
        <f>IF(B175="","",SUMIFS(Input_APM!N:N,Input_APM!M:M,Check!$G$1,Input_APM!L:L,Check!B175))</f>
        <v/>
      </c>
      <c r="H175" s="217" t="str">
        <f t="shared" si="55"/>
        <v/>
      </c>
      <c r="I175" s="217">
        <f>SUMIFS(Input_APM!N:N,Input_APM!L:L,Check!B175)</f>
        <v>0</v>
      </c>
      <c r="J175" s="219" t="str">
        <f t="shared" si="56"/>
        <v/>
      </c>
      <c r="K175" s="22" t="str">
        <f>IF(B175="","",SUMIFS('Input_APM (Zenith)'!N:N,'Input_APM (Zenith)'!L:L,Check!B175,'Input_APM (Zenith)'!M:M,Check!$F$1))</f>
        <v/>
      </c>
      <c r="L175" s="22" t="str">
        <f>IF(B175="","",SUMIFS('Input_APM (Zenith)'!N:N,'Input_APM (Zenith)'!L:L,Check!B175,'Input_APM (Zenith)'!M:M,Check!$G$1))</f>
        <v/>
      </c>
      <c r="M175" s="217" t="str">
        <f t="shared" si="57"/>
        <v/>
      </c>
      <c r="O175"/>
      <c r="P175" s="217" t="str">
        <f>IF(O175="","",IF(OR(LEFT(O175,4)="Cash",LEFT(O175,4)="Prov"),0,SUMIFS(Input_APM!N:N,Input_APM!L:L,Check!O175)))</f>
        <v/>
      </c>
      <c r="Q175" s="22" t="str">
        <f>IF(O175="","",IF(LEN(O175)&gt;9,SUMIFS(Options!$H$3:$H$26,Options!$B$3:$B$26,Check!O175),SUMIFS('Master P&amp;L'!$H$11:$H$93,'Master P&amp;L'!$B$11:$B$93,Check!O175)))</f>
        <v/>
      </c>
      <c r="R175" s="217" t="str">
        <f t="shared" si="53"/>
        <v/>
      </c>
      <c r="S175" s="361" t="str">
        <f t="shared" si="37"/>
        <v/>
      </c>
    </row>
    <row r="176" spans="3:19">
      <c r="C176" s="233" t="str">
        <f>IF(B176="","",IF(LEN(B176)&gt;9,SUMIFS(Options!$H$3:$H$26,Options!$B$3:$B$26,Check!B176),SUMIFS('Master P&amp;L'!$H$11:$H$93,'Master P&amp;L'!$B$11:$B$93,Check!B176)))</f>
        <v/>
      </c>
      <c r="D176" s="233" t="str">
        <f>IF(B176="","",SUMIFS(Input_APM!N:N,Input_APM!L:L,Check!B176,Input_APM!M:M,Check!$F$1))</f>
        <v/>
      </c>
      <c r="E176" s="217" t="str">
        <f t="shared" ref="E176:E183" si="58">IF(B176="","",C176-M176)</f>
        <v/>
      </c>
      <c r="F176" s="233" t="str">
        <f>IF(B176="","",SUMIFS(Input_APM!N:N,Input_APM!M:M,Check!$F$1,Input_APM!L:L,Check!B176))</f>
        <v/>
      </c>
      <c r="G176" s="233" t="str">
        <f>IF(B176="","",SUMIFS(Input_APM!N:N,Input_APM!M:M,Check!$G$1,Input_APM!L:L,Check!B176))</f>
        <v/>
      </c>
      <c r="H176" s="217" t="str">
        <f t="shared" ref="H176:H183" si="59">IF(B176="","",F176-G176)</f>
        <v/>
      </c>
      <c r="I176" s="217">
        <f>SUMIFS(Input_APM!N:N,Input_APM!L:L,Check!B176)</f>
        <v>0</v>
      </c>
      <c r="J176" s="219" t="str">
        <f t="shared" ref="J176:J183" si="60">IF(B176="","",(F176+G176)-I176)</f>
        <v/>
      </c>
      <c r="K176" s="22" t="str">
        <f>IF(B176="","",SUMIFS('Input_APM (Zenith)'!N:N,'Input_APM (Zenith)'!L:L,Check!B176,'Input_APM (Zenith)'!M:M,Check!$F$1))</f>
        <v/>
      </c>
      <c r="L176" s="22" t="str">
        <f>IF(B176="","",SUMIFS('Input_APM (Zenith)'!N:N,'Input_APM (Zenith)'!L:L,Check!B176,'Input_APM (Zenith)'!M:M,Check!$G$1))</f>
        <v/>
      </c>
      <c r="M176" s="217" t="str">
        <f t="shared" ref="M176:M183" si="61">IF(B176="","",F176+G176+K176+L176)</f>
        <v/>
      </c>
      <c r="O176"/>
      <c r="P176" s="217" t="str">
        <f>IF(O176="","",IF(OR(LEFT(O176,4)="Cash",LEFT(O176,4)="Prov"),0,SUMIFS(Input_APM!N:N,Input_APM!L:L,Check!O176)))</f>
        <v/>
      </c>
      <c r="Q176" s="22" t="str">
        <f>IF(O176="","",IF(LEN(O176)&gt;9,SUMIFS(Options!$H$3:$H$26,Options!$B$3:$B$26,Check!O176),SUMIFS('Master P&amp;L'!$H$11:$H$93,'Master P&amp;L'!$B$11:$B$93,Check!O176)))</f>
        <v/>
      </c>
      <c r="R176" s="217" t="str">
        <f t="shared" si="53"/>
        <v/>
      </c>
      <c r="S176" s="361" t="str">
        <f t="shared" si="37"/>
        <v/>
      </c>
    </row>
    <row r="177" spans="3:19">
      <c r="C177" s="233" t="str">
        <f>IF(B177="","",IF(LEN(B177)&gt;9,SUMIFS(Options!$H$3:$H$26,Options!$B$3:$B$26,Check!B177),SUMIFS('Master P&amp;L'!$H$11:$H$93,'Master P&amp;L'!$B$11:$B$93,Check!B177)))</f>
        <v/>
      </c>
      <c r="D177" s="233" t="str">
        <f>IF(B177="","",SUMIFS(Input_APM!N:N,Input_APM!L:L,Check!B177,Input_APM!M:M,Check!$F$1))</f>
        <v/>
      </c>
      <c r="E177" s="217" t="str">
        <f t="shared" si="58"/>
        <v/>
      </c>
      <c r="F177" s="233" t="str">
        <f>IF(B177="","",SUMIFS(Input_APM!N:N,Input_APM!M:M,Check!$F$1,Input_APM!L:L,Check!B177))</f>
        <v/>
      </c>
      <c r="G177" s="233" t="str">
        <f>IF(B177="","",SUMIFS(Input_APM!N:N,Input_APM!M:M,Check!$G$1,Input_APM!L:L,Check!B177))</f>
        <v/>
      </c>
      <c r="H177" s="217" t="str">
        <f t="shared" si="59"/>
        <v/>
      </c>
      <c r="I177" s="217">
        <f>SUMIFS(Input_APM!N:N,Input_APM!L:L,Check!B177)</f>
        <v>0</v>
      </c>
      <c r="J177" s="219" t="str">
        <f t="shared" si="60"/>
        <v/>
      </c>
      <c r="K177" s="22" t="str">
        <f>IF(B177="","",SUMIFS('Input_APM (Zenith)'!N:N,'Input_APM (Zenith)'!L:L,Check!B177,'Input_APM (Zenith)'!M:M,Check!$F$1))</f>
        <v/>
      </c>
      <c r="L177" s="22" t="str">
        <f>IF(B177="","",SUMIFS('Input_APM (Zenith)'!N:N,'Input_APM (Zenith)'!L:L,Check!B177,'Input_APM (Zenith)'!M:M,Check!$G$1))</f>
        <v/>
      </c>
      <c r="M177" s="217" t="str">
        <f t="shared" si="61"/>
        <v/>
      </c>
      <c r="O177"/>
      <c r="P177" s="217" t="str">
        <f>IF(O177="","",IF(OR(LEFT(O177,4)="Cash",LEFT(O177,4)="Prov"),0,SUMIFS(Input_APM!N:N,Input_APM!L:L,Check!O177)))</f>
        <v/>
      </c>
      <c r="Q177" s="22" t="str">
        <f>IF(O177="","",IF(LEN(O177)&gt;9,SUMIFS(Options!$H$3:$H$26,Options!$B$3:$B$26,Check!O177),SUMIFS('Master P&amp;L'!$H$11:$H$93,'Master P&amp;L'!$B$11:$B$93,Check!O177)))</f>
        <v/>
      </c>
      <c r="R177" s="217" t="str">
        <f t="shared" si="53"/>
        <v/>
      </c>
      <c r="S177" s="361" t="str">
        <f t="shared" si="37"/>
        <v/>
      </c>
    </row>
    <row r="178" spans="3:19">
      <c r="C178" s="233" t="str">
        <f>IF(B178="","",IF(LEN(B178)&gt;9,SUMIFS(Options!$H$3:$H$26,Options!$B$3:$B$26,Check!B178),SUMIFS('Master P&amp;L'!$H$11:$H$93,'Master P&amp;L'!$B$11:$B$93,Check!B178)))</f>
        <v/>
      </c>
      <c r="D178" s="233" t="str">
        <f>IF(B178="","",SUMIFS(Input_APM!N:N,Input_APM!L:L,Check!B178,Input_APM!M:M,Check!$F$1))</f>
        <v/>
      </c>
      <c r="E178" s="217" t="str">
        <f t="shared" si="58"/>
        <v/>
      </c>
      <c r="F178" s="233" t="str">
        <f>IF(B178="","",SUMIFS(Input_APM!N:N,Input_APM!M:M,Check!$F$1,Input_APM!L:L,Check!B178))</f>
        <v/>
      </c>
      <c r="G178" s="233" t="str">
        <f>IF(B178="","",SUMIFS(Input_APM!N:N,Input_APM!M:M,Check!$G$1,Input_APM!L:L,Check!B178))</f>
        <v/>
      </c>
      <c r="H178" s="217" t="str">
        <f t="shared" si="59"/>
        <v/>
      </c>
      <c r="I178" s="217">
        <f>SUMIFS(Input_APM!N:N,Input_APM!L:L,Check!B178)</f>
        <v>0</v>
      </c>
      <c r="J178" s="219" t="str">
        <f t="shared" si="60"/>
        <v/>
      </c>
      <c r="K178" s="22" t="str">
        <f>IF(B178="","",SUMIFS('Input_APM (Zenith)'!N:N,'Input_APM (Zenith)'!L:L,Check!B178,'Input_APM (Zenith)'!M:M,Check!$F$1))</f>
        <v/>
      </c>
      <c r="L178" s="22" t="str">
        <f>IF(B178="","",SUMIFS('Input_APM (Zenith)'!N:N,'Input_APM (Zenith)'!L:L,Check!B178,'Input_APM (Zenith)'!M:M,Check!$G$1))</f>
        <v/>
      </c>
      <c r="M178" s="217" t="str">
        <f t="shared" si="61"/>
        <v/>
      </c>
      <c r="O178"/>
      <c r="P178" s="217" t="str">
        <f>IF(O178="","",IF(OR(LEFT(O178,4)="Cash",LEFT(O178,4)="Prov"),0,SUMIFS(Input_APM!N:N,Input_APM!L:L,Check!O178)))</f>
        <v/>
      </c>
      <c r="Q178" s="22" t="str">
        <f>IF(O178="","",IF(LEN(O178)&gt;9,SUMIFS(Options!$H$3:$H$26,Options!$B$3:$B$26,Check!O178),SUMIFS('Master P&amp;L'!$H$11:$H$93,'Master P&amp;L'!$B$11:$B$93,Check!O178)))</f>
        <v/>
      </c>
      <c r="R178" s="217" t="str">
        <f t="shared" ref="R178:R183" si="62">IF(O178="","",P178-Q178)</f>
        <v/>
      </c>
      <c r="S178" s="361" t="str">
        <f t="shared" si="37"/>
        <v/>
      </c>
    </row>
    <row r="179" spans="3:19">
      <c r="C179" s="233" t="str">
        <f>IF(B179="","",IF(LEN(B179)&gt;9,SUMIFS(Options!$H$3:$H$26,Options!$B$3:$B$26,Check!B179),SUMIFS('Master P&amp;L'!$H$11:$H$93,'Master P&amp;L'!$B$11:$B$93,Check!B179)))</f>
        <v/>
      </c>
      <c r="D179" s="233" t="str">
        <f>IF(B179="","",SUMIFS(Input_APM!N:N,Input_APM!L:L,Check!B179,Input_APM!M:M,Check!$F$1))</f>
        <v/>
      </c>
      <c r="E179" s="217" t="str">
        <f t="shared" si="58"/>
        <v/>
      </c>
      <c r="F179" s="233" t="str">
        <f>IF(B179="","",SUMIFS(Input_APM!N:N,Input_APM!M:M,Check!$F$1,Input_APM!L:L,Check!B179))</f>
        <v/>
      </c>
      <c r="G179" s="233" t="str">
        <f>IF(B179="","",SUMIFS(Input_APM!N:N,Input_APM!M:M,Check!$G$1,Input_APM!L:L,Check!B179))</f>
        <v/>
      </c>
      <c r="H179" s="217" t="str">
        <f t="shared" si="59"/>
        <v/>
      </c>
      <c r="I179" s="217">
        <f>SUMIFS(Input_APM!N:N,Input_APM!L:L,Check!B179)</f>
        <v>0</v>
      </c>
      <c r="J179" s="219" t="str">
        <f t="shared" si="60"/>
        <v/>
      </c>
      <c r="K179" s="22" t="str">
        <f>IF(B179="","",SUMIFS('Input_APM (Zenith)'!N:N,'Input_APM (Zenith)'!L:L,Check!B179,'Input_APM (Zenith)'!M:M,Check!$F$1))</f>
        <v/>
      </c>
      <c r="L179" s="22" t="str">
        <f>IF(B179="","",SUMIFS('Input_APM (Zenith)'!N:N,'Input_APM (Zenith)'!L:L,Check!B179,'Input_APM (Zenith)'!M:M,Check!$G$1))</f>
        <v/>
      </c>
      <c r="M179" s="217" t="str">
        <f t="shared" si="61"/>
        <v/>
      </c>
      <c r="O179"/>
      <c r="P179" s="217" t="str">
        <f>IF(O179="","",IF(OR(LEFT(O179,4)="Cash",LEFT(O179,4)="Prov"),0,SUMIFS(Input_APM!N:N,Input_APM!L:L,Check!O179)))</f>
        <v/>
      </c>
      <c r="Q179" s="22" t="str">
        <f>IF(O179="","",IF(LEN(O179)&gt;9,SUMIFS(Options!$H$3:$H$26,Options!$B$3:$B$26,Check!O179),SUMIFS('Master P&amp;L'!$H$11:$H$93,'Master P&amp;L'!$B$11:$B$93,Check!O179)))</f>
        <v/>
      </c>
      <c r="R179" s="217" t="str">
        <f t="shared" si="62"/>
        <v/>
      </c>
      <c r="S179" s="361" t="str">
        <f t="shared" si="37"/>
        <v/>
      </c>
    </row>
    <row r="180" spans="3:19">
      <c r="C180" s="233" t="str">
        <f>IF(B180="","",IF(LEN(B180)&gt;9,SUMIFS(Options!$H$3:$H$26,Options!$B$3:$B$26,Check!B180),SUMIFS('Master P&amp;L'!$H$11:$H$93,'Master P&amp;L'!$B$11:$B$93,Check!B180)))</f>
        <v/>
      </c>
      <c r="D180" s="233" t="str">
        <f>IF(B180="","",SUMIFS(Input_APM!N:N,Input_APM!L:L,Check!B180,Input_APM!M:M,Check!$F$1))</f>
        <v/>
      </c>
      <c r="E180" s="217" t="str">
        <f t="shared" si="58"/>
        <v/>
      </c>
      <c r="F180" s="233" t="str">
        <f>IF(B180="","",SUMIFS(Input_APM!N:N,Input_APM!M:M,Check!$F$1,Input_APM!L:L,Check!B180))</f>
        <v/>
      </c>
      <c r="G180" s="233" t="str">
        <f>IF(B180="","",SUMIFS(Input_APM!N:N,Input_APM!M:M,Check!$G$1,Input_APM!L:L,Check!B180))</f>
        <v/>
      </c>
      <c r="H180" s="217" t="str">
        <f t="shared" si="59"/>
        <v/>
      </c>
      <c r="I180" s="217">
        <f>SUMIFS(Input_APM!N:N,Input_APM!L:L,Check!B180)</f>
        <v>0</v>
      </c>
      <c r="J180" s="219" t="str">
        <f t="shared" si="60"/>
        <v/>
      </c>
      <c r="K180" s="22" t="str">
        <f>IF(B180="","",SUMIFS('Input_APM (Zenith)'!N:N,'Input_APM (Zenith)'!L:L,Check!B180,'Input_APM (Zenith)'!M:M,Check!$F$1))</f>
        <v/>
      </c>
      <c r="L180" s="22" t="str">
        <f>IF(B180="","",SUMIFS('Input_APM (Zenith)'!N:N,'Input_APM (Zenith)'!L:L,Check!B180,'Input_APM (Zenith)'!M:M,Check!$G$1))</f>
        <v/>
      </c>
      <c r="M180" s="217" t="str">
        <f t="shared" si="61"/>
        <v/>
      </c>
      <c r="O180"/>
      <c r="P180" s="217" t="str">
        <f>IF(O180="","",IF(OR(LEFT(O180,4)="Cash",LEFT(O180,4)="Prov"),0,SUMIFS(Input_APM!N:N,Input_APM!L:L,Check!O180)))</f>
        <v/>
      </c>
      <c r="Q180" s="22" t="str">
        <f>IF(O180="","",IF(LEN(O180)&gt;9,SUMIFS(Options!$H$3:$H$26,Options!$B$3:$B$26,Check!O180),SUMIFS('Master P&amp;L'!$H$11:$H$93,'Master P&amp;L'!$B$11:$B$93,Check!O180)))</f>
        <v/>
      </c>
      <c r="R180" s="217" t="str">
        <f t="shared" si="62"/>
        <v/>
      </c>
      <c r="S180" s="361" t="str">
        <f t="shared" si="37"/>
        <v/>
      </c>
    </row>
    <row r="181" spans="3:19">
      <c r="C181" s="233" t="str">
        <f>IF(B181="","",IF(LEN(B181)&gt;9,SUMIFS(Options!$H$3:$H$26,Options!$B$3:$B$26,Check!B181),SUMIFS('Master P&amp;L'!$H$11:$H$93,'Master P&amp;L'!$B$11:$B$93,Check!B181)))</f>
        <v/>
      </c>
      <c r="D181" s="233" t="str">
        <f>IF(B181="","",SUMIFS(Input_APM!N:N,Input_APM!L:L,Check!B181,Input_APM!M:M,Check!$F$1))</f>
        <v/>
      </c>
      <c r="E181" s="217" t="str">
        <f t="shared" si="58"/>
        <v/>
      </c>
      <c r="F181" s="233" t="str">
        <f>IF(B181="","",SUMIFS(Input_APM!N:N,Input_APM!M:M,Check!$F$1,Input_APM!L:L,Check!B181))</f>
        <v/>
      </c>
      <c r="G181" s="233" t="str">
        <f>IF(B181="","",SUMIFS(Input_APM!N:N,Input_APM!M:M,Check!$G$1,Input_APM!L:L,Check!B181))</f>
        <v/>
      </c>
      <c r="H181" s="217" t="str">
        <f t="shared" si="59"/>
        <v/>
      </c>
      <c r="I181" s="217">
        <f>SUMIFS(Input_APM!N:N,Input_APM!L:L,Check!B181)</f>
        <v>0</v>
      </c>
      <c r="J181" s="219" t="str">
        <f t="shared" si="60"/>
        <v/>
      </c>
      <c r="K181" s="22" t="str">
        <f>IF(B181="","",SUMIFS('Input_APM (Zenith)'!N:N,'Input_APM (Zenith)'!L:L,Check!B181,'Input_APM (Zenith)'!M:M,Check!$F$1))</f>
        <v/>
      </c>
      <c r="L181" s="22" t="str">
        <f>IF(B181="","",SUMIFS('Input_APM (Zenith)'!N:N,'Input_APM (Zenith)'!L:L,Check!B181,'Input_APM (Zenith)'!M:M,Check!$G$1))</f>
        <v/>
      </c>
      <c r="M181" s="217" t="str">
        <f t="shared" si="61"/>
        <v/>
      </c>
      <c r="O181"/>
      <c r="P181" s="217" t="str">
        <f>IF(O181="","",IF(OR(LEFT(O181,4)="Cash",LEFT(O181,4)="Prov"),0,SUMIFS(Input_APM!N:N,Input_APM!L:L,Check!O181)))</f>
        <v/>
      </c>
      <c r="Q181" s="22" t="str">
        <f>IF(O181="","",IF(LEN(O181)&gt;9,SUMIFS(Options!$H$3:$H$26,Options!$B$3:$B$26,Check!O181),SUMIFS('Master P&amp;L'!$H$11:$H$93,'Master P&amp;L'!$B$11:$B$93,Check!O181)))</f>
        <v/>
      </c>
      <c r="R181" s="217" t="str">
        <f t="shared" si="62"/>
        <v/>
      </c>
      <c r="S181" s="361" t="str">
        <f t="shared" si="37"/>
        <v/>
      </c>
    </row>
    <row r="182" spans="3:19">
      <c r="C182" s="233" t="str">
        <f>IF(B182="","",IF(LEN(B182)&gt;9,SUMIFS(Options!$H$3:$H$26,Options!$B$3:$B$26,Check!B182),SUMIFS('Master P&amp;L'!$H$11:$H$93,'Master P&amp;L'!$B$11:$B$93,Check!B182)))</f>
        <v/>
      </c>
      <c r="D182" s="233" t="str">
        <f>IF(B182="","",SUMIFS(Input_APM!N:N,Input_APM!L:L,Check!B182,Input_APM!M:M,Check!$F$1))</f>
        <v/>
      </c>
      <c r="E182" s="217" t="str">
        <f t="shared" si="58"/>
        <v/>
      </c>
      <c r="F182" s="233" t="str">
        <f>IF(B182="","",SUMIFS(Input_APM!N:N,Input_APM!M:M,Check!$F$1,Input_APM!L:L,Check!B182))</f>
        <v/>
      </c>
      <c r="G182" s="233" t="str">
        <f>IF(B182="","",SUMIFS(Input_APM!N:N,Input_APM!M:M,Check!$G$1,Input_APM!L:L,Check!B182))</f>
        <v/>
      </c>
      <c r="H182" s="217" t="str">
        <f t="shared" si="59"/>
        <v/>
      </c>
      <c r="I182" s="217">
        <f>SUMIFS(Input_APM!N:N,Input_APM!L:L,Check!B182)</f>
        <v>0</v>
      </c>
      <c r="J182" s="219" t="str">
        <f t="shared" si="60"/>
        <v/>
      </c>
      <c r="K182" s="22" t="str">
        <f>IF(B182="","",SUMIFS('Input_APM (Zenith)'!N:N,'Input_APM (Zenith)'!L:L,Check!B182,'Input_APM (Zenith)'!M:M,Check!$F$1))</f>
        <v/>
      </c>
      <c r="L182" s="22" t="str">
        <f>IF(B182="","",SUMIFS('Input_APM (Zenith)'!N:N,'Input_APM (Zenith)'!L:L,Check!B182,'Input_APM (Zenith)'!M:M,Check!$G$1))</f>
        <v/>
      </c>
      <c r="M182" s="217" t="str">
        <f t="shared" si="61"/>
        <v/>
      </c>
      <c r="O182"/>
      <c r="P182" s="217" t="str">
        <f>IF(O182="","",IF(OR(LEFT(O182,4)="Cash",LEFT(O182,4)="Prov"),0,SUMIFS(Input_APM!N:N,Input_APM!L:L,Check!O182)))</f>
        <v/>
      </c>
      <c r="Q182" s="22" t="str">
        <f>IF(O182="","",IF(LEN(O182)&gt;9,SUMIFS(Options!$H$3:$H$26,Options!$B$3:$B$26,Check!O182),SUMIFS('Master P&amp;L'!$H$11:$H$93,'Master P&amp;L'!$B$11:$B$93,Check!O182)))</f>
        <v/>
      </c>
      <c r="R182" s="217" t="str">
        <f t="shared" si="62"/>
        <v/>
      </c>
      <c r="S182" s="361" t="str">
        <f t="shared" si="37"/>
        <v/>
      </c>
    </row>
    <row r="183" spans="3:19">
      <c r="C183" s="233" t="str">
        <f>IF(B183="","",IF(LEN(B183)&gt;9,SUMIFS(Options!$H$3:$H$26,Options!$B$3:$B$26,Check!B183),SUMIFS('Master P&amp;L'!$H$11:$H$93,'Master P&amp;L'!$B$11:$B$93,Check!B183)))</f>
        <v/>
      </c>
      <c r="D183" s="233" t="str">
        <f>IF(B183="","",SUMIFS(Input_APM!N:N,Input_APM!L:L,Check!B183,Input_APM!M:M,Check!$F$1))</f>
        <v/>
      </c>
      <c r="E183" s="217" t="str">
        <f t="shared" si="58"/>
        <v/>
      </c>
      <c r="F183" s="233" t="str">
        <f>IF(B183="","",SUMIFS(Input_APM!N:N,Input_APM!M:M,Check!$F$1,Input_APM!L:L,Check!B183))</f>
        <v/>
      </c>
      <c r="G183" s="233" t="str">
        <f>IF(B183="","",SUMIFS(Input_APM!N:N,Input_APM!M:M,Check!$G$1,Input_APM!L:L,Check!B183))</f>
        <v/>
      </c>
      <c r="H183" s="217" t="str">
        <f t="shared" si="59"/>
        <v/>
      </c>
      <c r="I183" s="217">
        <f>SUMIFS(Input_APM!N:N,Input_APM!L:L,Check!B183)</f>
        <v>0</v>
      </c>
      <c r="J183" s="219" t="str">
        <f t="shared" si="60"/>
        <v/>
      </c>
      <c r="K183" s="22" t="str">
        <f>IF(B183="","",SUMIFS('Input_APM (Zenith)'!N:N,'Input_APM (Zenith)'!L:L,Check!B183,'Input_APM (Zenith)'!M:M,Check!$F$1))</f>
        <v/>
      </c>
      <c r="L183" s="22" t="str">
        <f>IF(B183="","",SUMIFS('Input_APM (Zenith)'!N:N,'Input_APM (Zenith)'!L:L,Check!B183,'Input_APM (Zenith)'!M:M,Check!$G$1))</f>
        <v/>
      </c>
      <c r="M183" s="217" t="str">
        <f t="shared" si="61"/>
        <v/>
      </c>
      <c r="O183"/>
      <c r="P183" s="217" t="str">
        <f>IF(O183="","",IF(OR(LEFT(O183,4)="Cash",LEFT(O183,4)="Prov"),0,SUMIFS(Input_APM!N:N,Input_APM!L:L,Check!O183)))</f>
        <v/>
      </c>
      <c r="Q183" s="22" t="str">
        <f>IF(O183="","",IF(LEN(O183)&gt;9,SUMIFS(Options!$H$3:$H$26,Options!$B$3:$B$26,Check!O183),SUMIFS('Master P&amp;L'!$H$11:$H$93,'Master P&amp;L'!$B$11:$B$93,Check!O183)))</f>
        <v/>
      </c>
      <c r="R183" s="217" t="str">
        <f t="shared" si="62"/>
        <v/>
      </c>
      <c r="S183" s="361" t="str">
        <f t="shared" si="37"/>
        <v/>
      </c>
    </row>
    <row r="184" spans="3:19">
      <c r="C184" s="233" t="str">
        <f>IF(B184="","",IF(LEN(B184)&gt;9,SUMIFS(Options!$H$3:$H$26,Options!$B$3:$B$26,Check!B184),SUMIFS('Master P&amp;L'!$H$11:$H$93,'Master P&amp;L'!$B$11:$B$93,Check!B184)))</f>
        <v/>
      </c>
      <c r="D184" s="233" t="str">
        <f>IF(B184="","",SUMIFS(Input_APM!N:N,Input_APM!L:L,Check!B184,Input_APM!M:M,Check!$F$1))</f>
        <v/>
      </c>
      <c r="E184" s="217" t="str">
        <f t="shared" ref="E184:E191" si="63">IF(B184="","",C184-M184)</f>
        <v/>
      </c>
      <c r="F184" s="233" t="str">
        <f>IF(B184="","",SUMIFS(Input_APM!N:N,Input_APM!M:M,Check!$F$1,Input_APM!L:L,Check!B184))</f>
        <v/>
      </c>
      <c r="G184" s="233" t="str">
        <f>IF(B184="","",SUMIFS(Input_APM!N:N,Input_APM!M:M,Check!$G$1,Input_APM!L:L,Check!B184))</f>
        <v/>
      </c>
      <c r="H184" s="217" t="str">
        <f t="shared" ref="H184:H191" si="64">IF(B184="","",F184-G184)</f>
        <v/>
      </c>
      <c r="I184" s="217">
        <f>SUMIFS(Input_APM!N:N,Input_APM!L:L,Check!B184)</f>
        <v>0</v>
      </c>
      <c r="J184" s="219" t="str">
        <f t="shared" ref="J184:J191" si="65">IF(B184="","",(F184+G184)-I184)</f>
        <v/>
      </c>
      <c r="K184" s="22" t="str">
        <f>IF(B184="","",SUMIFS('Input_APM (Zenith)'!N:N,'Input_APM (Zenith)'!L:L,Check!B184,'Input_APM (Zenith)'!M:M,Check!$F$1))</f>
        <v/>
      </c>
      <c r="L184" s="22" t="str">
        <f>IF(B184="","",SUMIFS('Input_APM (Zenith)'!N:N,'Input_APM (Zenith)'!L:L,Check!B184,'Input_APM (Zenith)'!M:M,Check!$G$1))</f>
        <v/>
      </c>
      <c r="M184" s="217" t="str">
        <f t="shared" ref="M184:M191" si="66">IF(B184="","",F184+G184+K184+L184)</f>
        <v/>
      </c>
      <c r="O184"/>
      <c r="P184" s="217" t="str">
        <f>IF(O184="","",IF(OR(LEFT(O184,4)="Cash",LEFT(O184,4)="Prov"),0,SUMIFS(Input_APM!N:N,Input_APM!L:L,Check!O184)))</f>
        <v/>
      </c>
      <c r="Q184" s="22" t="str">
        <f>IF(O184="","",IF(LEN(O184)&gt;9,SUMIFS(Options!$H$3:$H$26,Options!$B$3:$B$26,Check!O184),SUMIFS('Master P&amp;L'!$H$11:$H$93,'Master P&amp;L'!$B$11:$B$93,Check!O184)))</f>
        <v/>
      </c>
      <c r="R184" s="217" t="str">
        <f>IF(O184="","",P184-Q184)</f>
        <v/>
      </c>
      <c r="S184" s="361" t="str">
        <f t="shared" si="37"/>
        <v/>
      </c>
    </row>
    <row r="185" spans="3:19">
      <c r="C185" s="233" t="str">
        <f>IF(B185="","",IF(LEN(B185)&gt;9,SUMIFS(Options!$H$3:$H$26,Options!$B$3:$B$26,Check!B185),SUMIFS('Master P&amp;L'!$H$11:$H$93,'Master P&amp;L'!$B$11:$B$93,Check!B185)))</f>
        <v/>
      </c>
      <c r="D185" s="233" t="str">
        <f>IF(B185="","",SUMIFS(Input_APM!N:N,Input_APM!L:L,Check!B185,Input_APM!M:M,Check!$F$1))</f>
        <v/>
      </c>
      <c r="E185" s="217" t="str">
        <f t="shared" si="63"/>
        <v/>
      </c>
      <c r="F185" s="233" t="str">
        <f>IF(B185="","",SUMIFS(Input_APM!N:N,Input_APM!M:M,Check!$F$1,Input_APM!L:L,Check!B185))</f>
        <v/>
      </c>
      <c r="G185" s="233" t="str">
        <f>IF(B185="","",SUMIFS(Input_APM!N:N,Input_APM!M:M,Check!$G$1,Input_APM!L:L,Check!B185))</f>
        <v/>
      </c>
      <c r="H185" s="217" t="str">
        <f t="shared" si="64"/>
        <v/>
      </c>
      <c r="I185" s="217">
        <f>SUMIFS(Input_APM!N:N,Input_APM!L:L,Check!B185)</f>
        <v>0</v>
      </c>
      <c r="J185" s="219" t="str">
        <f t="shared" si="65"/>
        <v/>
      </c>
      <c r="K185" s="22" t="str">
        <f>IF(B185="","",SUMIFS('Input_APM (Zenith)'!N:N,'Input_APM (Zenith)'!L:L,Check!B185,'Input_APM (Zenith)'!M:M,Check!$F$1))</f>
        <v/>
      </c>
      <c r="L185" s="22" t="str">
        <f>IF(B185="","",SUMIFS('Input_APM (Zenith)'!N:N,'Input_APM (Zenith)'!L:L,Check!B185,'Input_APM (Zenith)'!M:M,Check!$G$1))</f>
        <v/>
      </c>
      <c r="M185" s="217" t="str">
        <f t="shared" si="66"/>
        <v/>
      </c>
      <c r="O185"/>
      <c r="P185" s="217" t="str">
        <f>IF(O185="","",IF(OR(LEFT(O185,4)="Cash",LEFT(O185,4)="Prov"),0,SUMIFS(Input_APM!N:N,Input_APM!L:L,Check!O185)))</f>
        <v/>
      </c>
      <c r="Q185" s="22" t="str">
        <f>IF(O185="","",IF(LEN(O185)&gt;9,SUMIFS(Options!$H$3:$H$26,Options!$B$3:$B$26,Check!O185),SUMIFS('Master P&amp;L'!$H$11:$H$93,'Master P&amp;L'!$B$11:$B$93,Check!O185)))</f>
        <v/>
      </c>
      <c r="R185" s="217" t="str">
        <f>IF(O185="","",P185-Q185)</f>
        <v/>
      </c>
      <c r="S185" s="361" t="str">
        <f t="shared" si="37"/>
        <v/>
      </c>
    </row>
    <row r="186" spans="3:19">
      <c r="C186" s="233" t="str">
        <f>IF(B186="","",IF(LEN(B186)&gt;9,SUMIFS(Options!$H$3:$H$26,Options!$B$3:$B$26,Check!B186),SUMIFS('Master P&amp;L'!$H$11:$H$93,'Master P&amp;L'!$B$11:$B$93,Check!B186)))</f>
        <v/>
      </c>
      <c r="D186" s="233" t="str">
        <f>IF(B186="","",SUMIFS(Input_APM!N:N,Input_APM!L:L,Check!B186,Input_APM!M:M,Check!$F$1))</f>
        <v/>
      </c>
      <c r="E186" s="217" t="str">
        <f t="shared" si="63"/>
        <v/>
      </c>
      <c r="F186" s="233" t="str">
        <f>IF(B186="","",SUMIFS(Input_APM!N:N,Input_APM!M:M,Check!$F$1,Input_APM!L:L,Check!B186))</f>
        <v/>
      </c>
      <c r="G186" s="233" t="str">
        <f>IF(B186="","",SUMIFS(Input_APM!N:N,Input_APM!M:M,Check!$G$1,Input_APM!L:L,Check!B186))</f>
        <v/>
      </c>
      <c r="H186" s="217" t="str">
        <f t="shared" si="64"/>
        <v/>
      </c>
      <c r="I186" s="217">
        <f>SUMIFS(Input_APM!N:N,Input_APM!L:L,Check!B186)</f>
        <v>0</v>
      </c>
      <c r="J186" s="219" t="str">
        <f t="shared" si="65"/>
        <v/>
      </c>
      <c r="K186" s="22" t="str">
        <f>IF(B186="","",SUMIFS('Input_APM (Zenith)'!N:N,'Input_APM (Zenith)'!L:L,Check!B186,'Input_APM (Zenith)'!M:M,Check!$F$1))</f>
        <v/>
      </c>
      <c r="L186" s="22" t="str">
        <f>IF(B186="","",SUMIFS('Input_APM (Zenith)'!N:N,'Input_APM (Zenith)'!L:L,Check!B186,'Input_APM (Zenith)'!M:M,Check!$G$1))</f>
        <v/>
      </c>
      <c r="M186" s="217" t="str">
        <f t="shared" si="66"/>
        <v/>
      </c>
      <c r="O186"/>
      <c r="P186" s="217" t="str">
        <f>IF(O186="","",IF(OR(LEFT(O186,4)="Cash",LEFT(O186,4)="Prov"),0,SUMIFS(Input_APM!N:N,Input_APM!L:L,Check!O186)))</f>
        <v/>
      </c>
      <c r="Q186" s="22" t="str">
        <f>IF(O186="","",IF(LEN(O186)&gt;9,SUMIFS(Options!$H$3:$H$26,Options!$B$3:$B$26,Check!O186),SUMIFS('Master P&amp;L'!$H$11:$H$93,'Master P&amp;L'!$B$11:$B$93,Check!O186)))</f>
        <v/>
      </c>
      <c r="R186" s="217" t="str">
        <f>IF(O186="","",P186-Q186)</f>
        <v/>
      </c>
      <c r="S186" s="361" t="str">
        <f t="shared" si="37"/>
        <v/>
      </c>
    </row>
    <row r="187" spans="3:19">
      <c r="C187" s="233" t="str">
        <f>IF(B187="","",IF(LEN(B187)&gt;9,SUMIFS(Options!$H$3:$H$26,Options!$B$3:$B$26,Check!B187),SUMIFS('Master P&amp;L'!$H$11:$H$93,'Master P&amp;L'!$B$11:$B$93,Check!B187)))</f>
        <v/>
      </c>
      <c r="D187" s="233" t="str">
        <f>IF(B187="","",SUMIFS(Input_APM!N:N,Input_APM!L:L,Check!B187,Input_APM!M:M,Check!$F$1))</f>
        <v/>
      </c>
      <c r="E187" s="217" t="str">
        <f t="shared" si="63"/>
        <v/>
      </c>
      <c r="F187" s="233" t="str">
        <f>IF(B187="","",SUMIFS(Input_APM!N:N,Input_APM!M:M,Check!$F$1,Input_APM!L:L,Check!B187))</f>
        <v/>
      </c>
      <c r="G187" s="233" t="str">
        <f>IF(B187="","",SUMIFS(Input_APM!N:N,Input_APM!M:M,Check!$G$1,Input_APM!L:L,Check!B187))</f>
        <v/>
      </c>
      <c r="H187" s="217" t="str">
        <f t="shared" si="64"/>
        <v/>
      </c>
      <c r="I187" s="217">
        <f>SUMIFS(Input_APM!N:N,Input_APM!L:L,Check!B187)</f>
        <v>0</v>
      </c>
      <c r="J187" s="219" t="str">
        <f t="shared" si="65"/>
        <v/>
      </c>
      <c r="K187" s="22" t="str">
        <f>IF(B187="","",SUMIFS('Input_APM (Zenith)'!N:N,'Input_APM (Zenith)'!L:L,Check!B187,'Input_APM (Zenith)'!M:M,Check!$F$1))</f>
        <v/>
      </c>
      <c r="L187" s="22" t="str">
        <f>IF(B187="","",SUMIFS('Input_APM (Zenith)'!N:N,'Input_APM (Zenith)'!L:L,Check!B187,'Input_APM (Zenith)'!M:M,Check!$G$1))</f>
        <v/>
      </c>
      <c r="M187" s="217" t="str">
        <f t="shared" si="66"/>
        <v/>
      </c>
      <c r="O187"/>
      <c r="P187" s="217" t="str">
        <f>IF(O187="","",IF(OR(LEFT(O187,4)="Cash",LEFT(O187,4)="Prov"),0,SUMIFS(Input_APM!N:N,Input_APM!L:L,Check!O187)))</f>
        <v/>
      </c>
      <c r="Q187" s="22" t="str">
        <f>IF(O187="","",IF(LEN(O187)&gt;9,SUMIFS(Options!$H$3:$H$26,Options!$B$3:$B$26,Check!O187),SUMIFS('Master P&amp;L'!$H$11:$H$93,'Master P&amp;L'!$B$11:$B$93,Check!O187)))</f>
        <v/>
      </c>
      <c r="R187" s="217" t="str">
        <f>IF(O187="","",P187-Q187)</f>
        <v/>
      </c>
      <c r="S187" s="361" t="str">
        <f t="shared" si="37"/>
        <v/>
      </c>
    </row>
    <row r="188" spans="3:19">
      <c r="C188" s="233" t="str">
        <f>IF(B188="","",IF(LEN(B188)&gt;9,SUMIFS(Options!$H$3:$H$26,Options!$B$3:$B$26,Check!B188),SUMIFS('Master P&amp;L'!$H$11:$H$93,'Master P&amp;L'!$B$11:$B$93,Check!B188)))</f>
        <v/>
      </c>
      <c r="D188" s="233" t="str">
        <f>IF(B188="","",SUMIFS(Input_APM!N:N,Input_APM!L:L,Check!B188,Input_APM!M:M,Check!$F$1))</f>
        <v/>
      </c>
      <c r="E188" s="217" t="str">
        <f t="shared" si="63"/>
        <v/>
      </c>
      <c r="F188" s="233" t="str">
        <f>IF(B188="","",SUMIFS(Input_APM!N:N,Input_APM!M:M,Check!$F$1,Input_APM!L:L,Check!B188))</f>
        <v/>
      </c>
      <c r="G188" s="233" t="str">
        <f>IF(B188="","",SUMIFS(Input_APM!N:N,Input_APM!M:M,Check!$G$1,Input_APM!L:L,Check!B188))</f>
        <v/>
      </c>
      <c r="H188" s="217" t="str">
        <f t="shared" si="64"/>
        <v/>
      </c>
      <c r="I188" s="217">
        <f>SUMIFS(Input_APM!N:N,Input_APM!L:L,Check!B188)</f>
        <v>0</v>
      </c>
      <c r="J188" s="219" t="str">
        <f t="shared" si="65"/>
        <v/>
      </c>
      <c r="K188" s="22" t="str">
        <f>IF(B188="","",SUMIFS('Input_APM (Zenith)'!N:N,'Input_APM (Zenith)'!L:L,Check!B188,'Input_APM (Zenith)'!M:M,Check!$F$1))</f>
        <v/>
      </c>
      <c r="L188" s="22" t="str">
        <f>IF(B188="","",SUMIFS('Input_APM (Zenith)'!N:N,'Input_APM (Zenith)'!L:L,Check!B188,'Input_APM (Zenith)'!M:M,Check!$G$1))</f>
        <v/>
      </c>
      <c r="M188" s="217" t="str">
        <f t="shared" si="66"/>
        <v/>
      </c>
      <c r="O188"/>
      <c r="P188" s="217" t="str">
        <f>IF(O188="","",IF(OR(LEFT(O188,4)="Cash",LEFT(O188,4)="Prov"),0,SUMIFS(Input_APM!N:N,Input_APM!L:L,Check!O188)))</f>
        <v/>
      </c>
      <c r="Q188" s="22" t="str">
        <f>IF(O188="","",IF(LEN(O188)&gt;9,SUMIFS(Options!$H$3:$H$26,Options!$B$3:$B$26,Check!O188),SUMIFS('Master P&amp;L'!$H$11:$H$93,'Master P&amp;L'!$B$11:$B$93,Check!O188)))</f>
        <v/>
      </c>
      <c r="R188" s="217" t="str">
        <f t="shared" ref="R188:R205" si="67">IF(O188="","",P188-Q188)</f>
        <v/>
      </c>
      <c r="S188" s="361" t="str">
        <f t="shared" si="37"/>
        <v/>
      </c>
    </row>
    <row r="189" spans="3:19">
      <c r="C189" s="233" t="str">
        <f>IF(B189="","",IF(LEN(B189)&gt;9,SUMIFS(Options!$H$3:$H$26,Options!$B$3:$B$26,Check!B189),SUMIFS('Master P&amp;L'!$H$11:$H$93,'Master P&amp;L'!$B$11:$B$93,Check!B189)))</f>
        <v/>
      </c>
      <c r="D189" s="233" t="str">
        <f>IF(B189="","",SUMIFS(Input_APM!N:N,Input_APM!L:L,Check!B189,Input_APM!M:M,Check!$F$1))</f>
        <v/>
      </c>
      <c r="E189" s="217" t="str">
        <f t="shared" si="63"/>
        <v/>
      </c>
      <c r="F189" s="233" t="str">
        <f>IF(B189="","",SUMIFS(Input_APM!N:N,Input_APM!M:M,Check!$F$1,Input_APM!L:L,Check!B189))</f>
        <v/>
      </c>
      <c r="G189" s="233" t="str">
        <f>IF(B189="","",SUMIFS(Input_APM!N:N,Input_APM!M:M,Check!$G$1,Input_APM!L:L,Check!B189))</f>
        <v/>
      </c>
      <c r="H189" s="217" t="str">
        <f t="shared" si="64"/>
        <v/>
      </c>
      <c r="I189" s="217">
        <f>SUMIFS(Input_APM!N:N,Input_APM!L:L,Check!B189)</f>
        <v>0</v>
      </c>
      <c r="J189" s="219" t="str">
        <f t="shared" si="65"/>
        <v/>
      </c>
      <c r="K189" s="22" t="str">
        <f>IF(B189="","",SUMIFS('Input_APM (Zenith)'!N:N,'Input_APM (Zenith)'!L:L,Check!B189,'Input_APM (Zenith)'!M:M,Check!$F$1))</f>
        <v/>
      </c>
      <c r="L189" s="22" t="str">
        <f>IF(B189="","",SUMIFS('Input_APM (Zenith)'!N:N,'Input_APM (Zenith)'!L:L,Check!B189,'Input_APM (Zenith)'!M:M,Check!$G$1))</f>
        <v/>
      </c>
      <c r="M189" s="217" t="str">
        <f t="shared" si="66"/>
        <v/>
      </c>
      <c r="O189"/>
      <c r="P189" s="217" t="str">
        <f>IF(O189="","",IF(OR(LEFT(O189,4)="Cash",LEFT(O189,4)="Prov"),0,SUMIFS(Input_APM!N:N,Input_APM!L:L,Check!O189)))</f>
        <v/>
      </c>
      <c r="Q189" s="22" t="str">
        <f>IF(O189="","",IF(LEN(O189)&gt;9,SUMIFS(Options!$H$3:$H$26,Options!$B$3:$B$26,Check!O189),SUMIFS('Master P&amp;L'!$H$11:$H$93,'Master P&amp;L'!$B$11:$B$93,Check!O189)))</f>
        <v/>
      </c>
      <c r="R189" s="217" t="str">
        <f t="shared" si="67"/>
        <v/>
      </c>
      <c r="S189" s="361" t="str">
        <f t="shared" si="37"/>
        <v/>
      </c>
    </row>
    <row r="190" spans="3:19">
      <c r="C190" s="233" t="str">
        <f>IF(B190="","",IF(LEN(B190)&gt;9,SUMIFS(Options!$H$3:$H$26,Options!$B$3:$B$26,Check!B190),SUMIFS('Master P&amp;L'!$H$11:$H$93,'Master P&amp;L'!$B$11:$B$93,Check!B190)))</f>
        <v/>
      </c>
      <c r="D190" s="233" t="str">
        <f>IF(B190="","",SUMIFS(Input_APM!N:N,Input_APM!L:L,Check!B190,Input_APM!M:M,Check!$F$1))</f>
        <v/>
      </c>
      <c r="E190" s="217" t="str">
        <f t="shared" si="63"/>
        <v/>
      </c>
      <c r="F190" s="233" t="str">
        <f>IF(B190="","",SUMIFS(Input_APM!N:N,Input_APM!M:M,Check!$F$1,Input_APM!L:L,Check!B190))</f>
        <v/>
      </c>
      <c r="G190" s="233" t="str">
        <f>IF(B190="","",SUMIFS(Input_APM!N:N,Input_APM!M:M,Check!$G$1,Input_APM!L:L,Check!B190))</f>
        <v/>
      </c>
      <c r="H190" s="217" t="str">
        <f t="shared" si="64"/>
        <v/>
      </c>
      <c r="I190" s="217">
        <f>SUMIFS(Input_APM!N:N,Input_APM!L:L,Check!B190)</f>
        <v>0</v>
      </c>
      <c r="J190" s="219" t="str">
        <f t="shared" si="65"/>
        <v/>
      </c>
      <c r="K190" s="22" t="str">
        <f>IF(B190="","",SUMIFS('Input_APM (Zenith)'!N:N,'Input_APM (Zenith)'!L:L,Check!B190,'Input_APM (Zenith)'!M:M,Check!$F$1))</f>
        <v/>
      </c>
      <c r="L190" s="22" t="str">
        <f>IF(B190="","",SUMIFS('Input_APM (Zenith)'!N:N,'Input_APM (Zenith)'!L:L,Check!B190,'Input_APM (Zenith)'!M:M,Check!$G$1))</f>
        <v/>
      </c>
      <c r="M190" s="217" t="str">
        <f t="shared" si="66"/>
        <v/>
      </c>
      <c r="O190"/>
      <c r="P190" s="217" t="str">
        <f>IF(O190="","",IF(OR(LEFT(O190,4)="Cash",LEFT(O190,4)="Prov"),0,SUMIFS(Input_APM!N:N,Input_APM!L:L,Check!O190)))</f>
        <v/>
      </c>
      <c r="Q190" s="22" t="str">
        <f>IF(O190="","",IF(LEN(O190)&gt;9,SUMIFS(Options!$H$3:$H$26,Options!$B$3:$B$26,Check!O190),SUMIFS('Master P&amp;L'!$H$11:$H$93,'Master P&amp;L'!$B$11:$B$93,Check!O190)))</f>
        <v/>
      </c>
      <c r="R190" s="217" t="str">
        <f t="shared" si="67"/>
        <v/>
      </c>
      <c r="S190" s="361" t="str">
        <f t="shared" si="37"/>
        <v/>
      </c>
    </row>
    <row r="191" spans="3:19">
      <c r="C191" s="233" t="str">
        <f>IF(B191="","",IF(LEN(B191)&gt;9,SUMIFS(Options!$H$3:$H$26,Options!$B$3:$B$26,Check!B191),SUMIFS('Master P&amp;L'!$H$11:$H$93,'Master P&amp;L'!$B$11:$B$93,Check!B191)))</f>
        <v/>
      </c>
      <c r="D191" s="233" t="str">
        <f>IF(B191="","",SUMIFS(Input_APM!N:N,Input_APM!L:L,Check!B191,Input_APM!M:M,Check!$F$1))</f>
        <v/>
      </c>
      <c r="E191" s="217" t="str">
        <f t="shared" si="63"/>
        <v/>
      </c>
      <c r="F191" s="233" t="str">
        <f>IF(B191="","",SUMIFS(Input_APM!N:N,Input_APM!M:M,Check!$F$1,Input_APM!L:L,Check!B191))</f>
        <v/>
      </c>
      <c r="G191" s="233" t="str">
        <f>IF(B191="","",SUMIFS(Input_APM!N:N,Input_APM!M:M,Check!$G$1,Input_APM!L:L,Check!B191))</f>
        <v/>
      </c>
      <c r="H191" s="217" t="str">
        <f t="shared" si="64"/>
        <v/>
      </c>
      <c r="I191" s="217">
        <f>SUMIFS(Input_APM!N:N,Input_APM!L:L,Check!B191)</f>
        <v>0</v>
      </c>
      <c r="J191" s="219" t="str">
        <f t="shared" si="65"/>
        <v/>
      </c>
      <c r="K191" s="22" t="str">
        <f>IF(B191="","",SUMIFS('Input_APM (Zenith)'!N:N,'Input_APM (Zenith)'!L:L,Check!B191,'Input_APM (Zenith)'!M:M,Check!$F$1))</f>
        <v/>
      </c>
      <c r="L191" s="22" t="str">
        <f>IF(B191="","",SUMIFS('Input_APM (Zenith)'!N:N,'Input_APM (Zenith)'!L:L,Check!B191,'Input_APM (Zenith)'!M:M,Check!$G$1))</f>
        <v/>
      </c>
      <c r="M191" s="217" t="str">
        <f t="shared" si="66"/>
        <v/>
      </c>
      <c r="O191"/>
      <c r="P191" s="217" t="str">
        <f>IF(O191="","",IF(OR(LEFT(O191,4)="Cash",LEFT(O191,4)="Prov"),0,SUMIFS(Input_APM!N:N,Input_APM!L:L,Check!O191)))</f>
        <v/>
      </c>
      <c r="Q191" s="22" t="str">
        <f>IF(O191="","",IF(LEN(O191)&gt;9,SUMIFS(Options!$H$3:$H$26,Options!$B$3:$B$26,Check!O191),SUMIFS('Master P&amp;L'!$H$11:$H$93,'Master P&amp;L'!$B$11:$B$93,Check!O191)))</f>
        <v/>
      </c>
      <c r="R191" s="217" t="str">
        <f t="shared" si="67"/>
        <v/>
      </c>
      <c r="S191" s="361" t="str">
        <f t="shared" si="37"/>
        <v/>
      </c>
    </row>
    <row r="192" spans="3:19">
      <c r="O192"/>
      <c r="P192" s="217" t="str">
        <f>IF(O192="","",IF(OR(LEFT(O192,4)="Cash",LEFT(O192,4)="Prov"),0,SUMIFS(Input_APM!N:N,Input_APM!L:L,Check!O192)))</f>
        <v/>
      </c>
      <c r="Q192" s="22" t="str">
        <f>IF(O192="","",IF(LEN(O192)&gt;9,SUMIFS(Options!$H$3:$H$26,Options!$B$3:$B$26,Check!O192),SUMIFS('Master P&amp;L'!$H$11:$H$93,'Master P&amp;L'!$B$11:$B$93,Check!O192)))</f>
        <v/>
      </c>
      <c r="R192" s="217" t="str">
        <f t="shared" si="67"/>
        <v/>
      </c>
      <c r="S192" s="361" t="str">
        <f t="shared" si="37"/>
        <v/>
      </c>
    </row>
    <row r="193" spans="15:19">
      <c r="O193"/>
      <c r="P193" s="217" t="str">
        <f>IF(O193="","",IF(OR(LEFT(O193,4)="Cash",LEFT(O193,4)="Prov"),0,SUMIFS(Input_APM!N:N,Input_APM!L:L,Check!O193)))</f>
        <v/>
      </c>
      <c r="Q193" s="22" t="str">
        <f>IF(O193="","",IF(LEN(O193)&gt;9,SUMIFS(Options!$H$3:$H$26,Options!$B$3:$B$26,Check!O193),SUMIFS('Master P&amp;L'!$H$11:$H$93,'Master P&amp;L'!$B$11:$B$93,Check!O193)))</f>
        <v/>
      </c>
      <c r="R193" s="217" t="str">
        <f t="shared" si="67"/>
        <v/>
      </c>
      <c r="S193" s="361" t="str">
        <f t="shared" si="37"/>
        <v/>
      </c>
    </row>
    <row r="194" spans="15:19">
      <c r="O194"/>
      <c r="P194" s="217" t="str">
        <f>IF(O194="","",IF(OR(LEFT(O194,4)="Cash",LEFT(O194,4)="Prov"),0,SUMIFS(Input_APM!N:N,Input_APM!L:L,Check!O194)))</f>
        <v/>
      </c>
      <c r="Q194" s="22" t="str">
        <f>IF(O194="","",IF(LEN(O194)&gt;9,SUMIFS(Options!$H$3:$H$26,Options!$B$3:$B$26,Check!O194),SUMIFS('Master P&amp;L'!$H$11:$H$93,'Master P&amp;L'!$B$11:$B$93,Check!O194)))</f>
        <v/>
      </c>
      <c r="R194" s="217" t="str">
        <f t="shared" si="67"/>
        <v/>
      </c>
      <c r="S194" s="361" t="str">
        <f t="shared" si="37"/>
        <v/>
      </c>
    </row>
    <row r="195" spans="15:19">
      <c r="O195"/>
      <c r="P195" s="217" t="str">
        <f>IF(O195="","",IF(OR(LEFT(O195,4)="Cash",LEFT(O195,4)="Prov"),0,SUMIFS(Input_APM!N:N,Input_APM!L:L,Check!O195)))</f>
        <v/>
      </c>
      <c r="Q195" s="22" t="str">
        <f>IF(O195="","",IF(LEN(O195)&gt;9,SUMIFS(Options!$H$3:$H$26,Options!$B$3:$B$26,Check!O195),SUMIFS('Master P&amp;L'!$H$11:$H$93,'Master P&amp;L'!$B$11:$B$93,Check!O195)))</f>
        <v/>
      </c>
      <c r="R195" s="217" t="str">
        <f t="shared" si="67"/>
        <v/>
      </c>
      <c r="S195" s="361" t="str">
        <f t="shared" si="37"/>
        <v/>
      </c>
    </row>
    <row r="196" spans="15:19">
      <c r="O196"/>
      <c r="P196" s="217" t="str">
        <f>IF(O196="","",IF(OR(LEFT(O196,4)="Cash",LEFT(O196,4)="Prov"),0,SUMIFS(Input_APM!N:N,Input_APM!L:L,Check!O196)))</f>
        <v/>
      </c>
      <c r="Q196" s="22" t="str">
        <f>IF(O196="","",IF(LEN(O196)&gt;9,SUMIFS(Options!$H$3:$H$26,Options!$B$3:$B$26,Check!O196),SUMIFS('Master P&amp;L'!$H$11:$H$93,'Master P&amp;L'!$B$11:$B$93,Check!O196)))</f>
        <v/>
      </c>
      <c r="R196" s="217" t="str">
        <f t="shared" si="67"/>
        <v/>
      </c>
      <c r="S196" s="361" t="str">
        <f t="shared" si="37"/>
        <v/>
      </c>
    </row>
    <row r="197" spans="15:19">
      <c r="O197"/>
      <c r="P197" s="217" t="str">
        <f>IF(O197="","",IF(OR(LEFT(O197,4)="Cash",LEFT(O197,4)="Prov"),0,SUMIFS(Input_APM!N:N,Input_APM!L:L,Check!O197)))</f>
        <v/>
      </c>
      <c r="Q197" s="22" t="str">
        <f>IF(O197="","",IF(LEN(O197)&gt;9,SUMIFS(Options!$H$3:$H$26,Options!$B$3:$B$26,Check!O197),SUMIFS('Master P&amp;L'!$H$11:$H$93,'Master P&amp;L'!$B$11:$B$93,Check!O197)))</f>
        <v/>
      </c>
      <c r="R197" s="217" t="str">
        <f t="shared" si="67"/>
        <v/>
      </c>
      <c r="S197" s="361" t="str">
        <f t="shared" si="37"/>
        <v/>
      </c>
    </row>
    <row r="198" spans="15:19">
      <c r="O198"/>
      <c r="P198" s="217" t="str">
        <f>IF(O198="","",IF(OR(LEFT(O198,4)="Cash",LEFT(O198,4)="Prov"),0,SUMIFS(Input_APM!N:N,Input_APM!L:L,Check!O198)))</f>
        <v/>
      </c>
      <c r="Q198" s="22" t="str">
        <f>IF(O198="","",IF(LEN(O198)&gt;9,SUMIFS(Options!$H$3:$H$26,Options!$B$3:$B$26,Check!O198),SUMIFS('Master P&amp;L'!$H$11:$H$93,'Master P&amp;L'!$B$11:$B$93,Check!O198)))</f>
        <v/>
      </c>
      <c r="R198" s="217" t="str">
        <f t="shared" si="67"/>
        <v/>
      </c>
      <c r="S198" s="361" t="str">
        <f t="shared" ref="S198:S206" si="68">IF(O198="","",IF((P198+Q198)=0,"Ok",IF(OR(P198=0,Q198=0),"Erro",P198/Q198)))</f>
        <v/>
      </c>
    </row>
    <row r="199" spans="15:19">
      <c r="O199"/>
      <c r="P199" s="217" t="str">
        <f>IF(O199="","",IF(OR(LEFT(O199,4)="Cash",LEFT(O199,4)="Prov"),0,SUMIFS(Input_APM!N:N,Input_APM!L:L,Check!O199)))</f>
        <v/>
      </c>
      <c r="Q199" s="22" t="str">
        <f>IF(O199="","",IF(LEN(O199)&gt;9,SUMIFS(Options!$H$3:$H$26,Options!$B$3:$B$26,Check!O199),SUMIFS('Master P&amp;L'!$H$11:$H$93,'Master P&amp;L'!$B$11:$B$93,Check!O199)))</f>
        <v/>
      </c>
      <c r="R199" s="217" t="str">
        <f t="shared" si="67"/>
        <v/>
      </c>
      <c r="S199" s="361" t="str">
        <f t="shared" si="68"/>
        <v/>
      </c>
    </row>
    <row r="200" spans="15:19">
      <c r="O200"/>
      <c r="P200" s="217" t="str">
        <f>IF(O200="","",IF(OR(LEFT(O200,4)="Cash",LEFT(O200,4)="Prov"),0,SUMIFS(Input_APM!N:N,Input_APM!L:L,Check!O200)))</f>
        <v/>
      </c>
      <c r="Q200" s="22" t="str">
        <f>IF(O200="","",IF(LEN(O200)&gt;9,SUMIFS(Options!$H$3:$H$26,Options!$B$3:$B$26,Check!O200),SUMIFS('Master P&amp;L'!$H$11:$H$93,'Master P&amp;L'!$B$11:$B$93,Check!O200)))</f>
        <v/>
      </c>
      <c r="R200" s="217" t="str">
        <f t="shared" si="67"/>
        <v/>
      </c>
      <c r="S200" s="361" t="str">
        <f t="shared" si="68"/>
        <v/>
      </c>
    </row>
    <row r="201" spans="15:19">
      <c r="O201"/>
      <c r="P201" s="217" t="str">
        <f>IF(O201="","",IF(OR(LEFT(O201,4)="Cash",LEFT(O201,4)="Prov"),0,SUMIFS(Input_APM!N:N,Input_APM!L:L,Check!O201)))</f>
        <v/>
      </c>
      <c r="Q201" s="22" t="str">
        <f>IF(O201="","",IF(LEN(O201)&gt;9,SUMIFS(Options!$H$3:$H$26,Options!$B$3:$B$26,Check!O201),SUMIFS('Master P&amp;L'!$H$11:$H$93,'Master P&amp;L'!$B$11:$B$93,Check!O201)))</f>
        <v/>
      </c>
      <c r="R201" s="217" t="str">
        <f t="shared" si="67"/>
        <v/>
      </c>
      <c r="S201" s="361" t="str">
        <f t="shared" si="68"/>
        <v/>
      </c>
    </row>
    <row r="202" spans="15:19">
      <c r="O202"/>
      <c r="P202" s="217" t="str">
        <f>IF(O202="","",IF(OR(LEFT(O202,4)="Cash",LEFT(O202,4)="Prov"),0,SUMIFS(Input_APM!N:N,Input_APM!L:L,Check!O202)))</f>
        <v/>
      </c>
      <c r="Q202" s="22" t="str">
        <f>IF(O202="","",IF(LEN(O202)&gt;9,SUMIFS(Options!$H$3:$H$26,Options!$B$3:$B$26,Check!O202),SUMIFS('Master P&amp;L'!$H$11:$H$93,'Master P&amp;L'!$B$11:$B$93,Check!O202)))</f>
        <v/>
      </c>
      <c r="R202" s="217" t="str">
        <f t="shared" si="67"/>
        <v/>
      </c>
      <c r="S202" s="361" t="str">
        <f t="shared" si="68"/>
        <v/>
      </c>
    </row>
    <row r="203" spans="15:19">
      <c r="O203"/>
      <c r="P203" s="217" t="str">
        <f>IF(O203="","",IF(OR(LEFT(O203,4)="Cash",LEFT(O203,4)="Prov"),0,SUMIFS(Input_APM!N:N,Input_APM!L:L,Check!O203)))</f>
        <v/>
      </c>
      <c r="Q203" s="22" t="str">
        <f>IF(O203="","",IF(LEN(O203)&gt;9,SUMIFS(Options!$H$3:$H$26,Options!$B$3:$B$26,Check!O203),SUMIFS('Master P&amp;L'!$H$11:$H$93,'Master P&amp;L'!$B$11:$B$93,Check!O203)))</f>
        <v/>
      </c>
      <c r="R203" s="217" t="str">
        <f t="shared" si="67"/>
        <v/>
      </c>
      <c r="S203" s="361" t="str">
        <f t="shared" si="68"/>
        <v/>
      </c>
    </row>
    <row r="204" spans="15:19">
      <c r="O204"/>
      <c r="P204" s="217" t="str">
        <f>IF(O204="","",IF(OR(LEFT(O204,4)="Cash",LEFT(O204,4)="Prov"),0,SUMIFS(Input_APM!N:N,Input_APM!L:L,Check!O204)))</f>
        <v/>
      </c>
      <c r="Q204" s="22" t="str">
        <f>IF(O204="","",IF(LEN(O204)&gt;9,SUMIFS(Options!$H$3:$H$26,Options!$B$3:$B$26,Check!O204),SUMIFS('Master P&amp;L'!$H$11:$H$93,'Master P&amp;L'!$B$11:$B$93,Check!O204)))</f>
        <v/>
      </c>
      <c r="R204" s="217" t="str">
        <f t="shared" si="67"/>
        <v/>
      </c>
      <c r="S204" s="361" t="str">
        <f t="shared" si="68"/>
        <v/>
      </c>
    </row>
    <row r="205" spans="15:19">
      <c r="O205"/>
      <c r="P205" s="217" t="str">
        <f>IF(O205="","",IF(OR(LEFT(O205,4)="Cash",LEFT(O205,4)="Prov"),0,SUMIFS(Input_APM!N:N,Input_APM!L:L,Check!O205)))</f>
        <v/>
      </c>
      <c r="Q205" s="22" t="str">
        <f>IF(O205="","",IF(LEN(O205)&gt;9,SUMIFS(Options!$H$3:$H$26,Options!$B$3:$B$26,Check!O205),SUMIFS('Master P&amp;L'!$H$11:$H$93,'Master P&amp;L'!$B$11:$B$93,Check!O205)))</f>
        <v/>
      </c>
      <c r="R205" s="217" t="str">
        <f t="shared" si="67"/>
        <v/>
      </c>
      <c r="S205" s="361" t="str">
        <f t="shared" si="68"/>
        <v/>
      </c>
    </row>
    <row r="206" spans="15:19">
      <c r="O206"/>
      <c r="P206" s="217" t="str">
        <f>IF(O206="","",IF(OR(LEFT(O206,4)="Cash",LEFT(O206,4)="Prov"),0,SUMIFS(Input_APM!N:N,Input_APM!L:L,Check!O206)))</f>
        <v/>
      </c>
      <c r="Q206" s="22" t="str">
        <f>IF(O206="","",IF(LEN(O206)&gt;9,SUMIFS(Options!$H$3:$H$26,Options!$B$3:$B$26,Check!O206),SUMIFS('Master P&amp;L'!$H$11:$H$93,'Master P&amp;L'!$B$11:$B$93,Check!O206)))</f>
        <v/>
      </c>
      <c r="R206" s="217" t="str">
        <f>IF(O206="","",P206-Q206)</f>
        <v/>
      </c>
      <c r="S206" s="361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44" priority="4">
      <formula>J5&lt;&gt;0</formula>
    </cfRule>
  </conditionalFormatting>
  <conditionalFormatting sqref="E5:E191">
    <cfRule type="expression" dxfId="43" priority="3">
      <formula>E5&lt;&gt;0</formula>
    </cfRule>
  </conditionalFormatting>
  <conditionalFormatting sqref="S5:S206">
    <cfRule type="cellIs" dxfId="42" priority="2" operator="lessThan">
      <formula>0.9</formula>
    </cfRule>
  </conditionalFormatting>
  <conditionalFormatting sqref="S5:S198">
    <cfRule type="expression" dxfId="41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73"/>
    </sheetView>
  </sheetViews>
  <sheetFormatPr defaultColWidth="9.140625" defaultRowHeight="12.75" outlineLevelCol="1"/>
  <cols>
    <col min="1" max="4" width="9.140625" style="213"/>
    <col min="5" max="5" width="31.7109375" style="213" bestFit="1" customWidth="1" outlineLevel="1"/>
    <col min="6" max="6" width="43.7109375" style="213" bestFit="1" customWidth="1" outlineLevel="1"/>
    <col min="7" max="7" width="24.42578125" style="213" bestFit="1" customWidth="1" outlineLevel="1"/>
    <col min="8" max="8" width="12.28515625" style="213" bestFit="1" customWidth="1" outlineLevel="1"/>
    <col min="9" max="9" width="11.42578125" style="213" bestFit="1" customWidth="1" outlineLevel="1"/>
    <col min="10" max="10" width="9.140625" style="213"/>
    <col min="11" max="11" width="28.5703125" style="213" bestFit="1" customWidth="1"/>
    <col min="12" max="12" width="42" style="213" bestFit="1" customWidth="1"/>
    <col min="13" max="13" width="22.140625" style="213" bestFit="1" customWidth="1"/>
    <col min="14" max="14" width="12.85546875" style="213" bestFit="1" customWidth="1"/>
    <col min="15" max="15" width="16.2851562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29" t="s">
        <v>312</v>
      </c>
      <c r="L1" s="229" t="s">
        <v>174</v>
      </c>
      <c r="M1" s="229" t="s">
        <v>313</v>
      </c>
      <c r="N1" s="229" t="s">
        <v>293</v>
      </c>
      <c r="O1" s="229" t="s">
        <v>314</v>
      </c>
    </row>
    <row r="2" spans="5:15">
      <c r="E2" s="213" t="s">
        <v>2283</v>
      </c>
      <c r="F2" s="213" t="s">
        <v>2372</v>
      </c>
      <c r="G2" s="213" t="s">
        <v>282</v>
      </c>
      <c r="H2" s="213">
        <v>0</v>
      </c>
      <c r="I2" s="213">
        <v>0</v>
      </c>
      <c r="K2" s="214" t="str">
        <f>IF(E2="","",E2)</f>
        <v>NASDAQ-100 E-mini Options - CME</v>
      </c>
      <c r="L2" s="214" t="str">
        <f>IF(E2="","",IF(COUNTIFS(Table2[[#All],[De (Lote)]],Input_APM!F2)&gt;0,INDEX(Table2[[#All],[Para (Ticker Daniel)]],MATCH(Input_APM!F2,Table2[[#All],[De (Lote)]],0)),Input_APM!F2))</f>
        <v>1OG6C 26000</v>
      </c>
      <c r="M2" s="214" t="str">
        <f>IF(E2="","",G2)</f>
        <v>EQTY.IntlUS.off</v>
      </c>
      <c r="N2" s="215">
        <f>IF(E2="","",H2)</f>
        <v>0</v>
      </c>
      <c r="O2" s="215">
        <f>IF(E2="","",I2)</f>
        <v>0</v>
      </c>
    </row>
    <row r="3" spans="5:15">
      <c r="E3" s="213" t="s">
        <v>2283</v>
      </c>
      <c r="F3" s="213" t="s">
        <v>2273</v>
      </c>
      <c r="G3" s="213" t="s">
        <v>282</v>
      </c>
      <c r="H3" s="213">
        <v>0</v>
      </c>
      <c r="I3" s="213">
        <v>-28</v>
      </c>
      <c r="K3" s="214" t="str">
        <f t="shared" ref="K3:K66" si="0">IF(E3="","",E3)</f>
        <v>NASDAQ-100 E-mini Options - CME</v>
      </c>
      <c r="L3" s="214" t="str">
        <f>IF(E3="","",IF(COUNTIFS(Table2[[#All],[De (Lote)]],Input_APM!F3)&gt;0,INDEX(Table2[[#All],[Para (Ticker Daniel)]],MATCH(Input_APM!F3,Table2[[#All],[De (Lote)]],0)),Input_APM!F3))</f>
        <v>1OG6P 25000</v>
      </c>
      <c r="M3" s="214" t="str">
        <f t="shared" ref="M3:M66" si="1">IF(E3="","",G3)</f>
        <v>EQTY.IntlUS.off</v>
      </c>
      <c r="N3" s="215">
        <f t="shared" ref="N3:N66" si="2">IF(E3="","",H3)</f>
        <v>0</v>
      </c>
      <c r="O3" s="215">
        <f t="shared" ref="O3:O66" si="3">IF(E3="","",I3)</f>
        <v>-28</v>
      </c>
    </row>
    <row r="4" spans="5:15">
      <c r="E4" s="213" t="s">
        <v>317</v>
      </c>
      <c r="F4" s="213" t="s">
        <v>79</v>
      </c>
      <c r="G4" s="213" t="s">
        <v>282</v>
      </c>
      <c r="H4" s="213">
        <v>9384</v>
      </c>
      <c r="I4" s="213">
        <v>0</v>
      </c>
      <c r="K4" s="214" t="str">
        <f t="shared" si="0"/>
        <v>US Equity</v>
      </c>
      <c r="L4" s="214" t="str">
        <f>IF(E4="","",IF(COUNTIFS(Table2[[#All],[De (Lote)]],Input_APM!F4)&gt;0,INDEX(Table2[[#All],[Para (Ticker Daniel)]],MATCH(Input_APM!F4,Table2[[#All],[De (Lote)]],0)),Input_APM!F4))</f>
        <v>AAPL</v>
      </c>
      <c r="M4" s="214" t="str">
        <f t="shared" si="1"/>
        <v>EQTY.IntlUS.off</v>
      </c>
      <c r="N4" s="215">
        <f t="shared" si="2"/>
        <v>9384</v>
      </c>
      <c r="O4" s="215">
        <f t="shared" si="3"/>
        <v>0</v>
      </c>
    </row>
    <row r="5" spans="5:15">
      <c r="E5" s="213" t="s">
        <v>317</v>
      </c>
      <c r="F5" s="213" t="s">
        <v>448</v>
      </c>
      <c r="G5" s="213" t="s">
        <v>282</v>
      </c>
      <c r="H5" s="213">
        <v>4223</v>
      </c>
      <c r="I5" s="213">
        <v>4223</v>
      </c>
      <c r="K5" s="214" t="str">
        <f t="shared" si="0"/>
        <v>US Equity</v>
      </c>
      <c r="L5" s="214" t="str">
        <f>IF(E5="","",IF(COUNTIFS(Table2[[#All],[De (Lote)]],Input_APM!F5)&gt;0,INDEX(Table2[[#All],[Para (Ticker Daniel)]],MATCH(Input_APM!F5,Table2[[#All],[De (Lote)]],0)),Input_APM!F5))</f>
        <v>AMD</v>
      </c>
      <c r="M5" s="214" t="str">
        <f t="shared" si="1"/>
        <v>EQTY.IntlUS.off</v>
      </c>
      <c r="N5" s="215">
        <f t="shared" si="2"/>
        <v>4223</v>
      </c>
      <c r="O5" s="215">
        <f t="shared" si="3"/>
        <v>4223</v>
      </c>
    </row>
    <row r="6" spans="5:15">
      <c r="E6" s="213" t="s">
        <v>317</v>
      </c>
      <c r="F6" s="213" t="s">
        <v>399</v>
      </c>
      <c r="G6" s="213" t="s">
        <v>282</v>
      </c>
      <c r="H6" s="213">
        <v>20751</v>
      </c>
      <c r="I6" s="213">
        <v>20751</v>
      </c>
      <c r="K6" s="214" t="str">
        <f t="shared" si="0"/>
        <v>US Equity</v>
      </c>
      <c r="L6" s="214" t="str">
        <f>IF(E6="","",IF(COUNTIFS(Table2[[#All],[De (Lote)]],Input_APM!F6)&gt;0,INDEX(Table2[[#All],[Para (Ticker Daniel)]],MATCH(Input_APM!F6,Table2[[#All],[De (Lote)]],0)),Input_APM!F6))</f>
        <v>AMZN</v>
      </c>
      <c r="M6" s="214" t="str">
        <f t="shared" si="1"/>
        <v>EQTY.IntlUS.off</v>
      </c>
      <c r="N6" s="215">
        <f t="shared" si="2"/>
        <v>20751</v>
      </c>
      <c r="O6" s="215">
        <f t="shared" si="3"/>
        <v>20751</v>
      </c>
    </row>
    <row r="7" spans="5:15">
      <c r="E7" s="213" t="s">
        <v>319</v>
      </c>
      <c r="F7" s="213" t="s">
        <v>2306</v>
      </c>
      <c r="G7" s="213" t="s">
        <v>282</v>
      </c>
      <c r="H7" s="213">
        <v>46</v>
      </c>
      <c r="I7" s="213">
        <v>46</v>
      </c>
      <c r="K7" s="214" t="str">
        <f t="shared" si="0"/>
        <v>US Equity Options</v>
      </c>
      <c r="L7" s="214" t="str">
        <f>IF(E7="","",IF(COUNTIFS(Table2[[#All],[De (Lote)]],Input_APM!F7)&gt;0,INDEX(Table2[[#All],[Para (Ticker Daniel)]],MATCH(Input_APM!F7,Table2[[#All],[De (Lote)]],0)),Input_APM!F7))</f>
        <v>AMZN US 07/17/26 C245</v>
      </c>
      <c r="M7" s="214" t="str">
        <f t="shared" si="1"/>
        <v>EQTY.IntlUS.off</v>
      </c>
      <c r="N7" s="215">
        <f t="shared" si="2"/>
        <v>46</v>
      </c>
      <c r="O7" s="215">
        <f t="shared" si="3"/>
        <v>46</v>
      </c>
    </row>
    <row r="8" spans="5:15">
      <c r="E8" s="213" t="s">
        <v>324</v>
      </c>
      <c r="F8" s="213" t="s">
        <v>2227</v>
      </c>
      <c r="G8" s="213" t="s">
        <v>282</v>
      </c>
      <c r="H8" s="213">
        <v>1874</v>
      </c>
      <c r="I8" s="213">
        <v>1874</v>
      </c>
      <c r="K8" s="214" t="str">
        <f t="shared" si="0"/>
        <v>ETF Options</v>
      </c>
      <c r="L8" s="214" t="str">
        <f>IF(E8="","",IF(COUNTIFS(Table2[[#All],[De (Lote)]],Input_APM!F8)&gt;0,INDEX(Table2[[#All],[Para (Ticker Daniel)]],MATCH(Input_APM!F8,Table2[[#All],[De (Lote)]],0)),Input_APM!F8))</f>
        <v>ASHR US 02/20/26 C35</v>
      </c>
      <c r="M8" s="214" t="str">
        <f t="shared" si="1"/>
        <v>EQTY.IntlUS.off</v>
      </c>
      <c r="N8" s="215">
        <f t="shared" si="2"/>
        <v>1874</v>
      </c>
      <c r="O8" s="215">
        <f t="shared" si="3"/>
        <v>1874</v>
      </c>
    </row>
    <row r="9" spans="5:15">
      <c r="E9" s="213" t="s">
        <v>317</v>
      </c>
      <c r="F9" s="213" t="s">
        <v>137</v>
      </c>
      <c r="G9" s="213" t="s">
        <v>282</v>
      </c>
      <c r="H9" s="213">
        <v>0</v>
      </c>
      <c r="I9" s="213">
        <v>1930</v>
      </c>
      <c r="K9" s="214" t="str">
        <f t="shared" si="0"/>
        <v>US Equity</v>
      </c>
      <c r="L9" s="214" t="str">
        <f>IF(E9="","",IF(COUNTIFS(Table2[[#All],[De (Lote)]],Input_APM!F9)&gt;0,INDEX(Table2[[#All],[Para (Ticker Daniel)]],MATCH(Input_APM!F9,Table2[[#All],[De (Lote)]],0)),Input_APM!F9))</f>
        <v>AVGO</v>
      </c>
      <c r="M9" s="214" t="str">
        <f t="shared" si="1"/>
        <v>EQTY.IntlUS.off</v>
      </c>
      <c r="N9" s="215">
        <f t="shared" si="2"/>
        <v>0</v>
      </c>
      <c r="O9" s="215">
        <f t="shared" si="3"/>
        <v>1930</v>
      </c>
    </row>
    <row r="10" spans="5:15">
      <c r="E10" s="213" t="s">
        <v>319</v>
      </c>
      <c r="F10" s="213" t="s">
        <v>2105</v>
      </c>
      <c r="G10" s="213" t="s">
        <v>282</v>
      </c>
      <c r="H10" s="213">
        <v>114</v>
      </c>
      <c r="I10" s="213">
        <v>114</v>
      </c>
      <c r="K10" s="214" t="str">
        <f t="shared" si="0"/>
        <v>US Equity Options</v>
      </c>
      <c r="L10" s="214" t="str">
        <f>IF(E10="","",IF(COUNTIFS(Table2[[#All],[De (Lote)]],Input_APM!F10)&gt;0,INDEX(Table2[[#All],[Para (Ticker Daniel)]],MATCH(Input_APM!F10,Table2[[#All],[De (Lote)]],0)),Input_APM!F10))</f>
        <v>AVGO US 06/18/26 C350</v>
      </c>
      <c r="M10" s="214" t="str">
        <f t="shared" si="1"/>
        <v>EQTY.IntlUS.off</v>
      </c>
      <c r="N10" s="215">
        <f t="shared" si="2"/>
        <v>114</v>
      </c>
      <c r="O10" s="215">
        <f t="shared" si="3"/>
        <v>114</v>
      </c>
    </row>
    <row r="11" spans="5:15">
      <c r="E11" s="213" t="s">
        <v>39</v>
      </c>
      <c r="F11" s="213" t="s">
        <v>461</v>
      </c>
      <c r="G11" s="213" t="s">
        <v>282</v>
      </c>
      <c r="H11" s="213">
        <v>3163</v>
      </c>
      <c r="I11" s="213">
        <v>3163</v>
      </c>
      <c r="K11" s="214" t="str">
        <f t="shared" si="0"/>
        <v>ADR</v>
      </c>
      <c r="L11" s="214" t="str">
        <f>IF(E11="","",IF(COUNTIFS(Table2[[#All],[De (Lote)]],Input_APM!F11)&gt;0,INDEX(Table2[[#All],[Para (Ticker Daniel)]],MATCH(Input_APM!F11,Table2[[#All],[De (Lote)]],0)),Input_APM!F11))</f>
        <v>BABA</v>
      </c>
      <c r="M11" s="214" t="str">
        <f t="shared" si="1"/>
        <v>EQTY.IntlUS.off</v>
      </c>
      <c r="N11" s="215">
        <f t="shared" si="2"/>
        <v>3163</v>
      </c>
      <c r="O11" s="215">
        <f t="shared" si="3"/>
        <v>3163</v>
      </c>
    </row>
    <row r="12" spans="5:15">
      <c r="E12" s="213" t="s">
        <v>39</v>
      </c>
      <c r="F12" s="213" t="s">
        <v>2141</v>
      </c>
      <c r="G12" s="213" t="s">
        <v>282</v>
      </c>
      <c r="H12" s="213">
        <v>3285</v>
      </c>
      <c r="I12" s="213">
        <v>3285</v>
      </c>
      <c r="K12" s="214" t="str">
        <f t="shared" si="0"/>
        <v>ADR</v>
      </c>
      <c r="L12" s="214" t="str">
        <f>IF(E12="","",IF(COUNTIFS(Table2[[#All],[De (Lote)]],Input_APM!F12)&gt;0,INDEX(Table2[[#All],[Para (Ticker Daniel)]],MATCH(Input_APM!F12,Table2[[#All],[De (Lote)]],0)),Input_APM!F12))</f>
        <v>BIDU</v>
      </c>
      <c r="M12" s="214" t="str">
        <f t="shared" si="1"/>
        <v>EQTY.IntlUS.off</v>
      </c>
      <c r="N12" s="215">
        <f t="shared" si="2"/>
        <v>3285</v>
      </c>
      <c r="O12" s="215">
        <f t="shared" si="3"/>
        <v>3285</v>
      </c>
    </row>
    <row r="13" spans="5:15">
      <c r="E13" s="213" t="s">
        <v>321</v>
      </c>
      <c r="F13" s="213" t="s">
        <v>295</v>
      </c>
      <c r="G13" s="213" t="s">
        <v>282</v>
      </c>
      <c r="H13" s="213">
        <v>-0.28999999999999998</v>
      </c>
      <c r="I13" s="213">
        <v>-0.28999999999999998</v>
      </c>
      <c r="K13" s="214" t="str">
        <f t="shared" si="0"/>
        <v>Cash</v>
      </c>
      <c r="L13" s="214" t="str">
        <f>IF(E13="","",IF(COUNTIFS(Table2[[#All],[De (Lote)]],Input_APM!F13)&gt;0,INDEX(Table2[[#All],[Para (Ticker Daniel)]],MATCH(Input_APM!F13,Table2[[#All],[De (Lote)]],0)),Input_APM!F13))</f>
        <v>Cash CAD</v>
      </c>
      <c r="M13" s="214" t="str">
        <f t="shared" si="1"/>
        <v>EQTY.IntlUS.off</v>
      </c>
      <c r="N13" s="215">
        <f t="shared" si="2"/>
        <v>-0.28999999999999998</v>
      </c>
      <c r="O13" s="215">
        <f t="shared" si="3"/>
        <v>-0.28999999999999998</v>
      </c>
    </row>
    <row r="14" spans="5:15">
      <c r="E14" s="213" t="s">
        <v>321</v>
      </c>
      <c r="F14" s="213" t="s">
        <v>296</v>
      </c>
      <c r="G14" s="213" t="s">
        <v>283</v>
      </c>
      <c r="H14" s="213">
        <v>0.39</v>
      </c>
      <c r="I14" s="213">
        <v>0.39</v>
      </c>
      <c r="K14" s="214" t="str">
        <f t="shared" si="0"/>
        <v>Cash</v>
      </c>
      <c r="L14" s="214" t="str">
        <f>IF(E14="","",IF(COUNTIFS(Table2[[#All],[De (Lote)]],Input_APM!F14)&gt;0,INDEX(Table2[[#All],[Para (Ticker Daniel)]],MATCH(Input_APM!F14,Table2[[#All],[De (Lote)]],0)),Input_APM!F14))</f>
        <v>Cash CHF</v>
      </c>
      <c r="M14" s="214" t="str">
        <f t="shared" si="1"/>
        <v>EQTY.InternacionalUS2.off</v>
      </c>
      <c r="N14" s="215">
        <f t="shared" si="2"/>
        <v>0.39</v>
      </c>
      <c r="O14" s="215">
        <f t="shared" si="3"/>
        <v>0.39</v>
      </c>
    </row>
    <row r="15" spans="5:15">
      <c r="E15" s="213" t="s">
        <v>321</v>
      </c>
      <c r="F15" s="213" t="s">
        <v>296</v>
      </c>
      <c r="G15" s="213" t="s">
        <v>282</v>
      </c>
      <c r="H15" s="213">
        <v>-34454.449999999997</v>
      </c>
      <c r="I15" s="213">
        <v>-34454.449999999997</v>
      </c>
      <c r="K15" s="214" t="str">
        <f t="shared" si="0"/>
        <v>Cash</v>
      </c>
      <c r="L15" s="214" t="str">
        <f>IF(E15="","",IF(COUNTIFS(Table2[[#All],[De (Lote)]],Input_APM!F15)&gt;0,INDEX(Table2[[#All],[Para (Ticker Daniel)]],MATCH(Input_APM!F15,Table2[[#All],[De (Lote)]],0)),Input_APM!F15))</f>
        <v>Cash CHF</v>
      </c>
      <c r="M15" s="214" t="str">
        <f t="shared" si="1"/>
        <v>EQTY.IntlUS.off</v>
      </c>
      <c r="N15" s="215">
        <f t="shared" si="2"/>
        <v>-34454.449999999997</v>
      </c>
      <c r="O15" s="215">
        <f t="shared" si="3"/>
        <v>-34454.449999999997</v>
      </c>
    </row>
    <row r="16" spans="5:15">
      <c r="E16" s="213" t="s">
        <v>321</v>
      </c>
      <c r="F16" s="213" t="s">
        <v>297</v>
      </c>
      <c r="G16" s="213" t="s">
        <v>282</v>
      </c>
      <c r="H16" s="213">
        <v>-0.36</v>
      </c>
      <c r="I16" s="213">
        <v>-0.36</v>
      </c>
      <c r="K16" s="214" t="str">
        <f t="shared" si="0"/>
        <v>Cash</v>
      </c>
      <c r="L16" s="214" t="str">
        <f>IF(E16="","",IF(COUNTIFS(Table2[[#All],[De (Lote)]],Input_APM!F16)&gt;0,INDEX(Table2[[#All],[Para (Ticker Daniel)]],MATCH(Input_APM!F16,Table2[[#All],[De (Lote)]],0)),Input_APM!F16))</f>
        <v>Cash CNH</v>
      </c>
      <c r="M16" s="214" t="str">
        <f t="shared" si="1"/>
        <v>EQTY.IntlUS.off</v>
      </c>
      <c r="N16" s="215">
        <f t="shared" si="2"/>
        <v>-0.36</v>
      </c>
      <c r="O16" s="215">
        <f t="shared" si="3"/>
        <v>-0.36</v>
      </c>
    </row>
    <row r="17" spans="5:15">
      <c r="E17" s="213" t="s">
        <v>321</v>
      </c>
      <c r="F17" s="213" t="s">
        <v>2126</v>
      </c>
      <c r="G17" s="213" t="s">
        <v>283</v>
      </c>
      <c r="H17" s="213">
        <v>-0.19</v>
      </c>
      <c r="I17" s="213">
        <v>-0.19</v>
      </c>
      <c r="K17" s="214" t="str">
        <f t="shared" si="0"/>
        <v>Cash</v>
      </c>
      <c r="L17" s="214" t="str">
        <f>IF(E17="","",IF(COUNTIFS(Table2[[#All],[De (Lote)]],Input_APM!F17)&gt;0,INDEX(Table2[[#All],[Para (Ticker Daniel)]],MATCH(Input_APM!F17,Table2[[#All],[De (Lote)]],0)),Input_APM!F17))</f>
        <v>Cash CNY</v>
      </c>
      <c r="M17" s="214" t="str">
        <f t="shared" si="1"/>
        <v>EQTY.InternacionalUS2.off</v>
      </c>
      <c r="N17" s="215">
        <f t="shared" si="2"/>
        <v>-0.19</v>
      </c>
      <c r="O17" s="215">
        <f t="shared" si="3"/>
        <v>-0.19</v>
      </c>
    </row>
    <row r="18" spans="5:15">
      <c r="E18" s="213" t="s">
        <v>321</v>
      </c>
      <c r="F18" s="213" t="s">
        <v>2126</v>
      </c>
      <c r="G18" s="213" t="s">
        <v>282</v>
      </c>
      <c r="H18" s="213">
        <v>-143145.81</v>
      </c>
      <c r="I18" s="213">
        <v>-143145.81</v>
      </c>
      <c r="K18" s="214" t="str">
        <f t="shared" si="0"/>
        <v>Cash</v>
      </c>
      <c r="L18" s="214" t="str">
        <f>IF(E18="","",IF(COUNTIFS(Table2[[#All],[De (Lote)]],Input_APM!F18)&gt;0,INDEX(Table2[[#All],[Para (Ticker Daniel)]],MATCH(Input_APM!F18,Table2[[#All],[De (Lote)]],0)),Input_APM!F18))</f>
        <v>Cash CNY</v>
      </c>
      <c r="M18" s="214" t="str">
        <f t="shared" si="1"/>
        <v>EQTY.IntlUS.off</v>
      </c>
      <c r="N18" s="215">
        <f t="shared" si="2"/>
        <v>-143145.81</v>
      </c>
      <c r="O18" s="215">
        <f t="shared" si="3"/>
        <v>-143145.81</v>
      </c>
    </row>
    <row r="19" spans="5:15">
      <c r="E19" s="213" t="s">
        <v>321</v>
      </c>
      <c r="F19" s="213" t="s">
        <v>298</v>
      </c>
      <c r="G19" s="213" t="s">
        <v>283</v>
      </c>
      <c r="H19" s="213">
        <v>-0.15</v>
      </c>
      <c r="I19" s="213">
        <v>-0.15</v>
      </c>
      <c r="K19" s="214" t="str">
        <f t="shared" si="0"/>
        <v>Cash</v>
      </c>
      <c r="L19" s="214" t="str">
        <f>IF(E19="","",IF(COUNTIFS(Table2[[#All],[De (Lote)]],Input_APM!F19)&gt;0,INDEX(Table2[[#All],[Para (Ticker Daniel)]],MATCH(Input_APM!F19,Table2[[#All],[De (Lote)]],0)),Input_APM!F19))</f>
        <v>Cash EUR</v>
      </c>
      <c r="M19" s="214" t="str">
        <f t="shared" si="1"/>
        <v>EQTY.InternacionalUS2.off</v>
      </c>
      <c r="N19" s="215">
        <f t="shared" si="2"/>
        <v>-0.15</v>
      </c>
      <c r="O19" s="215">
        <f t="shared" si="3"/>
        <v>-0.15</v>
      </c>
    </row>
    <row r="20" spans="5:15">
      <c r="E20" s="213" t="s">
        <v>321</v>
      </c>
      <c r="F20" s="213" t="s">
        <v>298</v>
      </c>
      <c r="G20" s="213" t="s">
        <v>282</v>
      </c>
      <c r="H20" s="213">
        <v>40729.67</v>
      </c>
      <c r="I20" s="213">
        <v>40729.67</v>
      </c>
      <c r="K20" s="214" t="str">
        <f t="shared" si="0"/>
        <v>Cash</v>
      </c>
      <c r="L20" s="214" t="str">
        <f>IF(E20="","",IF(COUNTIFS(Table2[[#All],[De (Lote)]],Input_APM!F20)&gt;0,INDEX(Table2[[#All],[Para (Ticker Daniel)]],MATCH(Input_APM!F20,Table2[[#All],[De (Lote)]],0)),Input_APM!F20))</f>
        <v>Cash EUR</v>
      </c>
      <c r="M20" s="214" t="str">
        <f t="shared" si="1"/>
        <v>EQTY.IntlUS.off</v>
      </c>
      <c r="N20" s="215">
        <f t="shared" si="2"/>
        <v>40729.67</v>
      </c>
      <c r="O20" s="215">
        <f t="shared" si="3"/>
        <v>40729.67</v>
      </c>
    </row>
    <row r="21" spans="5:15">
      <c r="E21" s="213" t="s">
        <v>321</v>
      </c>
      <c r="F21" s="213" t="s">
        <v>299</v>
      </c>
      <c r="G21" s="213" t="s">
        <v>282</v>
      </c>
      <c r="H21" s="213">
        <v>-0.47</v>
      </c>
      <c r="I21" s="213">
        <v>-0.47</v>
      </c>
      <c r="K21" s="214" t="str">
        <f t="shared" si="0"/>
        <v>Cash</v>
      </c>
      <c r="L21" s="214" t="str">
        <f>IF(E21="","",IF(COUNTIFS(Table2[[#All],[De (Lote)]],Input_APM!F21)&gt;0,INDEX(Table2[[#All],[Para (Ticker Daniel)]],MATCH(Input_APM!F21,Table2[[#All],[De (Lote)]],0)),Input_APM!F21))</f>
        <v>Cash GBP</v>
      </c>
      <c r="M21" s="214" t="str">
        <f t="shared" si="1"/>
        <v>EQTY.IntlUS.off</v>
      </c>
      <c r="N21" s="215">
        <f t="shared" si="2"/>
        <v>-0.47</v>
      </c>
      <c r="O21" s="215">
        <f t="shared" si="3"/>
        <v>-0.47</v>
      </c>
    </row>
    <row r="22" spans="5:15">
      <c r="E22" s="213" t="s">
        <v>321</v>
      </c>
      <c r="F22" s="213" t="s">
        <v>300</v>
      </c>
      <c r="G22" s="213" t="s">
        <v>283</v>
      </c>
      <c r="H22" s="213">
        <v>0.2</v>
      </c>
      <c r="I22" s="213">
        <v>0.2</v>
      </c>
      <c r="K22" s="214" t="str">
        <f t="shared" si="0"/>
        <v>Cash</v>
      </c>
      <c r="L22" s="214" t="str">
        <f>IF(E22="","",IF(COUNTIFS(Table2[[#All],[De (Lote)]],Input_APM!F22)&gt;0,INDEX(Table2[[#All],[Para (Ticker Daniel)]],MATCH(Input_APM!F22,Table2[[#All],[De (Lote)]],0)),Input_APM!F22))</f>
        <v>Cash HKD</v>
      </c>
      <c r="M22" s="214" t="str">
        <f t="shared" si="1"/>
        <v>EQTY.InternacionalUS2.off</v>
      </c>
      <c r="N22" s="215">
        <f t="shared" si="2"/>
        <v>0.2</v>
      </c>
      <c r="O22" s="215">
        <f t="shared" si="3"/>
        <v>0.2</v>
      </c>
    </row>
    <row r="23" spans="5:15">
      <c r="E23" s="213" t="s">
        <v>321</v>
      </c>
      <c r="F23" s="213" t="s">
        <v>300</v>
      </c>
      <c r="G23" s="213" t="s">
        <v>282</v>
      </c>
      <c r="H23" s="213">
        <v>-341409.97</v>
      </c>
      <c r="I23" s="213">
        <v>-341409.97</v>
      </c>
      <c r="K23" s="214" t="str">
        <f t="shared" si="0"/>
        <v>Cash</v>
      </c>
      <c r="L23" s="214" t="str">
        <f>IF(E23="","",IF(COUNTIFS(Table2[[#All],[De (Lote)]],Input_APM!F23)&gt;0,INDEX(Table2[[#All],[Para (Ticker Daniel)]],MATCH(Input_APM!F23,Table2[[#All],[De (Lote)]],0)),Input_APM!F23))</f>
        <v>Cash HKD</v>
      </c>
      <c r="M23" s="214" t="str">
        <f t="shared" si="1"/>
        <v>EQTY.IntlUS.off</v>
      </c>
      <c r="N23" s="215">
        <f t="shared" si="2"/>
        <v>-341409.97</v>
      </c>
      <c r="O23" s="215">
        <f t="shared" si="3"/>
        <v>-341409.97</v>
      </c>
    </row>
    <row r="24" spans="5:15">
      <c r="E24" s="213" t="s">
        <v>321</v>
      </c>
      <c r="F24" s="213" t="s">
        <v>301</v>
      </c>
      <c r="G24" s="213" t="s">
        <v>282</v>
      </c>
      <c r="H24" s="213">
        <v>1.000005E-2</v>
      </c>
      <c r="I24" s="213">
        <v>1.000005E-2</v>
      </c>
      <c r="K24" s="214" t="str">
        <f t="shared" si="0"/>
        <v>Cash</v>
      </c>
      <c r="L24" s="214" t="str">
        <f>IF(E24="","",IF(COUNTIFS(Table2[[#All],[De (Lote)]],Input_APM!F24)&gt;0,INDEX(Table2[[#All],[Para (Ticker Daniel)]],MATCH(Input_APM!F24,Table2[[#All],[De (Lote)]],0)),Input_APM!F24))</f>
        <v>Cash KRW</v>
      </c>
      <c r="M24" s="214" t="str">
        <f t="shared" si="1"/>
        <v>EQTY.IntlUS.off</v>
      </c>
      <c r="N24" s="215">
        <f t="shared" si="2"/>
        <v>1.000005E-2</v>
      </c>
      <c r="O24" s="215">
        <f t="shared" si="3"/>
        <v>1.000005E-2</v>
      </c>
    </row>
    <row r="25" spans="5:15">
      <c r="E25" s="213" t="s">
        <v>321</v>
      </c>
      <c r="F25" s="213" t="s">
        <v>302</v>
      </c>
      <c r="G25" s="213" t="s">
        <v>282</v>
      </c>
      <c r="H25" s="213">
        <v>297714.99435315002</v>
      </c>
      <c r="I25" s="213">
        <v>4.3531500000000001E-3</v>
      </c>
      <c r="K25" s="214" t="str">
        <f t="shared" si="0"/>
        <v>Cash</v>
      </c>
      <c r="L25" s="214" t="str">
        <f>IF(E25="","",IF(COUNTIFS(Table2[[#All],[De (Lote)]],Input_APM!F25)&gt;0,INDEX(Table2[[#All],[Para (Ticker Daniel)]],MATCH(Input_APM!F25,Table2[[#All],[De (Lote)]],0)),Input_APM!F25))</f>
        <v>Cash USD</v>
      </c>
      <c r="M25" s="214" t="str">
        <f t="shared" si="1"/>
        <v>EQTY.IntlUS.off</v>
      </c>
      <c r="N25" s="215">
        <f t="shared" si="2"/>
        <v>297714.99435315002</v>
      </c>
      <c r="O25" s="215">
        <f t="shared" si="3"/>
        <v>4.3531500000000001E-3</v>
      </c>
    </row>
    <row r="26" spans="5:15">
      <c r="E26" s="213" t="s">
        <v>477</v>
      </c>
      <c r="F26" s="213" t="s">
        <v>1906</v>
      </c>
      <c r="G26" s="213" t="s">
        <v>282</v>
      </c>
      <c r="H26" s="213">
        <v>4625000</v>
      </c>
      <c r="I26" s="213">
        <v>4625000</v>
      </c>
      <c r="K26" s="214" t="str">
        <f t="shared" si="0"/>
        <v>CDS</v>
      </c>
      <c r="L26" s="214" t="str">
        <f>IF(E26="","",IF(COUNTIFS(Table2[[#All],[De (Lote)]],Input_APM!F26)&gt;0,INDEX(Table2[[#All],[Para (Ticker Daniel)]],MATCH(Input_APM!F26,Table2[[#All],[De (Lote)]],0)),Input_APM!F26))</f>
        <v>CHINAGOV 12/20/30</v>
      </c>
      <c r="M26" s="214" t="str">
        <f t="shared" si="1"/>
        <v>EQTY.IntlUS.off</v>
      </c>
      <c r="N26" s="215">
        <f t="shared" si="2"/>
        <v>4625000</v>
      </c>
      <c r="O26" s="215">
        <f t="shared" si="3"/>
        <v>4625000</v>
      </c>
    </row>
    <row r="27" spans="5:15">
      <c r="E27" s="213" t="s">
        <v>317</v>
      </c>
      <c r="F27" s="213" t="s">
        <v>2373</v>
      </c>
      <c r="G27" s="213" t="s">
        <v>282</v>
      </c>
      <c r="H27" s="213">
        <v>16959</v>
      </c>
      <c r="I27" s="213">
        <v>0</v>
      </c>
      <c r="K27" s="214" t="str">
        <f t="shared" si="0"/>
        <v>US Equity</v>
      </c>
      <c r="L27" s="214" t="str">
        <f>IF(E27="","",IF(COUNTIFS(Table2[[#All],[De (Lote)]],Input_APM!F27)&gt;0,INDEX(Table2[[#All],[Para (Ticker Daniel)]],MATCH(Input_APM!F27,Table2[[#All],[De (Lote)]],0)),Input_APM!F27))</f>
        <v>CSCO</v>
      </c>
      <c r="M27" s="214" t="str">
        <f t="shared" si="1"/>
        <v>EQTY.IntlUS.off</v>
      </c>
      <c r="N27" s="215">
        <f t="shared" si="2"/>
        <v>16959</v>
      </c>
      <c r="O27" s="215">
        <f t="shared" si="3"/>
        <v>0</v>
      </c>
    </row>
    <row r="28" spans="5:15">
      <c r="E28" s="213" t="s">
        <v>320</v>
      </c>
      <c r="F28" s="213" t="s">
        <v>1754</v>
      </c>
      <c r="G28" s="213" t="s">
        <v>282</v>
      </c>
      <c r="H28" s="213">
        <v>39308</v>
      </c>
      <c r="I28" s="213">
        <v>39308</v>
      </c>
      <c r="K28" s="214" t="str">
        <f t="shared" si="0"/>
        <v>ETF</v>
      </c>
      <c r="L28" s="214" t="str">
        <f>IF(E28="","",IF(COUNTIFS(Table2[[#All],[De (Lote)]],Input_APM!F28)&gt;0,INDEX(Table2[[#All],[Para (Ticker Daniel)]],MATCH(Input_APM!F28,Table2[[#All],[De (Lote)]],0)),Input_APM!F28))</f>
        <v>EWY</v>
      </c>
      <c r="M28" s="214" t="str">
        <f t="shared" si="1"/>
        <v>EQTY.IntlUS.off</v>
      </c>
      <c r="N28" s="215">
        <f t="shared" si="2"/>
        <v>39308</v>
      </c>
      <c r="O28" s="215">
        <f t="shared" si="3"/>
        <v>39308</v>
      </c>
    </row>
    <row r="29" spans="5:15">
      <c r="E29" s="213" t="s">
        <v>320</v>
      </c>
      <c r="F29" s="213" t="s">
        <v>131</v>
      </c>
      <c r="G29" s="213" t="s">
        <v>282</v>
      </c>
      <c r="H29" s="213">
        <v>10745</v>
      </c>
      <c r="I29" s="213">
        <v>13842</v>
      </c>
      <c r="K29" s="214" t="str">
        <f t="shared" si="0"/>
        <v>ETF</v>
      </c>
      <c r="L29" s="214" t="str">
        <f>IF(E29="","",IF(COUNTIFS(Table2[[#All],[De (Lote)]],Input_APM!F29)&gt;0,INDEX(Table2[[#All],[Para (Ticker Daniel)]],MATCH(Input_APM!F29,Table2[[#All],[De (Lote)]],0)),Input_APM!F29))</f>
        <v xml:space="preserve">GDX </v>
      </c>
      <c r="M29" s="214" t="str">
        <f t="shared" si="1"/>
        <v>EQTY.IntlUS.off</v>
      </c>
      <c r="N29" s="215">
        <f t="shared" si="2"/>
        <v>10745</v>
      </c>
      <c r="O29" s="215">
        <f t="shared" si="3"/>
        <v>13842</v>
      </c>
    </row>
    <row r="30" spans="5:15">
      <c r="E30" s="213" t="s">
        <v>324</v>
      </c>
      <c r="F30" s="213" t="s">
        <v>2274</v>
      </c>
      <c r="G30" s="213" t="s">
        <v>282</v>
      </c>
      <c r="H30" s="213">
        <v>1031</v>
      </c>
      <c r="I30" s="213">
        <v>1031</v>
      </c>
      <c r="K30" s="214" t="str">
        <f t="shared" si="0"/>
        <v>ETF Options</v>
      </c>
      <c r="L30" s="214" t="str">
        <f>IF(E30="","",IF(COUNTIFS(Table2[[#All],[De (Lote)]],Input_APM!F30)&gt;0,INDEX(Table2[[#All],[Para (Ticker Daniel)]],MATCH(Input_APM!F30,Table2[[#All],[De (Lote)]],0)),Input_APM!F30))</f>
        <v>GDX US 09/18/26 C105</v>
      </c>
      <c r="M30" s="214" t="str">
        <f t="shared" si="1"/>
        <v>EQTY.IntlUS.off</v>
      </c>
      <c r="N30" s="215">
        <f t="shared" si="2"/>
        <v>1031</v>
      </c>
      <c r="O30" s="215">
        <f t="shared" si="3"/>
        <v>1031</v>
      </c>
    </row>
    <row r="31" spans="5:15">
      <c r="E31" s="213" t="s">
        <v>324</v>
      </c>
      <c r="F31" s="213" t="s">
        <v>2275</v>
      </c>
      <c r="G31" s="213" t="s">
        <v>282</v>
      </c>
      <c r="H31" s="213">
        <v>-1031</v>
      </c>
      <c r="I31" s="213">
        <v>-1031</v>
      </c>
      <c r="K31" s="214" t="str">
        <f t="shared" si="0"/>
        <v>ETF Options</v>
      </c>
      <c r="L31" s="214" t="str">
        <f>IF(E31="","",IF(COUNTIFS(Table2[[#All],[De (Lote)]],Input_APM!F31)&gt;0,INDEX(Table2[[#All],[Para (Ticker Daniel)]],MATCH(Input_APM!F31,Table2[[#All],[De (Lote)]],0)),Input_APM!F31))</f>
        <v>GDX US 09/18/26 C115</v>
      </c>
      <c r="M31" s="214" t="str">
        <f t="shared" si="1"/>
        <v>EQTY.IntlUS.off</v>
      </c>
      <c r="N31" s="215">
        <f t="shared" si="2"/>
        <v>-1031</v>
      </c>
      <c r="O31" s="215">
        <f t="shared" si="3"/>
        <v>-1031</v>
      </c>
    </row>
    <row r="32" spans="5:15">
      <c r="E32" s="213" t="s">
        <v>317</v>
      </c>
      <c r="F32" s="213" t="s">
        <v>2148</v>
      </c>
      <c r="G32" s="213" t="s">
        <v>282</v>
      </c>
      <c r="H32" s="213">
        <v>9602</v>
      </c>
      <c r="I32" s="213">
        <v>10447</v>
      </c>
      <c r="K32" s="214" t="str">
        <f t="shared" si="0"/>
        <v>US Equity</v>
      </c>
      <c r="L32" s="214" t="str">
        <f>IF(E32="","",IF(COUNTIFS(Table2[[#All],[De (Lote)]],Input_APM!F32)&gt;0,INDEX(Table2[[#All],[Para (Ticker Daniel)]],MATCH(Input_APM!F32,Table2[[#All],[De (Lote)]],0)),Input_APM!F32))</f>
        <v>GOOG</v>
      </c>
      <c r="M32" s="214" t="str">
        <f t="shared" si="1"/>
        <v>EQTY.IntlUS.off</v>
      </c>
      <c r="N32" s="215">
        <f t="shared" si="2"/>
        <v>9602</v>
      </c>
      <c r="O32" s="215">
        <f t="shared" si="3"/>
        <v>10447</v>
      </c>
    </row>
    <row r="33" spans="5:15">
      <c r="E33" s="213" t="s">
        <v>325</v>
      </c>
      <c r="F33" s="213" t="s">
        <v>1896</v>
      </c>
      <c r="G33" s="213" t="s">
        <v>282</v>
      </c>
      <c r="H33" s="213">
        <v>276451</v>
      </c>
      <c r="I33" s="213">
        <v>276451</v>
      </c>
      <c r="K33" s="214" t="str">
        <f t="shared" si="0"/>
        <v>Basket Index Options</v>
      </c>
      <c r="L33" s="214" t="str">
        <f>IF(E33="","",IF(COUNTIFS(Table2[[#All],[De (Lote)]],Input_APM!F33)&gt;0,INDEX(Table2[[#All],[Para (Ticker Daniel)]],MATCH(Input_APM!F33,Table2[[#All],[De (Lote)]],0)),Input_APM!F33))</f>
        <v>GSC1000P 03/20/26 C104</v>
      </c>
      <c r="M33" s="214" t="str">
        <f t="shared" si="1"/>
        <v>EQTY.IntlUS.off</v>
      </c>
      <c r="N33" s="215">
        <f t="shared" si="2"/>
        <v>276451</v>
      </c>
      <c r="O33" s="215">
        <f t="shared" si="3"/>
        <v>276451</v>
      </c>
    </row>
    <row r="34" spans="5:15">
      <c r="E34" s="213" t="s">
        <v>325</v>
      </c>
      <c r="F34" s="213" t="s">
        <v>1897</v>
      </c>
      <c r="G34" s="213" t="s">
        <v>282</v>
      </c>
      <c r="H34" s="213">
        <v>-276451</v>
      </c>
      <c r="I34" s="213">
        <v>-276451</v>
      </c>
      <c r="K34" s="214" t="str">
        <f t="shared" si="0"/>
        <v>Basket Index Options</v>
      </c>
      <c r="L34" s="214" t="str">
        <f>IF(E34="","",IF(COUNTIFS(Table2[[#All],[De (Lote)]],Input_APM!F34)&gt;0,INDEX(Table2[[#All],[Para (Ticker Daniel)]],MATCH(Input_APM!F34,Table2[[#All],[De (Lote)]],0)),Input_APM!F34))</f>
        <v>GSC1000P 03/20/26 C119</v>
      </c>
      <c r="M34" s="214" t="str">
        <f t="shared" si="1"/>
        <v>EQTY.IntlUS.off</v>
      </c>
      <c r="N34" s="215">
        <f t="shared" si="2"/>
        <v>-276451</v>
      </c>
      <c r="O34" s="215">
        <f t="shared" si="3"/>
        <v>-276451</v>
      </c>
    </row>
    <row r="35" spans="5:15">
      <c r="E35" s="213" t="s">
        <v>319</v>
      </c>
      <c r="F35" s="213" t="s">
        <v>2352</v>
      </c>
      <c r="G35" s="213" t="s">
        <v>282</v>
      </c>
      <c r="H35" s="213">
        <v>144</v>
      </c>
      <c r="I35" s="213">
        <v>144</v>
      </c>
      <c r="K35" s="214" t="str">
        <f t="shared" si="0"/>
        <v>US Equity Options</v>
      </c>
      <c r="L35" s="214" t="str">
        <f>IF(E35="","",IF(COUNTIFS(Table2[[#All],[De (Lote)]],Input_APM!F35)&gt;0,INDEX(Table2[[#All],[Para (Ticker Daniel)]],MATCH(Input_APM!F35,Table2[[#All],[De (Lote)]],0)),Input_APM!F35))</f>
        <v>INTC US 07/17/26 C50</v>
      </c>
      <c r="M35" s="214" t="str">
        <f t="shared" si="1"/>
        <v>EQTY.IntlUS.off</v>
      </c>
      <c r="N35" s="215">
        <f t="shared" si="2"/>
        <v>144</v>
      </c>
      <c r="O35" s="215">
        <f t="shared" si="3"/>
        <v>144</v>
      </c>
    </row>
    <row r="36" spans="5:15">
      <c r="E36" s="213" t="s">
        <v>319</v>
      </c>
      <c r="F36" s="213" t="s">
        <v>2353</v>
      </c>
      <c r="G36" s="213" t="s">
        <v>282</v>
      </c>
      <c r="H36" s="213">
        <v>-141</v>
      </c>
      <c r="I36" s="213">
        <v>-141</v>
      </c>
      <c r="K36" s="214" t="str">
        <f t="shared" si="0"/>
        <v>US Equity Options</v>
      </c>
      <c r="L36" s="214" t="str">
        <f>IF(E36="","",IF(COUNTIFS(Table2[[#All],[De (Lote)]],Input_APM!F36)&gt;0,INDEX(Table2[[#All],[Para (Ticker Daniel)]],MATCH(Input_APM!F36,Table2[[#All],[De (Lote)]],0)),Input_APM!F36))</f>
        <v>INTC US 07/17/26 C60</v>
      </c>
      <c r="M36" s="214" t="str">
        <f t="shared" si="1"/>
        <v>EQTY.IntlUS.off</v>
      </c>
      <c r="N36" s="215">
        <f t="shared" si="2"/>
        <v>-141</v>
      </c>
      <c r="O36" s="215">
        <f t="shared" si="3"/>
        <v>-141</v>
      </c>
    </row>
    <row r="37" spans="5:15">
      <c r="E37" s="213" t="s">
        <v>319</v>
      </c>
      <c r="F37" s="213" t="s">
        <v>2351</v>
      </c>
      <c r="G37" s="213" t="s">
        <v>282</v>
      </c>
      <c r="H37" s="213">
        <v>-141</v>
      </c>
      <c r="I37" s="213">
        <v>-141</v>
      </c>
      <c r="K37" s="214" t="str">
        <f t="shared" si="0"/>
        <v>US Equity Options</v>
      </c>
      <c r="L37" s="214" t="str">
        <f>IF(E37="","",IF(COUNTIFS(Table2[[#All],[De (Lote)]],Input_APM!F37)&gt;0,INDEX(Table2[[#All],[Para (Ticker Daniel)]],MATCH(Input_APM!F37,Table2[[#All],[De (Lote)]],0)),Input_APM!F37))</f>
        <v>INTC US 07/17/26 P40</v>
      </c>
      <c r="M37" s="214" t="str">
        <f t="shared" si="1"/>
        <v>EQTY.IntlUS.off</v>
      </c>
      <c r="N37" s="215">
        <f t="shared" si="2"/>
        <v>-141</v>
      </c>
      <c r="O37" s="215">
        <f t="shared" si="3"/>
        <v>-141</v>
      </c>
    </row>
    <row r="38" spans="5:15">
      <c r="E38" s="213" t="s">
        <v>317</v>
      </c>
      <c r="F38" s="213" t="s">
        <v>2276</v>
      </c>
      <c r="G38" s="213" t="s">
        <v>282</v>
      </c>
      <c r="H38" s="213">
        <v>-10782</v>
      </c>
      <c r="I38" s="213">
        <v>-9374</v>
      </c>
      <c r="K38" s="214" t="str">
        <f t="shared" si="0"/>
        <v>US Equity</v>
      </c>
      <c r="L38" s="214" t="str">
        <f>IF(E38="","",IF(COUNTIFS(Table2[[#All],[De (Lote)]],Input_APM!F38)&gt;0,INDEX(Table2[[#All],[Para (Ticker Daniel)]],MATCH(Input_APM!F38,Table2[[#All],[De (Lote)]],0)),Input_APM!F38))</f>
        <v>KHC</v>
      </c>
      <c r="M38" s="214" t="str">
        <f t="shared" si="1"/>
        <v>EQTY.IntlUS.off</v>
      </c>
      <c r="N38" s="215">
        <f t="shared" si="2"/>
        <v>-10782</v>
      </c>
      <c r="O38" s="215">
        <f t="shared" si="3"/>
        <v>-9374</v>
      </c>
    </row>
    <row r="39" spans="5:15">
      <c r="E39" s="213" t="s">
        <v>2348</v>
      </c>
      <c r="F39" s="213" t="s">
        <v>2325</v>
      </c>
      <c r="G39" s="213" t="s">
        <v>282</v>
      </c>
      <c r="H39" s="213">
        <v>10349446</v>
      </c>
      <c r="I39" s="213">
        <v>10349446</v>
      </c>
      <c r="K39" s="214" t="str">
        <f t="shared" si="0"/>
        <v>KOSPI 200 Index Options - KRX</v>
      </c>
      <c r="L39" s="214" t="str">
        <f>IF(E39="","",IF(COUNTIFS(Table2[[#All],[De (Lote)]],Input_APM!F39)&gt;0,INDEX(Table2[[#All],[Para (Ticker Daniel)]],MATCH(Input_APM!F39,Table2[[#All],[De (Lote)]],0)),Input_APM!F39))</f>
        <v>KOSPI2 12/10/26 C1000</v>
      </c>
      <c r="M39" s="214" t="str">
        <f t="shared" si="1"/>
        <v>EQTY.IntlUS.off</v>
      </c>
      <c r="N39" s="215">
        <f t="shared" si="2"/>
        <v>10349446</v>
      </c>
      <c r="O39" s="215">
        <f t="shared" si="3"/>
        <v>10349446</v>
      </c>
    </row>
    <row r="40" spans="5:15">
      <c r="E40" s="213" t="s">
        <v>317</v>
      </c>
      <c r="F40" s="213" t="s">
        <v>2063</v>
      </c>
      <c r="G40" s="213" t="s">
        <v>282</v>
      </c>
      <c r="H40" s="213">
        <v>1780</v>
      </c>
      <c r="I40" s="213">
        <v>1780</v>
      </c>
      <c r="K40" s="214" t="str">
        <f t="shared" si="0"/>
        <v>US Equity</v>
      </c>
      <c r="L40" s="214" t="str">
        <f>IF(E40="","",IF(COUNTIFS(Table2[[#All],[De (Lote)]],Input_APM!F40)&gt;0,INDEX(Table2[[#All],[Para (Ticker Daniel)]],MATCH(Input_APM!F40,Table2[[#All],[De (Lote)]],0)),Input_APM!F40))</f>
        <v>LITE</v>
      </c>
      <c r="M40" s="214" t="str">
        <f t="shared" si="1"/>
        <v>EQTY.IntlUS.off</v>
      </c>
      <c r="N40" s="215">
        <f t="shared" si="2"/>
        <v>1780</v>
      </c>
      <c r="O40" s="215">
        <f t="shared" si="3"/>
        <v>1780</v>
      </c>
    </row>
    <row r="41" spans="5:15">
      <c r="E41" s="213" t="s">
        <v>319</v>
      </c>
      <c r="F41" s="213" t="s">
        <v>2304</v>
      </c>
      <c r="G41" s="213" t="s">
        <v>282</v>
      </c>
      <c r="H41" s="213">
        <v>56</v>
      </c>
      <c r="I41" s="213">
        <v>56</v>
      </c>
      <c r="K41" s="214" t="str">
        <f t="shared" si="0"/>
        <v>US Equity Options</v>
      </c>
      <c r="L41" s="214" t="str">
        <f>IF(E41="","",IF(COUNTIFS(Table2[[#All],[De (Lote)]],Input_APM!F41)&gt;0,INDEX(Table2[[#All],[Para (Ticker Daniel)]],MATCH(Input_APM!F41,Table2[[#All],[De (Lote)]],0)),Input_APM!F41))</f>
        <v>LITE US 03/20/26 C420</v>
      </c>
      <c r="M41" s="214" t="str">
        <f t="shared" si="1"/>
        <v>EQTY.IntlUS.off</v>
      </c>
      <c r="N41" s="215">
        <f t="shared" si="2"/>
        <v>56</v>
      </c>
      <c r="O41" s="215">
        <f t="shared" si="3"/>
        <v>56</v>
      </c>
    </row>
    <row r="42" spans="5:15">
      <c r="E42" s="213" t="s">
        <v>317</v>
      </c>
      <c r="F42" s="213" t="s">
        <v>326</v>
      </c>
      <c r="G42" s="213" t="s">
        <v>282</v>
      </c>
      <c r="H42" s="213">
        <v>0</v>
      </c>
      <c r="I42" s="213">
        <v>1252</v>
      </c>
      <c r="K42" s="214" t="str">
        <f t="shared" si="0"/>
        <v>US Equity</v>
      </c>
      <c r="L42" s="214" t="str">
        <f>IF(E42="","",IF(COUNTIFS(Table2[[#All],[De (Lote)]],Input_APM!F42)&gt;0,INDEX(Table2[[#All],[Para (Ticker Daniel)]],MATCH(Input_APM!F42,Table2[[#All],[De (Lote)]],0)),Input_APM!F42))</f>
        <v>META</v>
      </c>
      <c r="M42" s="214" t="str">
        <f t="shared" si="1"/>
        <v>EQTY.IntlUS.off</v>
      </c>
      <c r="N42" s="215">
        <f t="shared" si="2"/>
        <v>0</v>
      </c>
      <c r="O42" s="215">
        <f t="shared" si="3"/>
        <v>1252</v>
      </c>
    </row>
    <row r="43" spans="5:15">
      <c r="E43" s="213" t="s">
        <v>319</v>
      </c>
      <c r="F43" s="213" t="s">
        <v>2068</v>
      </c>
      <c r="G43" s="213" t="s">
        <v>282</v>
      </c>
      <c r="H43" s="213">
        <v>57</v>
      </c>
      <c r="I43" s="213">
        <v>57</v>
      </c>
      <c r="K43" s="214" t="str">
        <f t="shared" si="0"/>
        <v>US Equity Options</v>
      </c>
      <c r="L43" s="214" t="str">
        <f>IF(E43="","",IF(COUNTIFS(Table2[[#All],[De (Lote)]],Input_APM!F43)&gt;0,INDEX(Table2[[#All],[Para (Ticker Daniel)]],MATCH(Input_APM!F43,Table2[[#All],[De (Lote)]],0)),Input_APM!F43))</f>
        <v>META US 04/17/26 C690</v>
      </c>
      <c r="M43" s="214" t="str">
        <f t="shared" si="1"/>
        <v>EQTY.IntlUS.off</v>
      </c>
      <c r="N43" s="215">
        <f t="shared" si="2"/>
        <v>57</v>
      </c>
      <c r="O43" s="215">
        <f t="shared" si="3"/>
        <v>57</v>
      </c>
    </row>
    <row r="44" spans="5:15">
      <c r="E44" s="213" t="s">
        <v>319</v>
      </c>
      <c r="F44" s="213" t="s">
        <v>2307</v>
      </c>
      <c r="G44" s="213" t="s">
        <v>282</v>
      </c>
      <c r="H44" s="213">
        <v>73</v>
      </c>
      <c r="I44" s="213">
        <v>73</v>
      </c>
      <c r="K44" s="214" t="str">
        <f t="shared" si="0"/>
        <v>US Equity Options</v>
      </c>
      <c r="L44" s="214" t="str">
        <f>IF(E44="","",IF(COUNTIFS(Table2[[#All],[De (Lote)]],Input_APM!F44)&gt;0,INDEX(Table2[[#All],[Para (Ticker Daniel)]],MATCH(Input_APM!F44,Table2[[#All],[De (Lote)]],0)),Input_APM!F44))</f>
        <v>META US 07/17/26 C670</v>
      </c>
      <c r="M44" s="214" t="str">
        <f t="shared" si="1"/>
        <v>EQTY.IntlUS.off</v>
      </c>
      <c r="N44" s="215">
        <f t="shared" si="2"/>
        <v>73</v>
      </c>
      <c r="O44" s="215">
        <f t="shared" si="3"/>
        <v>73</v>
      </c>
    </row>
    <row r="45" spans="5:15">
      <c r="E45" s="213" t="s">
        <v>317</v>
      </c>
      <c r="F45" s="213" t="s">
        <v>138</v>
      </c>
      <c r="G45" s="213" t="s">
        <v>282</v>
      </c>
      <c r="H45" s="213">
        <v>-46</v>
      </c>
      <c r="I45" s="213">
        <v>-46</v>
      </c>
      <c r="K45" s="214" t="str">
        <f t="shared" si="0"/>
        <v>US Equity</v>
      </c>
      <c r="L45" s="214" t="str">
        <f>IF(E45="","",IF(COUNTIFS(Table2[[#All],[De (Lote)]],Input_APM!F45)&gt;0,INDEX(Table2[[#All],[Para (Ticker Daniel)]],MATCH(Input_APM!F45,Table2[[#All],[De (Lote)]],0)),Input_APM!F45))</f>
        <v>MRVL</v>
      </c>
      <c r="M45" s="214" t="str">
        <f t="shared" si="1"/>
        <v>EQTY.IntlUS.off</v>
      </c>
      <c r="N45" s="215">
        <f t="shared" si="2"/>
        <v>-46</v>
      </c>
      <c r="O45" s="215">
        <f t="shared" si="3"/>
        <v>-46</v>
      </c>
    </row>
    <row r="46" spans="5:15">
      <c r="E46" s="213" t="s">
        <v>319</v>
      </c>
      <c r="F46" s="213" t="s">
        <v>2287</v>
      </c>
      <c r="G46" s="213" t="s">
        <v>282</v>
      </c>
      <c r="H46" s="213">
        <v>-141</v>
      </c>
      <c r="I46" s="213">
        <v>-141</v>
      </c>
      <c r="K46" s="214" t="str">
        <f t="shared" si="0"/>
        <v>US Equity Options</v>
      </c>
      <c r="L46" s="214" t="str">
        <f>IF(E46="","",IF(COUNTIFS(Table2[[#All],[De (Lote)]],Input_APM!F46)&gt;0,INDEX(Table2[[#All],[Para (Ticker Daniel)]],MATCH(Input_APM!F46,Table2[[#All],[De (Lote)]],0)),Input_APM!F46))</f>
        <v>MRVL US 03/20/26 P70</v>
      </c>
      <c r="M46" s="214" t="str">
        <f t="shared" si="1"/>
        <v>EQTY.IntlUS.off</v>
      </c>
      <c r="N46" s="215">
        <f t="shared" si="2"/>
        <v>-141</v>
      </c>
      <c r="O46" s="215">
        <f t="shared" si="3"/>
        <v>-141</v>
      </c>
    </row>
    <row r="47" spans="5:15">
      <c r="E47" s="213" t="s">
        <v>319</v>
      </c>
      <c r="F47" s="213" t="s">
        <v>2098</v>
      </c>
      <c r="G47" s="213" t="s">
        <v>282</v>
      </c>
      <c r="H47" s="213">
        <v>-188</v>
      </c>
      <c r="I47" s="213">
        <v>-188</v>
      </c>
      <c r="K47" s="214" t="str">
        <f t="shared" si="0"/>
        <v>US Equity Options</v>
      </c>
      <c r="L47" s="214" t="str">
        <f>IF(E47="","",IF(COUNTIFS(Table2[[#All],[De (Lote)]],Input_APM!F47)&gt;0,INDEX(Table2[[#All],[Para (Ticker Daniel)]],MATCH(Input_APM!F47,Table2[[#All],[De (Lote)]],0)),Input_APM!F47))</f>
        <v>MRVL US 03/20/26 P75</v>
      </c>
      <c r="M47" s="214" t="str">
        <f t="shared" si="1"/>
        <v>EQTY.IntlUS.off</v>
      </c>
      <c r="N47" s="215">
        <f t="shared" si="2"/>
        <v>-188</v>
      </c>
      <c r="O47" s="215">
        <f t="shared" si="3"/>
        <v>-188</v>
      </c>
    </row>
    <row r="48" spans="5:15">
      <c r="E48" s="213" t="s">
        <v>319</v>
      </c>
      <c r="F48" s="213" t="s">
        <v>2058</v>
      </c>
      <c r="G48" s="213" t="s">
        <v>282</v>
      </c>
      <c r="H48" s="213">
        <v>141</v>
      </c>
      <c r="I48" s="213">
        <v>141</v>
      </c>
      <c r="K48" s="214" t="str">
        <f t="shared" si="0"/>
        <v>US Equity Options</v>
      </c>
      <c r="L48" s="214" t="str">
        <f>IF(E48="","",IF(COUNTIFS(Table2[[#All],[De (Lote)]],Input_APM!F48)&gt;0,INDEX(Table2[[#All],[Para (Ticker Daniel)]],MATCH(Input_APM!F48,Table2[[#All],[De (Lote)]],0)),Input_APM!F48))</f>
        <v>MRVL US 03/20/26 P80</v>
      </c>
      <c r="M48" s="214" t="str">
        <f t="shared" si="1"/>
        <v>EQTY.IntlUS.off</v>
      </c>
      <c r="N48" s="215">
        <f t="shared" si="2"/>
        <v>141</v>
      </c>
      <c r="O48" s="215">
        <f t="shared" si="3"/>
        <v>141</v>
      </c>
    </row>
    <row r="49" spans="5:15">
      <c r="E49" s="213" t="s">
        <v>319</v>
      </c>
      <c r="F49" s="213" t="s">
        <v>2097</v>
      </c>
      <c r="G49" s="213" t="s">
        <v>282</v>
      </c>
      <c r="H49" s="213">
        <v>186</v>
      </c>
      <c r="I49" s="213">
        <v>186</v>
      </c>
      <c r="K49" s="214" t="str">
        <f t="shared" si="0"/>
        <v>US Equity Options</v>
      </c>
      <c r="L49" s="214" t="str">
        <f>IF(E49="","",IF(COUNTIFS(Table2[[#All],[De (Lote)]],Input_APM!F49)&gt;0,INDEX(Table2[[#All],[Para (Ticker Daniel)]],MATCH(Input_APM!F49,Table2[[#All],[De (Lote)]],0)),Input_APM!F49))</f>
        <v>MRVL US 03/20/26 P85</v>
      </c>
      <c r="M49" s="214" t="str">
        <f t="shared" si="1"/>
        <v>EQTY.IntlUS.off</v>
      </c>
      <c r="N49" s="215">
        <f t="shared" si="2"/>
        <v>186</v>
      </c>
      <c r="O49" s="215">
        <f t="shared" si="3"/>
        <v>186</v>
      </c>
    </row>
    <row r="50" spans="5:15">
      <c r="E50" s="213" t="s">
        <v>317</v>
      </c>
      <c r="F50" s="213" t="s">
        <v>90</v>
      </c>
      <c r="G50" s="213" t="s">
        <v>282</v>
      </c>
      <c r="H50" s="213">
        <v>2285</v>
      </c>
      <c r="I50" s="213">
        <v>3458</v>
      </c>
      <c r="K50" s="214" t="str">
        <f t="shared" si="0"/>
        <v>US Equity</v>
      </c>
      <c r="L50" s="214" t="str">
        <f>IF(E50="","",IF(COUNTIFS(Table2[[#All],[De (Lote)]],Input_APM!F50)&gt;0,INDEX(Table2[[#All],[Para (Ticker Daniel)]],MATCH(Input_APM!F50,Table2[[#All],[De (Lote)]],0)),Input_APM!F50))</f>
        <v>MSFT</v>
      </c>
      <c r="M50" s="214" t="str">
        <f t="shared" si="1"/>
        <v>EQTY.IntlUS.off</v>
      </c>
      <c r="N50" s="215">
        <f t="shared" si="2"/>
        <v>2285</v>
      </c>
      <c r="O50" s="215">
        <f t="shared" si="3"/>
        <v>3458</v>
      </c>
    </row>
    <row r="51" spans="5:15">
      <c r="E51" s="213" t="s">
        <v>319</v>
      </c>
      <c r="F51" s="213" t="s">
        <v>2049</v>
      </c>
      <c r="G51" s="213" t="s">
        <v>282</v>
      </c>
      <c r="H51" s="213">
        <v>-46</v>
      </c>
      <c r="I51" s="213">
        <v>-46</v>
      </c>
      <c r="K51" s="214" t="str">
        <f t="shared" si="0"/>
        <v>US Equity Options</v>
      </c>
      <c r="L51" s="214" t="str">
        <f>IF(E51="","",IF(COUNTIFS(Table2[[#All],[De (Lote)]],Input_APM!F51)&gt;0,INDEX(Table2[[#All],[Para (Ticker Daniel)]],MATCH(Input_APM!F51,Table2[[#All],[De (Lote)]],0)),Input_APM!F51))</f>
        <v>MSFT US 03/20/26 P465</v>
      </c>
      <c r="M51" s="214" t="str">
        <f t="shared" si="1"/>
        <v>EQTY.IntlUS.off</v>
      </c>
      <c r="N51" s="215">
        <f t="shared" si="2"/>
        <v>-46</v>
      </c>
      <c r="O51" s="215">
        <f t="shared" si="3"/>
        <v>-46</v>
      </c>
    </row>
    <row r="52" spans="5:15">
      <c r="E52" s="213" t="s">
        <v>319</v>
      </c>
      <c r="F52" s="213" t="s">
        <v>2309</v>
      </c>
      <c r="G52" s="213" t="s">
        <v>282</v>
      </c>
      <c r="H52" s="213">
        <v>0</v>
      </c>
      <c r="I52" s="213">
        <v>24</v>
      </c>
      <c r="K52" s="214" t="str">
        <f t="shared" si="0"/>
        <v>US Equity Options</v>
      </c>
      <c r="L52" s="214" t="str">
        <f>IF(E52="","",IF(COUNTIFS(Table2[[#All],[De (Lote)]],Input_APM!F52)&gt;0,INDEX(Table2[[#All],[Para (Ticker Daniel)]],MATCH(Input_APM!F52,Table2[[#All],[De (Lote)]],0)),Input_APM!F52))</f>
        <v>MSFT US 07/17/26 C465</v>
      </c>
      <c r="M52" s="214" t="str">
        <f t="shared" si="1"/>
        <v>EQTY.IntlUS.off</v>
      </c>
      <c r="N52" s="215">
        <f t="shared" si="2"/>
        <v>0</v>
      </c>
      <c r="O52" s="215">
        <f t="shared" si="3"/>
        <v>24</v>
      </c>
    </row>
    <row r="53" spans="5:15">
      <c r="E53" s="213" t="s">
        <v>319</v>
      </c>
      <c r="F53" s="213" t="s">
        <v>2354</v>
      </c>
      <c r="G53" s="213" t="s">
        <v>282</v>
      </c>
      <c r="H53" s="213">
        <v>119</v>
      </c>
      <c r="I53" s="213">
        <v>95</v>
      </c>
      <c r="K53" s="214" t="str">
        <f t="shared" si="0"/>
        <v>US Equity Options</v>
      </c>
      <c r="L53" s="214" t="str">
        <f>IF(E53="","",IF(COUNTIFS(Table2[[#All],[De (Lote)]],Input_APM!F53)&gt;0,INDEX(Table2[[#All],[Para (Ticker Daniel)]],MATCH(Input_APM!F53,Table2[[#All],[De (Lote)]],0)),Input_APM!F53))</f>
        <v>MSFT US 07/17/26 C475</v>
      </c>
      <c r="M53" s="214" t="str">
        <f t="shared" si="1"/>
        <v>EQTY.IntlUS.off</v>
      </c>
      <c r="N53" s="215">
        <f t="shared" si="2"/>
        <v>119</v>
      </c>
      <c r="O53" s="215">
        <f t="shared" si="3"/>
        <v>95</v>
      </c>
    </row>
    <row r="54" spans="5:15">
      <c r="E54" s="213" t="s">
        <v>317</v>
      </c>
      <c r="F54" s="213" t="s">
        <v>94</v>
      </c>
      <c r="G54" s="213" t="s">
        <v>282</v>
      </c>
      <c r="H54" s="213">
        <v>21522</v>
      </c>
      <c r="I54" s="213">
        <v>21522</v>
      </c>
      <c r="K54" s="214" t="str">
        <f t="shared" si="0"/>
        <v>US Equity</v>
      </c>
      <c r="L54" s="214" t="str">
        <f>IF(E54="","",IF(COUNTIFS(Table2[[#All],[De (Lote)]],Input_APM!F54)&gt;0,INDEX(Table2[[#All],[Para (Ticker Daniel)]],MATCH(Input_APM!F54,Table2[[#All],[De (Lote)]],0)),Input_APM!F54))</f>
        <v>NVDA</v>
      </c>
      <c r="M54" s="214" t="str">
        <f t="shared" si="1"/>
        <v>EQTY.IntlUS.off</v>
      </c>
      <c r="N54" s="215">
        <f t="shared" si="2"/>
        <v>21522</v>
      </c>
      <c r="O54" s="215">
        <f t="shared" si="3"/>
        <v>21522</v>
      </c>
    </row>
    <row r="55" spans="5:15">
      <c r="E55" s="213" t="s">
        <v>318</v>
      </c>
      <c r="F55" s="213" t="s">
        <v>2311</v>
      </c>
      <c r="G55" s="213" t="s">
        <v>282</v>
      </c>
      <c r="H55" s="213">
        <v>-67390</v>
      </c>
      <c r="I55" s="213">
        <v>74340</v>
      </c>
      <c r="K55" s="214" t="str">
        <f t="shared" si="0"/>
        <v>Provisions and Costs</v>
      </c>
      <c r="L55" s="214" t="str">
        <f>IF(E55="","",IF(COUNTIFS(Table2[[#All],[De (Lote)]],Input_APM!F55)&gt;0,INDEX(Table2[[#All],[Para (Ticker Daniel)]],MATCH(Input_APM!F55,Table2[[#All],[De (Lote)]],0)),Input_APM!F55))</f>
        <v>Provision CME USD_</v>
      </c>
      <c r="M55" s="214" t="str">
        <f t="shared" si="1"/>
        <v>EQTY.IntlUS.off</v>
      </c>
      <c r="N55" s="215">
        <f t="shared" si="2"/>
        <v>-67390</v>
      </c>
      <c r="O55" s="215">
        <f t="shared" si="3"/>
        <v>74340</v>
      </c>
    </row>
    <row r="56" spans="5:15">
      <c r="E56" s="213" t="s">
        <v>318</v>
      </c>
      <c r="F56" s="213" t="s">
        <v>336</v>
      </c>
      <c r="G56" s="213" t="s">
        <v>282</v>
      </c>
      <c r="H56" s="213">
        <v>0</v>
      </c>
      <c r="I56" s="213">
        <v>132367</v>
      </c>
      <c r="K56" s="214" t="str">
        <f t="shared" si="0"/>
        <v>Provisions and Costs</v>
      </c>
      <c r="L56" s="214" t="str">
        <f>IF(E56="","",IF(COUNTIFS(Table2[[#All],[De (Lote)]],Input_APM!F56)&gt;0,INDEX(Table2[[#All],[Para (Ticker Daniel)]],MATCH(Input_APM!F56,Table2[[#All],[De (Lote)]],0)),Input_APM!F56))</f>
        <v>Provision ETF Options USD_</v>
      </c>
      <c r="M56" s="214" t="str">
        <f t="shared" si="1"/>
        <v>EQTY.IntlUS.off</v>
      </c>
      <c r="N56" s="215">
        <f t="shared" si="2"/>
        <v>0</v>
      </c>
      <c r="O56" s="215">
        <f t="shared" si="3"/>
        <v>132367</v>
      </c>
    </row>
    <row r="57" spans="5:15">
      <c r="E57" s="213" t="s">
        <v>318</v>
      </c>
      <c r="F57" s="213" t="s">
        <v>306</v>
      </c>
      <c r="G57" s="213" t="s">
        <v>282</v>
      </c>
      <c r="H57" s="213">
        <v>336545.359999999</v>
      </c>
      <c r="I57" s="213">
        <v>2420727.11</v>
      </c>
      <c r="K57" s="214" t="str">
        <f t="shared" si="0"/>
        <v>Provisions and Costs</v>
      </c>
      <c r="L57" s="214" t="str">
        <f>IF(E57="","",IF(COUNTIFS(Table2[[#All],[De (Lote)]],Input_APM!F57)&gt;0,INDEX(Table2[[#All],[Para (Ticker Daniel)]],MATCH(Input_APM!F57,Table2[[#All],[De (Lote)]],0)),Input_APM!F57))</f>
        <v>Provision ETF USD_</v>
      </c>
      <c r="M57" s="214" t="str">
        <f t="shared" si="1"/>
        <v>EQTY.IntlUS.off</v>
      </c>
      <c r="N57" s="215">
        <f t="shared" si="2"/>
        <v>336545.359999999</v>
      </c>
      <c r="O57" s="215">
        <f t="shared" si="3"/>
        <v>2420727.11</v>
      </c>
    </row>
    <row r="58" spans="5:15">
      <c r="E58" s="213" t="s">
        <v>318</v>
      </c>
      <c r="F58" s="213" t="s">
        <v>2349</v>
      </c>
      <c r="G58" s="213" t="s">
        <v>282</v>
      </c>
      <c r="H58" s="213">
        <v>0</v>
      </c>
      <c r="I58" s="213">
        <v>-118304.52</v>
      </c>
      <c r="K58" s="214" t="str">
        <f t="shared" si="0"/>
        <v>Provisions and Costs</v>
      </c>
      <c r="L58" s="214" t="str">
        <f>IF(E58="","",IF(COUNTIFS(Table2[[#All],[De (Lote)]],Input_APM!F58)&gt;0,INDEX(Table2[[#All],[Para (Ticker Daniel)]],MATCH(Input_APM!F58,Table2[[#All],[De (Lote)]],0)),Input_APM!F58))</f>
        <v>Provision Korea Exchange USD_</v>
      </c>
      <c r="M58" s="214" t="str">
        <f t="shared" si="1"/>
        <v>EQTY.IntlUS.off</v>
      </c>
      <c r="N58" s="215">
        <f t="shared" si="2"/>
        <v>0</v>
      </c>
      <c r="O58" s="215">
        <f t="shared" si="3"/>
        <v>-118304.52</v>
      </c>
    </row>
    <row r="59" spans="5:15">
      <c r="E59" s="213" t="s">
        <v>318</v>
      </c>
      <c r="F59" s="213" t="s">
        <v>337</v>
      </c>
      <c r="G59" s="213" t="s">
        <v>282</v>
      </c>
      <c r="H59" s="213">
        <v>50850</v>
      </c>
      <c r="I59" s="213">
        <v>-279837</v>
      </c>
      <c r="K59" s="214" t="str">
        <f t="shared" si="0"/>
        <v>Provisions and Costs</v>
      </c>
      <c r="L59" s="214" t="str">
        <f>IF(E59="","",IF(COUNTIFS(Table2[[#All],[De (Lote)]],Input_APM!F59)&gt;0,INDEX(Table2[[#All],[Para (Ticker Daniel)]],MATCH(Input_APM!F59,Table2[[#All],[De (Lote)]],0)),Input_APM!F59))</f>
        <v>Provision US Equity Options USD_</v>
      </c>
      <c r="M59" s="214" t="str">
        <f t="shared" si="1"/>
        <v>EQTY.IntlUS.off</v>
      </c>
      <c r="N59" s="215">
        <f t="shared" si="2"/>
        <v>50850</v>
      </c>
      <c r="O59" s="215">
        <f t="shared" si="3"/>
        <v>-279837</v>
      </c>
    </row>
    <row r="60" spans="5:15">
      <c r="E60" s="213" t="s">
        <v>318</v>
      </c>
      <c r="F60" s="213" t="s">
        <v>307</v>
      </c>
      <c r="G60" s="213" t="s">
        <v>282</v>
      </c>
      <c r="H60" s="213">
        <v>-1411903.6</v>
      </c>
      <c r="I60" s="213">
        <v>-1931577.6</v>
      </c>
      <c r="K60" s="214" t="str">
        <f t="shared" si="0"/>
        <v>Provisions and Costs</v>
      </c>
      <c r="L60" s="214" t="str">
        <f>IF(E60="","",IF(COUNTIFS(Table2[[#All],[De (Lote)]],Input_APM!F60)&gt;0,INDEX(Table2[[#All],[Para (Ticker Daniel)]],MATCH(Input_APM!F60,Table2[[#All],[De (Lote)]],0)),Input_APM!F60))</f>
        <v>Provision US Equity USD_</v>
      </c>
      <c r="M60" s="214" t="str">
        <f t="shared" si="1"/>
        <v>EQTY.IntlUS.off</v>
      </c>
      <c r="N60" s="215">
        <f t="shared" si="2"/>
        <v>-1411903.6</v>
      </c>
      <c r="O60" s="215">
        <f t="shared" si="3"/>
        <v>-1931577.6</v>
      </c>
    </row>
    <row r="61" spans="5:15">
      <c r="E61" s="213" t="s">
        <v>317</v>
      </c>
      <c r="F61" s="213" t="s">
        <v>2131</v>
      </c>
      <c r="G61" s="213" t="s">
        <v>282</v>
      </c>
      <c r="H61" s="213">
        <v>29572</v>
      </c>
      <c r="I61" s="213">
        <v>25080</v>
      </c>
      <c r="K61" s="214" t="str">
        <f t="shared" si="0"/>
        <v>US Equity</v>
      </c>
      <c r="L61" s="214" t="str">
        <f>IF(E61="","",IF(COUNTIFS(Table2[[#All],[De (Lote)]],Input_APM!F61)&gt;0,INDEX(Table2[[#All],[Para (Ticker Daniel)]],MATCH(Input_APM!F61,Table2[[#All],[De (Lote)]],0)),Input_APM!F61))</f>
        <v>RIOT</v>
      </c>
      <c r="M61" s="214" t="str">
        <f t="shared" si="1"/>
        <v>EQTY.IntlUS.off</v>
      </c>
      <c r="N61" s="215">
        <f t="shared" si="2"/>
        <v>29572</v>
      </c>
      <c r="O61" s="215">
        <f t="shared" si="3"/>
        <v>25080</v>
      </c>
    </row>
    <row r="62" spans="5:15">
      <c r="E62" s="213" t="s">
        <v>320</v>
      </c>
      <c r="F62" s="213" t="s">
        <v>3</v>
      </c>
      <c r="G62" s="213" t="s">
        <v>282</v>
      </c>
      <c r="H62" s="213">
        <v>-12201</v>
      </c>
      <c r="I62" s="213">
        <v>-12201</v>
      </c>
      <c r="K62" s="214" t="str">
        <f t="shared" si="0"/>
        <v>ETF</v>
      </c>
      <c r="L62" s="214" t="str">
        <f>IF(E62="","",IF(COUNTIFS(Table2[[#All],[De (Lote)]],Input_APM!F62)&gt;0,INDEX(Table2[[#All],[Para (Ticker Daniel)]],MATCH(Input_APM!F62,Table2[[#All],[De (Lote)]],0)),Input_APM!F62))</f>
        <v>RSP</v>
      </c>
      <c r="M62" s="214" t="str">
        <f t="shared" si="1"/>
        <v>EQTY.IntlUS.off</v>
      </c>
      <c r="N62" s="215">
        <f t="shared" si="2"/>
        <v>-12201</v>
      </c>
      <c r="O62" s="215">
        <f t="shared" si="3"/>
        <v>-12201</v>
      </c>
    </row>
    <row r="63" spans="5:15">
      <c r="E63" s="213" t="s">
        <v>319</v>
      </c>
      <c r="F63" s="213" t="s">
        <v>2300</v>
      </c>
      <c r="G63" s="213" t="s">
        <v>282</v>
      </c>
      <c r="H63" s="213">
        <v>0</v>
      </c>
      <c r="I63" s="213">
        <v>14</v>
      </c>
      <c r="K63" s="214" t="str">
        <f t="shared" si="0"/>
        <v>US Equity Options</v>
      </c>
      <c r="L63" s="214" t="str">
        <f>IF(E63="","",IF(COUNTIFS(Table2[[#All],[De (Lote)]],Input_APM!F63)&gt;0,INDEX(Table2[[#All],[Para (Ticker Daniel)]],MATCH(Input_APM!F63,Table2[[#All],[De (Lote)]],0)),Input_APM!F63))</f>
        <v>SNDK US 02/20/26 C550</v>
      </c>
      <c r="M63" s="214" t="str">
        <f t="shared" si="1"/>
        <v>EQTY.IntlUS.off</v>
      </c>
      <c r="N63" s="215">
        <f t="shared" si="2"/>
        <v>0</v>
      </c>
      <c r="O63" s="215">
        <f t="shared" si="3"/>
        <v>14</v>
      </c>
    </row>
    <row r="64" spans="5:15">
      <c r="E64" s="213" t="s">
        <v>318</v>
      </c>
      <c r="F64" s="213" t="s">
        <v>2127</v>
      </c>
      <c r="G64" s="213" t="s">
        <v>283</v>
      </c>
      <c r="H64" s="213">
        <v>-0.01</v>
      </c>
      <c r="I64" s="213">
        <v>-0.01</v>
      </c>
      <c r="K64" s="214" t="str">
        <f t="shared" si="0"/>
        <v>Provisions and Costs</v>
      </c>
      <c r="L64" s="214" t="str">
        <f>IF(E64="","",IF(COUNTIFS(Table2[[#All],[De (Lote)]],Input_APM!F64)&gt;0,INDEX(Table2[[#All],[Para (Ticker Daniel)]],MATCH(Input_APM!F64,Table2[[#All],[De (Lote)]],0)),Input_APM!F64))</f>
        <v>SPY DIVIDEND_</v>
      </c>
      <c r="M64" s="214" t="str">
        <f t="shared" si="1"/>
        <v>EQTY.InternacionalUS2.off</v>
      </c>
      <c r="N64" s="215">
        <f t="shared" si="2"/>
        <v>-0.01</v>
      </c>
      <c r="O64" s="215">
        <f t="shared" si="3"/>
        <v>-0.01</v>
      </c>
    </row>
    <row r="65" spans="5:15">
      <c r="E65" s="213" t="s">
        <v>318</v>
      </c>
      <c r="F65" s="213" t="s">
        <v>2127</v>
      </c>
      <c r="G65" s="213" t="s">
        <v>282</v>
      </c>
      <c r="H65" s="213">
        <v>0.01</v>
      </c>
      <c r="I65" s="213">
        <v>0.01</v>
      </c>
      <c r="K65" s="214" t="str">
        <f t="shared" si="0"/>
        <v>Provisions and Costs</v>
      </c>
      <c r="L65" s="214" t="str">
        <f>IF(E65="","",IF(COUNTIFS(Table2[[#All],[De (Lote)]],Input_APM!F65)&gt;0,INDEX(Table2[[#All],[Para (Ticker Daniel)]],MATCH(Input_APM!F65,Table2[[#All],[De (Lote)]],0)),Input_APM!F65))</f>
        <v>SPY DIVIDEND_</v>
      </c>
      <c r="M65" s="214" t="str">
        <f t="shared" si="1"/>
        <v>EQTY.IntlUS.off</v>
      </c>
      <c r="N65" s="215">
        <f t="shared" si="2"/>
        <v>0.01</v>
      </c>
      <c r="O65" s="215">
        <f t="shared" si="3"/>
        <v>0.01</v>
      </c>
    </row>
    <row r="66" spans="5:15">
      <c r="E66" s="213" t="s">
        <v>2133</v>
      </c>
      <c r="F66" s="213" t="s">
        <v>2312</v>
      </c>
      <c r="G66" s="213" t="s">
        <v>282</v>
      </c>
      <c r="H66" s="213">
        <v>843</v>
      </c>
      <c r="I66" s="213">
        <v>843</v>
      </c>
      <c r="K66" s="214" t="str">
        <f t="shared" si="0"/>
        <v>Equity Total Return Swap</v>
      </c>
      <c r="L66" s="214" t="str">
        <f>IF(E66="","",IF(COUNTIFS(Table2[[#All],[De (Lote)]],Input_APM!F66)&gt;0,INDEX(Table2[[#All],[Para (Ticker Daniel)]],MATCH(Input_APM!F66,Table2[[#All],[De (Lote)]],0)),Input_APM!F66))</f>
        <v>SWAP 000660 KP 23JAN2026 25JAN2027 509.6192</v>
      </c>
      <c r="M66" s="214" t="str">
        <f t="shared" si="1"/>
        <v>EQTY.IntlUS.off</v>
      </c>
      <c r="N66" s="215">
        <f t="shared" si="2"/>
        <v>843</v>
      </c>
      <c r="O66" s="215">
        <f t="shared" si="3"/>
        <v>843</v>
      </c>
    </row>
    <row r="67" spans="5:15">
      <c r="E67" s="213" t="s">
        <v>2133</v>
      </c>
      <c r="F67" s="213" t="s">
        <v>2134</v>
      </c>
      <c r="G67" s="213" t="s">
        <v>282</v>
      </c>
      <c r="H67" s="213">
        <v>1400</v>
      </c>
      <c r="I67" s="213">
        <v>1400</v>
      </c>
      <c r="K67" s="214" t="str">
        <f t="shared" ref="K67:K130" si="4">IF(E67="","",E67)</f>
        <v>Equity Total Return Swap</v>
      </c>
      <c r="L67" s="214" t="str">
        <f>IF(E67="","",IF(COUNTIFS(Table2[[#All],[De (Lote)]],Input_APM!F67)&gt;0,INDEX(Table2[[#All],[Para (Ticker Daniel)]],MATCH(Input_APM!F67,Table2[[#All],[De (Lote)]],0)),Input_APM!F67))</f>
        <v>000660 KS</v>
      </c>
      <c r="M67" s="214" t="str">
        <f t="shared" ref="M67:M130" si="5">IF(E67="","",G67)</f>
        <v>EQTY.IntlUS.off</v>
      </c>
      <c r="N67" s="215">
        <f t="shared" ref="N67:N130" si="6">IF(E67="","",H67)</f>
        <v>1400</v>
      </c>
      <c r="O67" s="215">
        <f t="shared" ref="O67:O130" si="7">IF(E67="","",I67)</f>
        <v>1400</v>
      </c>
    </row>
    <row r="68" spans="5:15">
      <c r="E68" s="213" t="s">
        <v>2133</v>
      </c>
      <c r="F68" s="213" t="s">
        <v>2350</v>
      </c>
      <c r="G68" s="213" t="s">
        <v>282</v>
      </c>
      <c r="H68" s="213">
        <v>844</v>
      </c>
      <c r="I68" s="213">
        <v>844</v>
      </c>
      <c r="K68" s="214" t="str">
        <f t="shared" si="4"/>
        <v>Equity Total Return Swap</v>
      </c>
      <c r="L68" s="214" t="str">
        <f>IF(E68="","",IF(COUNTIFS(Table2[[#All],[De (Lote)]],Input_APM!F68)&gt;0,INDEX(Table2[[#All],[Para (Ticker Daniel)]],MATCH(Input_APM!F68,Table2[[#All],[De (Lote)]],0)),Input_APM!F68))</f>
        <v>SWAP 000660 KS 26JAN2026 26JAN2027 509.6192</v>
      </c>
      <c r="M68" s="214" t="str">
        <f t="shared" si="5"/>
        <v>EQTY.IntlUS.off</v>
      </c>
      <c r="N68" s="215">
        <f t="shared" si="6"/>
        <v>844</v>
      </c>
      <c r="O68" s="215">
        <f t="shared" si="7"/>
        <v>844</v>
      </c>
    </row>
    <row r="69" spans="5:15">
      <c r="E69" s="213" t="s">
        <v>39</v>
      </c>
      <c r="F69" s="213" t="s">
        <v>96</v>
      </c>
      <c r="G69" s="213" t="s">
        <v>282</v>
      </c>
      <c r="H69" s="213">
        <v>3806</v>
      </c>
      <c r="I69" s="213">
        <v>3806</v>
      </c>
      <c r="K69" s="214" t="str">
        <f t="shared" si="4"/>
        <v>ADR</v>
      </c>
      <c r="L69" s="214" t="str">
        <f>IF(E69="","",IF(COUNTIFS(Table2[[#All],[De (Lote)]],Input_APM!F69)&gt;0,INDEX(Table2[[#All],[Para (Ticker Daniel)]],MATCH(Input_APM!F69,Table2[[#All],[De (Lote)]],0)),Input_APM!F69))</f>
        <v>TSM</v>
      </c>
      <c r="M69" s="214" t="str">
        <f t="shared" si="5"/>
        <v>EQTY.IntlUS.off</v>
      </c>
      <c r="N69" s="215">
        <f t="shared" si="6"/>
        <v>3806</v>
      </c>
      <c r="O69" s="215">
        <f t="shared" si="7"/>
        <v>3806</v>
      </c>
    </row>
    <row r="70" spans="5:15">
      <c r="E70" s="213" t="s">
        <v>327</v>
      </c>
      <c r="F70" s="213" t="s">
        <v>2228</v>
      </c>
      <c r="G70" s="213" t="s">
        <v>282</v>
      </c>
      <c r="H70" s="213">
        <v>1453</v>
      </c>
      <c r="I70" s="213">
        <v>1453</v>
      </c>
      <c r="K70" s="214" t="str">
        <f t="shared" si="4"/>
        <v>ADR Options</v>
      </c>
      <c r="L70" s="214" t="str">
        <f>IF(E70="","",IF(COUNTIFS(Table2[[#All],[De (Lote)]],Input_APM!F70)&gt;0,INDEX(Table2[[#All],[Para (Ticker Daniel)]],MATCH(Input_APM!F70,Table2[[#All],[De (Lote)]],0)),Input_APM!F70))</f>
        <v>TSM US 06/18/26 C340</v>
      </c>
      <c r="M70" s="214" t="str">
        <f t="shared" si="5"/>
        <v>EQTY.IntlUS.off</v>
      </c>
      <c r="N70" s="215">
        <f t="shared" si="6"/>
        <v>1453</v>
      </c>
      <c r="O70" s="215">
        <f t="shared" si="7"/>
        <v>1453</v>
      </c>
    </row>
    <row r="71" spans="5:15">
      <c r="E71" s="213" t="s">
        <v>327</v>
      </c>
      <c r="F71" s="213" t="s">
        <v>2229</v>
      </c>
      <c r="G71" s="213" t="s">
        <v>282</v>
      </c>
      <c r="H71" s="213">
        <v>-1312</v>
      </c>
      <c r="I71" s="213">
        <v>-1312</v>
      </c>
      <c r="K71" s="214" t="str">
        <f t="shared" si="4"/>
        <v>ADR Options</v>
      </c>
      <c r="L71" s="214" t="str">
        <f>IF(E71="","",IF(COUNTIFS(Table2[[#All],[De (Lote)]],Input_APM!F71)&gt;0,INDEX(Table2[[#All],[Para (Ticker Daniel)]],MATCH(Input_APM!F71,Table2[[#All],[De (Lote)]],0)),Input_APM!F71))</f>
        <v>TSM US 06/18/26 C380</v>
      </c>
      <c r="M71" s="214" t="str">
        <f t="shared" si="5"/>
        <v>EQTY.IntlUS.off</v>
      </c>
      <c r="N71" s="215">
        <f t="shared" si="6"/>
        <v>-1312</v>
      </c>
      <c r="O71" s="215">
        <f t="shared" si="7"/>
        <v>-1312</v>
      </c>
    </row>
    <row r="72" spans="5:15">
      <c r="E72" s="213" t="s">
        <v>320</v>
      </c>
      <c r="F72" s="213" t="s">
        <v>88</v>
      </c>
      <c r="G72" s="213" t="s">
        <v>282</v>
      </c>
      <c r="H72" s="213">
        <v>42865</v>
      </c>
      <c r="I72" s="213">
        <v>42865</v>
      </c>
      <c r="K72" s="214" t="str">
        <f t="shared" si="4"/>
        <v>ETF</v>
      </c>
      <c r="L72" s="214" t="str">
        <f>IF(E72="","",IF(COUNTIFS(Table2[[#All],[De (Lote)]],Input_APM!F72)&gt;0,INDEX(Table2[[#All],[Para (Ticker Daniel)]],MATCH(Input_APM!F72,Table2[[#All],[De (Lote)]],0)),Input_APM!F72))</f>
        <v>XLF</v>
      </c>
      <c r="M72" s="214" t="str">
        <f t="shared" si="5"/>
        <v>EQTY.IntlUS.off</v>
      </c>
      <c r="N72" s="215">
        <f t="shared" si="6"/>
        <v>42865</v>
      </c>
      <c r="O72" s="215">
        <f t="shared" si="7"/>
        <v>42865</v>
      </c>
    </row>
    <row r="73" spans="5:15">
      <c r="E73" s="213" t="s">
        <v>320</v>
      </c>
      <c r="F73" s="213" t="s">
        <v>4</v>
      </c>
      <c r="G73" s="213" t="s">
        <v>282</v>
      </c>
      <c r="H73" s="213">
        <v>-25765</v>
      </c>
      <c r="I73" s="213">
        <v>-25765</v>
      </c>
      <c r="K73" s="214" t="str">
        <f t="shared" si="4"/>
        <v>ETF</v>
      </c>
      <c r="L73" s="214" t="str">
        <f>IF(E73="","",IF(COUNTIFS(Table2[[#All],[De (Lote)]],Input_APM!F73)&gt;0,INDEX(Table2[[#All],[Para (Ticker Daniel)]],MATCH(Input_APM!F73,Table2[[#All],[De (Lote)]],0)),Input_APM!F73))</f>
        <v>XLP</v>
      </c>
      <c r="M73" s="214" t="str">
        <f t="shared" si="5"/>
        <v>EQTY.IntlUS.off</v>
      </c>
      <c r="N73" s="215">
        <f t="shared" si="6"/>
        <v>-25765</v>
      </c>
      <c r="O73" s="215">
        <f t="shared" si="7"/>
        <v>-25765</v>
      </c>
    </row>
    <row r="74" spans="5:15">
      <c r="K74" s="214" t="str">
        <f t="shared" si="4"/>
        <v/>
      </c>
      <c r="L74" s="214" t="str">
        <f>IF(E74="","",IF(COUNTIFS(Table2[[#All],[De (Lote)]],Input_APM!F74)&gt;0,INDEX(Table2[[#All],[Para (Ticker Daniel)]],MATCH(Input_APM!F74,Table2[[#All],[De (Lote)]],0)),Input_APM!F74))</f>
        <v/>
      </c>
      <c r="M74" s="214" t="str">
        <f t="shared" si="5"/>
        <v/>
      </c>
      <c r="N74" s="215" t="str">
        <f t="shared" si="6"/>
        <v/>
      </c>
      <c r="O74" s="215" t="str">
        <f t="shared" si="7"/>
        <v/>
      </c>
    </row>
    <row r="75" spans="5:15">
      <c r="K75" s="214" t="str">
        <f t="shared" si="4"/>
        <v/>
      </c>
      <c r="L75" s="214" t="str">
        <f>IF(E75="","",IF(COUNTIFS(Table2[[#All],[De (Lote)]],Input_APM!F75)&gt;0,INDEX(Table2[[#All],[Para (Ticker Daniel)]],MATCH(Input_APM!F75,Table2[[#All],[De (Lote)]],0)),Input_APM!F75))</f>
        <v/>
      </c>
      <c r="M75" s="214" t="str">
        <f t="shared" si="5"/>
        <v/>
      </c>
      <c r="N75" s="215" t="str">
        <f t="shared" si="6"/>
        <v/>
      </c>
      <c r="O75" s="215" t="str">
        <f t="shared" si="7"/>
        <v/>
      </c>
    </row>
    <row r="76" spans="5:15">
      <c r="K76" s="214" t="str">
        <f t="shared" si="4"/>
        <v/>
      </c>
      <c r="L76" s="214" t="str">
        <f>IF(E76="","",IF(COUNTIFS(Table2[[#All],[De (Lote)]],Input_APM!F76)&gt;0,INDEX(Table2[[#All],[Para (Ticker Daniel)]],MATCH(Input_APM!F76,Table2[[#All],[De (Lote)]],0)),Input_APM!F76))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(Lote)]],Input_APM!F77)&gt;0,INDEX(Table2[[#All],[Para (Ticker Daniel)]],MATCH(Input_APM!F77,Table2[[#All],[De (Lote)]],0)),Input_APM!F77))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(Lote)]],Input_APM!F78)&gt;0,INDEX(Table2[[#All],[Para (Ticker Daniel)]],MATCH(Input_APM!F78,Table2[[#All],[De (Lote)]],0)),Input_APM!F78))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(Lote)]],Input_APM!F79)&gt;0,INDEX(Table2[[#All],[Para (Ticker Daniel)]],MATCH(Input_APM!F79,Table2[[#All],[De (Lote)]],0)),Input_APM!F79))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K80" s="214" t="str">
        <f t="shared" si="4"/>
        <v/>
      </c>
      <c r="L80" s="214" t="str">
        <f>IF(E80="","",IF(COUNTIFS(Table2[[#All],[De (Lote)]],Input_APM!F80)&gt;0,INDEX(Table2[[#All],[Para (Ticker Daniel)]],MATCH(Input_APM!F80,Table2[[#All],[De (Lote)]],0)),Input_APM!F80))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K81" s="214" t="str">
        <f t="shared" si="4"/>
        <v/>
      </c>
      <c r="L81" s="214" t="str">
        <f>IF(E81="","",IF(COUNTIFS(Table2[[#All],[De (Lote)]],Input_APM!F81)&gt;0,INDEX(Table2[[#All],[Para (Ticker Daniel)]],MATCH(Input_APM!F81,Table2[[#All],[De (Lote)]],0)),Input_APM!F81))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K82" s="214" t="str">
        <f t="shared" si="4"/>
        <v/>
      </c>
      <c r="L82" s="214" t="str">
        <f>IF(E82="","",IF(COUNTIFS(Table2[[#All],[De (Lote)]],Input_APM!F82)&gt;0,INDEX(Table2[[#All],[Para (Ticker Daniel)]],MATCH(Input_APM!F82,Table2[[#All],[De (Lote)]],0)),Input_APM!F82))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K83" s="214" t="str">
        <f t="shared" si="4"/>
        <v/>
      </c>
      <c r="L83" s="214" t="str">
        <f>IF(E83="","",IF(COUNTIFS(Table2[[#All],[De (Lote)]],Input_APM!F83)&gt;0,INDEX(Table2[[#All],[Para (Ticker Daniel)]],MATCH(Input_APM!F83,Table2[[#All],[De (Lote)]],0)),Input_APM!F83))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K84" s="214" t="str">
        <f t="shared" si="4"/>
        <v/>
      </c>
      <c r="L84" s="214" t="str">
        <f>IF(E84="","",IF(COUNTIFS(Table2[[#All],[De (Lote)]],Input_APM!F84)&gt;0,INDEX(Table2[[#All],[Para (Ticker Daniel)]],MATCH(Input_APM!F84,Table2[[#All],[De (Lote)]],0)),Input_APM!F84))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H85" s="225"/>
      <c r="K85" s="214" t="str">
        <f t="shared" si="4"/>
        <v/>
      </c>
      <c r="L85" s="214" t="str">
        <f>IF(E85="","",IF(COUNTIFS(Table2[[#All],[De (Lote)]],Input_APM!F85)&gt;0,INDEX(Table2[[#All],[Para (Ticker Daniel)]],MATCH(Input_APM!F85,Table2[[#All],[De (Lote)]],0)),Input_APM!F85))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H86" s="225"/>
      <c r="K86" s="214" t="str">
        <f t="shared" si="4"/>
        <v/>
      </c>
      <c r="L86" s="214" t="str">
        <f>IF(E86="","",IF(COUNTIFS(Table2[[#All],[De (Lote)]],Input_APM!F86)&gt;0,INDEX(Table2[[#All],[Para (Ticker Daniel)]],MATCH(Input_APM!F86,Table2[[#All],[De (Lote)]],0)),Input_APM!F86))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H87" s="225"/>
      <c r="K87" s="214" t="str">
        <f t="shared" si="4"/>
        <v/>
      </c>
      <c r="L87" s="214" t="str">
        <f>IF(E87="","",IF(COUNTIFS(Table2[[#All],[De (Lote)]],Input_APM!F87)&gt;0,INDEX(Table2[[#All],[Para (Ticker Daniel)]],MATCH(Input_APM!F87,Table2[[#All],[De (Lote)]],0)),Input_APM!F87))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(Lote)]],Input_APM!F88)&gt;0,INDEX(Table2[[#All],[Para (Ticker Daniel)]],MATCH(Input_APM!F88,Table2[[#All],[De (Lote)]],0)),Input_APM!F88))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(Lote)]],Input_APM!F89)&gt;0,INDEX(Table2[[#All],[Para (Ticker Daniel)]],MATCH(Input_APM!F89,Table2[[#All],[De (Lote)]],0)),Input_APM!F89))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(Lote)]],Input_APM!F90)&gt;0,INDEX(Table2[[#All],[Para (Ticker Daniel)]],MATCH(Input_APM!F90,Table2[[#All],[De (Lote)]],0)),Input_APM!F90))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(Lote)]],Input_APM!F91)&gt;0,INDEX(Table2[[#All],[Para (Ticker Daniel)]],MATCH(Input_APM!F91,Table2[[#All],[De (Lote)]],0)),Input_APM!F91))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H92" s="225"/>
      <c r="K92" s="214" t="str">
        <f t="shared" si="4"/>
        <v/>
      </c>
      <c r="L92" s="214" t="str">
        <f>IF(E92="","",IF(COUNTIFS(Table2[[#All],[De (Lote)]],Input_APM!F92)&gt;0,INDEX(Table2[[#All],[Para (Ticker Daniel)]],MATCH(Input_APM!F92,Table2[[#All],[De (Lote)]],0)),Input_APM!F92))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K93" s="214" t="str">
        <f t="shared" si="4"/>
        <v/>
      </c>
      <c r="L93" s="214" t="str">
        <f>IF(E93="","",IF(COUNTIFS(Table2[[#All],[De (Lote)]],Input_APM!F93)&gt;0,INDEX(Table2[[#All],[Para (Ticker Daniel)]],MATCH(Input_APM!F93,Table2[[#All],[De (Lote)]],0)),Input_APM!F93))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K94" s="214" t="str">
        <f t="shared" si="4"/>
        <v/>
      </c>
      <c r="L94" s="214" t="str">
        <f>IF(E94="","",IF(COUNTIFS(Table2[[#All],[De (Lote)]],Input_APM!F94)&gt;0,INDEX(Table2[[#All],[Para (Ticker Daniel)]],MATCH(Input_APM!F94,Table2[[#All],[De (Lote)]],0)),Input_APM!F94))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H95" s="225"/>
      <c r="K95" s="214" t="str">
        <f t="shared" si="4"/>
        <v/>
      </c>
      <c r="L95" s="214" t="str">
        <f>IF(E95="","",IF(COUNTIFS(Table2[[#All],[De (Lote)]],Input_APM!F95)&gt;0,INDEX(Table2[[#All],[Para (Ticker Daniel)]],MATCH(Input_APM!F95,Table2[[#All],[De (Lote)]],0)),Input_APM!F95))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(Lote)]],Input_APM!F96)&gt;0,INDEX(Table2[[#All],[Para (Ticker Daniel)]],MATCH(Input_APM!F96,Table2[[#All],[De (Lote)]],0)),Input_APM!F96))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(Lote)]],Input_APM!F97)&gt;0,INDEX(Table2[[#All],[Para (Ticker Daniel)]],MATCH(Input_APM!F97,Table2[[#All],[De (Lote)]],0)),Input_APM!F97))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(Lote)]],Input_APM!F98)&gt;0,INDEX(Table2[[#All],[Para (Ticker Daniel)]],MATCH(Input_APM!F98,Table2[[#All],[De (Lote)]],0)),Input_APM!F98))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(Lote)]],Input_APM!F99)&gt;0,INDEX(Table2[[#All],[Para (Ticker Daniel)]],MATCH(Input_APM!F99,Table2[[#All],[De (Lote)]],0)),Input_APM!F99))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(Lote)]],Input_APM!F100)&gt;0,INDEX(Table2[[#All],[Para (Ticker Daniel)]],MATCH(Input_APM!F100,Table2[[#All],[De (Lote)]],0)),Input_APM!F100))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(Lote)]],Input_APM!F101)&gt;0,INDEX(Table2[[#All],[Para (Ticker Daniel)]],MATCH(Input_APM!F101,Table2[[#All],[De (Lote)]],0)),Input_APM!F101))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(Lote)]],Input_APM!F102)&gt;0,INDEX(Table2[[#All],[Para (Ticker Daniel)]],MATCH(Input_APM!F102,Table2[[#All],[De (Lote)]],0)),Input_APM!F102))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(Lote)]],Input_APM!F103)&gt;0,INDEX(Table2[[#All],[Para (Ticker Daniel)]],MATCH(Input_APM!F103,Table2[[#All],[De (Lote)]],0)),Input_APM!F103))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(Lote)]],Input_APM!F104)&gt;0,INDEX(Table2[[#All],[Para (Ticker Daniel)]],MATCH(Input_APM!F104,Table2[[#All],[De (Lote)]],0)),Input_APM!F104))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(Lote)]],Input_APM!F105)&gt;0,INDEX(Table2[[#All],[Para (Ticker Daniel)]],MATCH(Input_APM!F105,Table2[[#All],[De (Lote)]],0)),Input_APM!F105))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(Lote)]],Input_APM!F106)&gt;0,INDEX(Table2[[#All],[Para (Ticker Daniel)]],MATCH(Input_APM!F106,Table2[[#All],[De (Lote)]],0)),Input_APM!F106))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(Lote)]],Input_APM!F107)&gt;0,INDEX(Table2[[#All],[Para (Ticker Daniel)]],MATCH(Input_APM!F107,Table2[[#All],[De (Lote)]],0)),Input_APM!F107))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(Lote)]],Input_APM!F108)&gt;0,INDEX(Table2[[#All],[Para (Ticker Daniel)]],MATCH(Input_APM!F108,Table2[[#All],[De (Lote)]],0)),Input_APM!F108))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(Lote)]],Input_APM!F109)&gt;0,INDEX(Table2[[#All],[Para (Ticker Daniel)]],MATCH(Input_APM!F109,Table2[[#All],[De (Lote)]],0)),Input_APM!F109))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(Lote)]],Input_APM!F110)&gt;0,INDEX(Table2[[#All],[Para (Ticker Daniel)]],MATCH(Input_APM!F110,Table2[[#All],[De (Lote)]],0)),Input_APM!F110))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(Lote)]],Input_APM!F111)&gt;0,INDEX(Table2[[#All],[Para (Ticker Daniel)]],MATCH(Input_APM!F111,Table2[[#All],[De (Lote)]],0)),Input_APM!F111))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(Lote)]],Input_APM!F112)&gt;0,INDEX(Table2[[#All],[Para (Ticker Daniel)]],MATCH(Input_APM!F112,Table2[[#All],[De (Lote)]],0)),Input_APM!F112))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(Lote)]],Input_APM!F113)&gt;0,INDEX(Table2[[#All],[Para (Ticker Daniel)]],MATCH(Input_APM!F113,Table2[[#All],[De (Lote)]],0)),Input_APM!F113))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(Lote)]],Input_APM!F114)&gt;0,INDEX(Table2[[#All],[Para (Ticker Daniel)]],MATCH(Input_APM!F114,Table2[[#All],[De (Lote)]],0)),Input_APM!F114))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(Lote)]],Input_APM!F115)&gt;0,INDEX(Table2[[#All],[Para (Ticker Daniel)]],MATCH(Input_APM!F115,Table2[[#All],[De (Lote)]],0)),Input_APM!F115))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(Lote)]],Input_APM!F116)&gt;0,INDEX(Table2[[#All],[Para (Ticker Daniel)]],MATCH(Input_APM!F116,Table2[[#All],[De (Lote)]],0)),Input_APM!F116))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(Lote)]],Input_APM!F117)&gt;0,INDEX(Table2[[#All],[Para (Ticker Daniel)]],MATCH(Input_APM!F117,Table2[[#All],[De (Lote)]],0)),Input_APM!F117))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(Lote)]],Input_APM!F118)&gt;0,INDEX(Table2[[#All],[Para (Ticker Daniel)]],MATCH(Input_APM!F118,Table2[[#All],[De (Lote)]],0)),Input_APM!F118))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(Lote)]],Input_APM!F119)&gt;0,INDEX(Table2[[#All],[Para (Ticker Daniel)]],MATCH(Input_APM!F119,Table2[[#All],[De (Lote)]],0)),Input_APM!F119))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(Lote)]],Input_APM!F120)&gt;0,INDEX(Table2[[#All],[Para (Ticker Daniel)]],MATCH(Input_APM!F120,Table2[[#All],[De (Lote)]],0)),Input_APM!F120))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(Lote)]],Input_APM!F121)&gt;0,INDEX(Table2[[#All],[Para (Ticker Daniel)]],MATCH(Input_APM!F121,Table2[[#All],[De (Lote)]],0)),Input_APM!F121))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(Lote)]],Input_APM!F122)&gt;0,INDEX(Table2[[#All],[Para (Ticker Daniel)]],MATCH(Input_APM!F122,Table2[[#All],[De (Lote)]],0)),Input_APM!F122))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(Lote)]],Input_APM!F123)&gt;0,INDEX(Table2[[#All],[Para (Ticker Daniel)]],MATCH(Input_APM!F123,Table2[[#All],[De (Lote)]],0)),Input_APM!F123))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(Lote)]],Input_APM!F124)&gt;0,INDEX(Table2[[#All],[Para (Ticker Daniel)]],MATCH(Input_APM!F124,Table2[[#All],[De (Lote)]],0)),Input_APM!F124))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(Lote)]],Input_APM!F125)&gt;0,INDEX(Table2[[#All],[Para (Ticker Daniel)]],MATCH(Input_APM!F125,Table2[[#All],[De (Lote)]],0)),Input_APM!F125))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(Lote)]],Input_APM!F126)&gt;0,INDEX(Table2[[#All],[Para (Ticker Daniel)]],MATCH(Input_APM!F126,Table2[[#All],[De (Lote)]],0)),Input_APM!F126))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(Lote)]],Input_APM!F127)&gt;0,INDEX(Table2[[#All],[Para (Ticker Daniel)]],MATCH(Input_APM!F127,Table2[[#All],[De (Lote)]],0)),Input_APM!F127))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(Lote)]],Input_APM!F128)&gt;0,INDEX(Table2[[#All],[Para (Ticker Daniel)]],MATCH(Input_APM!F128,Table2[[#All],[De (Lote)]],0)),Input_APM!F128))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(Lote)]],Input_APM!F129)&gt;0,INDEX(Table2[[#All],[Para (Ticker Daniel)]],MATCH(Input_APM!F129,Table2[[#All],[De (Lote)]],0)),Input_APM!F129))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(Lote)]],Input_APM!F130)&gt;0,INDEX(Table2[[#All],[Para (Ticker Daniel)]],MATCH(Input_APM!F130,Table2[[#All],[De (Lote)]],0)),Input_APM!F130))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(Lote)]],Input_APM!F131)&gt;0,INDEX(Table2[[#All],[Para (Ticker Daniel)]],MATCH(Input_APM!F131,Table2[[#All],[De (Lote)]],0)),Input_APM!F131))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(Lote)]],Input_APM!F132)&gt;0,INDEX(Table2[[#All],[Para (Ticker Daniel)]],MATCH(Input_APM!F132,Table2[[#All],[De (Lote)]],0)),Input_APM!F132))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(Lote)]],Input_APM!F133)&gt;0,INDEX(Table2[[#All],[Para (Ticker Daniel)]],MATCH(Input_APM!F133,Table2[[#All],[De (Lote)]],0)),Input_APM!F133))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(Lote)]],Input_APM!F134)&gt;0,INDEX(Table2[[#All],[Para (Ticker Daniel)]],MATCH(Input_APM!F134,Table2[[#All],[De (Lote)]],0)),Input_APM!F134))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(Lote)]],Input_APM!F135)&gt;0,INDEX(Table2[[#All],[Para (Ticker Daniel)]],MATCH(Input_APM!F135,Table2[[#All],[De (Lote)]],0)),Input_APM!F135))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(Lote)]],Input_APM!F136)&gt;0,INDEX(Table2[[#All],[Para (Ticker Daniel)]],MATCH(Input_APM!F136,Table2[[#All],[De (Lote)]],0)),Input_APM!F136))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(Lote)]],Input_APM!F137)&gt;0,INDEX(Table2[[#All],[Para (Ticker Daniel)]],MATCH(Input_APM!F137,Table2[[#All],[De (Lote)]],0)),Input_APM!F137))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(Lote)]],Input_APM!F138)&gt;0,INDEX(Table2[[#All],[Para (Ticker Daniel)]],MATCH(Input_APM!F138,Table2[[#All],[De (Lote)]],0)),Input_APM!F138))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(Lote)]],Input_APM!F139)&gt;0,INDEX(Table2[[#All],[Para (Ticker Daniel)]],MATCH(Input_APM!F139,Table2[[#All],[De (Lote)]],0)),Input_APM!F139))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(Lote)]],Input_APM!F140)&gt;0,INDEX(Table2[[#All],[Para (Ticker Daniel)]],MATCH(Input_APM!F140,Table2[[#All],[De (Lote)]],0)),Input_APM!F140))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(Lote)]],Input_APM!F141)&gt;0,INDEX(Table2[[#All],[Para (Ticker Daniel)]],MATCH(Input_APM!F141,Table2[[#All],[De (Lote)]],0)),Input_APM!F141))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(Lote)]],Input_APM!F142)&gt;0,INDEX(Table2[[#All],[Para (Ticker Daniel)]],MATCH(Input_APM!F142,Table2[[#All],[De (Lote)]],0)),Input_APM!F142))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(Lote)]],Input_APM!F143)&gt;0,INDEX(Table2[[#All],[Para (Ticker Daniel)]],MATCH(Input_APM!F143,Table2[[#All],[De (Lote)]],0)),Input_APM!F143))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(Lote)]],Input_APM!F144)&gt;0,INDEX(Table2[[#All],[Para (Ticker Daniel)]],MATCH(Input_APM!F144,Table2[[#All],[De (Lote)]],0)),Input_APM!F144))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(Lote)]],Input_APM!F145)&gt;0,INDEX(Table2[[#All],[Para (Ticker Daniel)]],MATCH(Input_APM!F145,Table2[[#All],[De (Lote)]],0)),Input_APM!F145))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(Lote)]],Input_APM!F146)&gt;0,INDEX(Table2[[#All],[Para (Ticker Daniel)]],MATCH(Input_APM!F146,Table2[[#All],[De (Lote)]],0)),Input_APM!F146))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(Lote)]],Input_APM!F147)&gt;0,INDEX(Table2[[#All],[Para (Ticker Daniel)]],MATCH(Input_APM!F147,Table2[[#All],[De (Lote)]],0)),Input_APM!F147))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(Lote)]],Input_APM!F148)&gt;0,INDEX(Table2[[#All],[Para (Ticker Daniel)]],MATCH(Input_APM!F148,Table2[[#All],[De (Lote)]],0)),Input_APM!F148))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207" si="12">IF(E149="","",E149)</f>
        <v/>
      </c>
      <c r="L149" s="214" t="str">
        <f>IF(E149="","",IF(COUNTIFS(Table2[[#All],[De (Lote)]],Input_APM!F149)&gt;0,INDEX(Table2[[#All],[Para (Ticker Daniel)]],MATCH(Input_APM!F149,Table2[[#All],[De (Lote)]],0)),Input_APM!F149))</f>
        <v/>
      </c>
      <c r="M149" s="214" t="str">
        <f t="shared" ref="M149:M207" si="13">IF(E149="","",G149)</f>
        <v/>
      </c>
      <c r="N149" s="215" t="str">
        <f t="shared" ref="N149:N207" si="14">IF(E149="","",H149)</f>
        <v/>
      </c>
      <c r="O149" s="215" t="str">
        <f t="shared" ref="O149:O207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(Lote)]],Input_APM!F150)&gt;0,INDEX(Table2[[#All],[Para (Ticker Daniel)]],MATCH(Input_APM!F150,Table2[[#All],[De (Lote)]],0)),Input_APM!F150))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(Lote)]],Input_APM!F151)&gt;0,INDEX(Table2[[#All],[Para (Ticker Daniel)]],MATCH(Input_APM!F151,Table2[[#All],[De (Lote)]],0)),Input_APM!F151))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(Lote)]],Input_APM!F152)&gt;0,INDEX(Table2[[#All],[Para (Ticker Daniel)]],MATCH(Input_APM!F152,Table2[[#All],[De (Lote)]],0)),Input_APM!F152))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(Lote)]],Input_APM!F153)&gt;0,INDEX(Table2[[#All],[Para (Ticker Daniel)]],MATCH(Input_APM!F153,Table2[[#All],[De (Lote)]],0)),Input_APM!F153))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(Lote)]],Input_APM!F154)&gt;0,INDEX(Table2[[#All],[Para (Ticker Daniel)]],MATCH(Input_APM!F154,Table2[[#All],[De (Lote)]],0)),Input_APM!F154))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(Lote)]],Input_APM!F155)&gt;0,INDEX(Table2[[#All],[Para (Ticker Daniel)]],MATCH(Input_APM!F155,Table2[[#All],[De (Lote)]],0)),Input_APM!F155))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(Lote)]],Input_APM!F156)&gt;0,INDEX(Table2[[#All],[Para (Ticker Daniel)]],MATCH(Input_APM!F156,Table2[[#All],[De (Lote)]],0)),Input_APM!F156))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 t="shared" si="12"/>
        <v/>
      </c>
      <c r="L157" s="214" t="str">
        <f>IF(E157="","",IF(COUNTIFS(Table2[[#All],[De (Lote)]],Input_APM!F157)&gt;0,INDEX(Table2[[#All],[Para (Ticker Daniel)]],MATCH(Input_APM!F157,Table2[[#All],[De (Lote)]],0)),Input_APM!F157))</f>
        <v/>
      </c>
      <c r="M157" s="214" t="str">
        <f t="shared" si="13"/>
        <v/>
      </c>
      <c r="N157" s="215" t="str">
        <f t="shared" si="14"/>
        <v/>
      </c>
      <c r="O157" s="215" t="str">
        <f t="shared" si="15"/>
        <v/>
      </c>
    </row>
    <row r="158" spans="11:15">
      <c r="K158" s="214" t="str">
        <f t="shared" si="12"/>
        <v/>
      </c>
      <c r="L158" s="214" t="str">
        <f>IF(E158="","",IF(COUNTIFS(Table2[[#All],[De (Lote)]],Input_APM!F158)&gt;0,INDEX(Table2[[#All],[Para (Ticker Daniel)]],MATCH(Input_APM!F158,Table2[[#All],[De (Lote)]],0)),Input_APM!F158))</f>
        <v/>
      </c>
      <c r="M158" s="214" t="str">
        <f t="shared" si="13"/>
        <v/>
      </c>
      <c r="N158" s="215" t="str">
        <f t="shared" si="14"/>
        <v/>
      </c>
      <c r="O158" s="215" t="str">
        <f t="shared" si="15"/>
        <v/>
      </c>
    </row>
    <row r="159" spans="11:15">
      <c r="K159" s="214" t="str">
        <f t="shared" si="12"/>
        <v/>
      </c>
      <c r="L159" s="214" t="str">
        <f>IF(E159="","",IF(COUNTIFS(Table2[[#All],[De (Lote)]],Input_APM!F159)&gt;0,INDEX(Table2[[#All],[Para (Ticker Daniel)]],MATCH(Input_APM!F159,Table2[[#All],[De (Lote)]],0)),Input_APM!F159))</f>
        <v/>
      </c>
      <c r="M159" s="214" t="str">
        <f t="shared" si="13"/>
        <v/>
      </c>
      <c r="N159" s="215" t="str">
        <f t="shared" si="14"/>
        <v/>
      </c>
      <c r="O159" s="215" t="str">
        <f t="shared" si="15"/>
        <v/>
      </c>
    </row>
    <row r="160" spans="11:15">
      <c r="K160" s="214" t="str">
        <f t="shared" si="12"/>
        <v/>
      </c>
      <c r="L160" s="214" t="str">
        <f>IF(E160="","",IF(COUNTIFS(Table2[[#All],[De (Lote)]],Input_APM!F160)&gt;0,INDEX(Table2[[#All],[Para (Ticker Daniel)]],MATCH(Input_APM!F160,Table2[[#All],[De (Lote)]],0)),Input_APM!F160))</f>
        <v/>
      </c>
      <c r="M160" s="214" t="str">
        <f t="shared" si="13"/>
        <v/>
      </c>
      <c r="N160" s="215" t="str">
        <f t="shared" si="14"/>
        <v/>
      </c>
      <c r="O160" s="215" t="str">
        <f t="shared" si="15"/>
        <v/>
      </c>
    </row>
    <row r="161" spans="11:15">
      <c r="K161" s="214" t="str">
        <f t="shared" si="12"/>
        <v/>
      </c>
      <c r="L161" s="214" t="str">
        <f>IF(E161="","",IF(COUNTIFS(Table2[[#All],[De (Lote)]],Input_APM!F161)&gt;0,INDEX(Table2[[#All],[Para (Ticker Daniel)]],MATCH(Input_APM!F161,Table2[[#All],[De (Lote)]],0)),Input_APM!F161))</f>
        <v/>
      </c>
      <c r="M161" s="214" t="str">
        <f t="shared" si="13"/>
        <v/>
      </c>
      <c r="N161" s="215" t="str">
        <f t="shared" si="14"/>
        <v/>
      </c>
      <c r="O161" s="215" t="str">
        <f t="shared" si="15"/>
        <v/>
      </c>
    </row>
    <row r="162" spans="11:15">
      <c r="K162" s="214" t="str">
        <f t="shared" si="12"/>
        <v/>
      </c>
      <c r="L162" s="214" t="str">
        <f>IF(E162="","",IF(COUNTIFS(Table2[[#All],[De (Lote)]],Input_APM!F162)&gt;0,INDEX(Table2[[#All],[Para (Ticker Daniel)]],MATCH(Input_APM!F162,Table2[[#All],[De (Lote)]],0)),Input_APM!F162))</f>
        <v/>
      </c>
      <c r="M162" s="214" t="str">
        <f t="shared" si="13"/>
        <v/>
      </c>
      <c r="N162" s="215" t="str">
        <f t="shared" si="14"/>
        <v/>
      </c>
      <c r="O162" s="215" t="str">
        <f t="shared" si="15"/>
        <v/>
      </c>
    </row>
    <row r="163" spans="11:15">
      <c r="K163" s="214" t="str">
        <f t="shared" si="12"/>
        <v/>
      </c>
      <c r="L163" s="214" t="str">
        <f>IF(E163="","",IF(COUNTIFS(Table2[[#All],[De (Lote)]],Input_APM!F163)&gt;0,INDEX(Table2[[#All],[Para (Ticker Daniel)]],MATCH(Input_APM!F163,Table2[[#All],[De (Lote)]],0)),Input_APM!F163))</f>
        <v/>
      </c>
      <c r="M163" s="214" t="str">
        <f t="shared" si="13"/>
        <v/>
      </c>
      <c r="N163" s="215" t="str">
        <f t="shared" si="14"/>
        <v/>
      </c>
      <c r="O163" s="215" t="str">
        <f t="shared" si="15"/>
        <v/>
      </c>
    </row>
    <row r="164" spans="11:15">
      <c r="K164" s="214" t="str">
        <f t="shared" si="12"/>
        <v/>
      </c>
      <c r="L164" s="214" t="str">
        <f>IF(E164="","",IF(COUNTIFS(Table2[[#All],[De (Lote)]],Input_APM!F164)&gt;0,INDEX(Table2[[#All],[Para (Ticker Daniel)]],MATCH(Input_APM!F164,Table2[[#All],[De (Lote)]],0)),Input_APM!F164))</f>
        <v/>
      </c>
      <c r="M164" s="214" t="str">
        <f t="shared" si="13"/>
        <v/>
      </c>
      <c r="N164" s="215" t="str">
        <f t="shared" si="14"/>
        <v/>
      </c>
      <c r="O164" s="215" t="str">
        <f t="shared" si="15"/>
        <v/>
      </c>
    </row>
    <row r="165" spans="11:15">
      <c r="K165" s="214" t="str">
        <f t="shared" si="12"/>
        <v/>
      </c>
      <c r="L165" s="214" t="str">
        <f>IF(E165="","",IF(COUNTIFS(Table2[[#All],[De (Lote)]],Input_APM!F165)&gt;0,INDEX(Table2[[#All],[Para (Ticker Daniel)]],MATCH(Input_APM!F165,Table2[[#All],[De (Lote)]],0)),Input_APM!F165))</f>
        <v/>
      </c>
      <c r="M165" s="214" t="str">
        <f t="shared" si="13"/>
        <v/>
      </c>
      <c r="N165" s="215" t="str">
        <f t="shared" si="14"/>
        <v/>
      </c>
      <c r="O165" s="215" t="str">
        <f t="shared" si="15"/>
        <v/>
      </c>
    </row>
    <row r="166" spans="11:15">
      <c r="K166" s="214" t="str">
        <f t="shared" si="12"/>
        <v/>
      </c>
      <c r="L166" s="214" t="str">
        <f>IF(E166="","",IF(COUNTIFS(Table2[[#All],[De (Lote)]],Input_APM!F166)&gt;0,INDEX(Table2[[#All],[Para (Ticker Daniel)]],MATCH(Input_APM!F166,Table2[[#All],[De (Lote)]],0)),Input_APM!F166))</f>
        <v/>
      </c>
      <c r="M166" s="214" t="str">
        <f t="shared" si="13"/>
        <v/>
      </c>
      <c r="N166" s="215" t="str">
        <f t="shared" si="14"/>
        <v/>
      </c>
      <c r="O166" s="215" t="str">
        <f t="shared" si="15"/>
        <v/>
      </c>
    </row>
    <row r="167" spans="11:15">
      <c r="K167" s="214" t="str">
        <f t="shared" si="12"/>
        <v/>
      </c>
      <c r="L167" s="214" t="str">
        <f>IF(E167="","",IF(COUNTIFS(Table2[[#All],[De (Lote)]],Input_APM!F167)&gt;0,INDEX(Table2[[#All],[Para (Ticker Daniel)]],MATCH(Input_APM!F167,Table2[[#All],[De (Lote)]],0)),Input_APM!F167))</f>
        <v/>
      </c>
      <c r="M167" s="214" t="str">
        <f t="shared" si="13"/>
        <v/>
      </c>
      <c r="N167" s="215" t="str">
        <f t="shared" si="14"/>
        <v/>
      </c>
      <c r="O167" s="215" t="str">
        <f t="shared" si="15"/>
        <v/>
      </c>
    </row>
    <row r="168" spans="11:15">
      <c r="K168" s="214" t="str">
        <f t="shared" si="12"/>
        <v/>
      </c>
      <c r="L168" s="214" t="str">
        <f>IF(E168="","",IF(COUNTIFS(Table2[[#All],[De (Lote)]],Input_APM!F168)&gt;0,INDEX(Table2[[#All],[Para (Ticker Daniel)]],MATCH(Input_APM!F168,Table2[[#All],[De (Lote)]],0)),Input_APM!F168))</f>
        <v/>
      </c>
      <c r="M168" s="214" t="str">
        <f t="shared" si="13"/>
        <v/>
      </c>
      <c r="N168" s="215" t="str">
        <f t="shared" si="14"/>
        <v/>
      </c>
      <c r="O168" s="215" t="str">
        <f t="shared" si="15"/>
        <v/>
      </c>
    </row>
    <row r="169" spans="11:15">
      <c r="K169" s="214" t="str">
        <f t="shared" si="12"/>
        <v/>
      </c>
      <c r="L169" s="214" t="str">
        <f>IF(E169="","",IF(COUNTIFS(Table2[[#All],[De (Lote)]],Input_APM!F169)&gt;0,INDEX(Table2[[#All],[Para (Ticker Daniel)]],MATCH(Input_APM!F169,Table2[[#All],[De (Lote)]],0)),Input_APM!F169))</f>
        <v/>
      </c>
      <c r="M169" s="214" t="str">
        <f t="shared" si="13"/>
        <v/>
      </c>
      <c r="N169" s="215" t="str">
        <f t="shared" si="14"/>
        <v/>
      </c>
      <c r="O169" s="215" t="str">
        <f t="shared" si="15"/>
        <v/>
      </c>
    </row>
    <row r="170" spans="11:15">
      <c r="K170" s="214" t="str">
        <f t="shared" si="12"/>
        <v/>
      </c>
      <c r="L170" s="214" t="str">
        <f>IF(E170="","",IF(COUNTIFS(Table2[[#All],[De (Lote)]],Input_APM!F170)&gt;0,INDEX(Table2[[#All],[Para (Ticker Daniel)]],MATCH(Input_APM!F170,Table2[[#All],[De (Lote)]],0)),Input_APM!F170))</f>
        <v/>
      </c>
      <c r="M170" s="214" t="str">
        <f t="shared" si="13"/>
        <v/>
      </c>
      <c r="N170" s="215" t="str">
        <f t="shared" si="14"/>
        <v/>
      </c>
      <c r="O170" s="215" t="str">
        <f t="shared" si="15"/>
        <v/>
      </c>
    </row>
    <row r="171" spans="11:15">
      <c r="K171" s="214" t="str">
        <f t="shared" si="12"/>
        <v/>
      </c>
      <c r="L171" s="214" t="str">
        <f>IF(E171="","",IF(COUNTIFS(Table2[[#All],[De (Lote)]],Input_APM!F171)&gt;0,INDEX(Table2[[#All],[Para (Ticker Daniel)]],MATCH(Input_APM!F171,Table2[[#All],[De (Lote)]],0)),Input_APM!F171))</f>
        <v/>
      </c>
      <c r="M171" s="214" t="str">
        <f t="shared" si="13"/>
        <v/>
      </c>
      <c r="N171" s="215" t="str">
        <f t="shared" si="14"/>
        <v/>
      </c>
      <c r="O171" s="215" t="str">
        <f t="shared" si="15"/>
        <v/>
      </c>
    </row>
    <row r="172" spans="11:15">
      <c r="K172" s="214" t="str">
        <f t="shared" si="12"/>
        <v/>
      </c>
      <c r="L172" s="214" t="str">
        <f>IF(E172="","",IF(COUNTIFS(Table2[[#All],[De (Lote)]],Input_APM!F172)&gt;0,INDEX(Table2[[#All],[Para (Ticker Daniel)]],MATCH(Input_APM!F172,Table2[[#All],[De (Lote)]],0)),Input_APM!F172))</f>
        <v/>
      </c>
      <c r="M172" s="214" t="str">
        <f t="shared" si="13"/>
        <v/>
      </c>
      <c r="N172" s="215" t="str">
        <f t="shared" si="14"/>
        <v/>
      </c>
      <c r="O172" s="215" t="str">
        <f t="shared" si="15"/>
        <v/>
      </c>
    </row>
    <row r="173" spans="11:15">
      <c r="K173" s="214" t="str">
        <f t="shared" si="12"/>
        <v/>
      </c>
      <c r="L173" s="214" t="str">
        <f>IF(E173="","",IF(COUNTIFS(Table2[[#All],[De (Lote)]],Input_APM!F173)&gt;0,INDEX(Table2[[#All],[Para (Ticker Daniel)]],MATCH(Input_APM!F173,Table2[[#All],[De (Lote)]],0)),Input_APM!F173))</f>
        <v/>
      </c>
      <c r="M173" s="214" t="str">
        <f t="shared" si="13"/>
        <v/>
      </c>
      <c r="N173" s="215" t="str">
        <f t="shared" si="14"/>
        <v/>
      </c>
      <c r="O173" s="215" t="str">
        <f t="shared" si="15"/>
        <v/>
      </c>
    </row>
    <row r="174" spans="11:15">
      <c r="K174" s="214" t="str">
        <f t="shared" si="12"/>
        <v/>
      </c>
      <c r="L174" s="214" t="str">
        <f>IF(E174="","",IF(COUNTIFS(Table2[[#All],[De (Lote)]],Input_APM!F174)&gt;0,INDEX(Table2[[#All],[Para (Ticker Daniel)]],MATCH(Input_APM!F174,Table2[[#All],[De (Lote)]],0)),Input_APM!F174))</f>
        <v/>
      </c>
      <c r="M174" s="214" t="str">
        <f t="shared" si="13"/>
        <v/>
      </c>
      <c r="N174" s="215" t="str">
        <f t="shared" si="14"/>
        <v/>
      </c>
      <c r="O174" s="215" t="str">
        <f t="shared" si="15"/>
        <v/>
      </c>
    </row>
    <row r="175" spans="11:15">
      <c r="K175" s="214" t="str">
        <f t="shared" si="12"/>
        <v/>
      </c>
      <c r="L175" s="214" t="str">
        <f>IF(E175="","",IF(COUNTIFS(Table2[[#All],[De (Lote)]],Input_APM!F175)&gt;0,INDEX(Table2[[#All],[Para (Ticker Daniel)]],MATCH(Input_APM!F175,Table2[[#All],[De (Lote)]],0)),Input_APM!F175))</f>
        <v/>
      </c>
      <c r="M175" s="214" t="str">
        <f t="shared" si="13"/>
        <v/>
      </c>
      <c r="N175" s="215" t="str">
        <f t="shared" si="14"/>
        <v/>
      </c>
      <c r="O175" s="215" t="str">
        <f t="shared" si="15"/>
        <v/>
      </c>
    </row>
    <row r="176" spans="11:15">
      <c r="K176" s="214" t="str">
        <f t="shared" si="12"/>
        <v/>
      </c>
      <c r="L176" s="214" t="str">
        <f>IF(E176="","",IF(COUNTIFS(Table2[[#All],[De (Lote)]],Input_APM!F176)&gt;0,INDEX(Table2[[#All],[Para (Ticker Daniel)]],MATCH(Input_APM!F176,Table2[[#All],[De (Lote)]],0)),Input_APM!F176))</f>
        <v/>
      </c>
      <c r="M176" s="214" t="str">
        <f t="shared" si="13"/>
        <v/>
      </c>
      <c r="N176" s="215" t="str">
        <f t="shared" si="14"/>
        <v/>
      </c>
      <c r="O176" s="215" t="str">
        <f t="shared" si="15"/>
        <v/>
      </c>
    </row>
    <row r="177" spans="11:15">
      <c r="K177" s="214" t="str">
        <f t="shared" si="12"/>
        <v/>
      </c>
      <c r="L177" s="214" t="str">
        <f>IF(E177="","",IF(COUNTIFS(Table2[[#All],[De (Lote)]],Input_APM!F177)&gt;0,INDEX(Table2[[#All],[Para (Ticker Daniel)]],MATCH(Input_APM!F177,Table2[[#All],[De (Lote)]],0)),Input_APM!F177))</f>
        <v/>
      </c>
      <c r="M177" s="214" t="str">
        <f t="shared" si="13"/>
        <v/>
      </c>
      <c r="N177" s="215" t="str">
        <f t="shared" si="14"/>
        <v/>
      </c>
      <c r="O177" s="215" t="str">
        <f t="shared" si="15"/>
        <v/>
      </c>
    </row>
    <row r="178" spans="11:15">
      <c r="K178" s="214" t="str">
        <f t="shared" si="12"/>
        <v/>
      </c>
      <c r="L178" s="214" t="str">
        <f>IF(E178="","",IF(COUNTIFS(Table2[[#All],[De (Lote)]],Input_APM!F178)&gt;0,INDEX(Table2[[#All],[Para (Ticker Daniel)]],MATCH(Input_APM!F178,Table2[[#All],[De (Lote)]],0)),Input_APM!F178))</f>
        <v/>
      </c>
      <c r="M178" s="214" t="str">
        <f t="shared" si="13"/>
        <v/>
      </c>
      <c r="N178" s="215" t="str">
        <f t="shared" si="14"/>
        <v/>
      </c>
      <c r="O178" s="215" t="str">
        <f t="shared" si="15"/>
        <v/>
      </c>
    </row>
    <row r="179" spans="11:15">
      <c r="K179" s="214" t="str">
        <f t="shared" si="12"/>
        <v/>
      </c>
      <c r="L179" s="214" t="str">
        <f>IF(E179="","",IF(COUNTIFS(Table2[[#All],[De (Lote)]],Input_APM!F179)&gt;0,INDEX(Table2[[#All],[Para (Ticker Daniel)]],MATCH(Input_APM!F179,Table2[[#All],[De (Lote)]],0)),Input_APM!F179))</f>
        <v/>
      </c>
      <c r="M179" s="214" t="str">
        <f t="shared" si="13"/>
        <v/>
      </c>
      <c r="N179" s="215" t="str">
        <f t="shared" si="14"/>
        <v/>
      </c>
      <c r="O179" s="215" t="str">
        <f t="shared" si="15"/>
        <v/>
      </c>
    </row>
    <row r="180" spans="11:15">
      <c r="K180" s="214" t="str">
        <f t="shared" si="12"/>
        <v/>
      </c>
      <c r="L180" s="214" t="str">
        <f>IF(E180="","",IF(COUNTIFS(Table2[[#All],[De (Lote)]],Input_APM!F180)&gt;0,INDEX(Table2[[#All],[Para (Ticker Daniel)]],MATCH(Input_APM!F180,Table2[[#All],[De (Lote)]],0)),Input_APM!F180))</f>
        <v/>
      </c>
      <c r="M180" s="214" t="str">
        <f t="shared" si="13"/>
        <v/>
      </c>
      <c r="N180" s="215" t="str">
        <f t="shared" si="14"/>
        <v/>
      </c>
      <c r="O180" s="215" t="str">
        <f t="shared" si="15"/>
        <v/>
      </c>
    </row>
    <row r="181" spans="11:15">
      <c r="K181" s="214" t="str">
        <f t="shared" si="12"/>
        <v/>
      </c>
      <c r="L181" s="214" t="str">
        <f>IF(E181="","",IF(COUNTIFS(Table2[[#All],[De (Lote)]],Input_APM!F181)&gt;0,INDEX(Table2[[#All],[Para (Ticker Daniel)]],MATCH(Input_APM!F181,Table2[[#All],[De (Lote)]],0)),Input_APM!F181))</f>
        <v/>
      </c>
      <c r="M181" s="214" t="str">
        <f t="shared" si="13"/>
        <v/>
      </c>
      <c r="N181" s="215" t="str">
        <f t="shared" si="14"/>
        <v/>
      </c>
      <c r="O181" s="215" t="str">
        <f t="shared" si="15"/>
        <v/>
      </c>
    </row>
    <row r="182" spans="11:15">
      <c r="K182" s="214" t="str">
        <f t="shared" si="12"/>
        <v/>
      </c>
      <c r="L182" s="214" t="str">
        <f>IF(E182="","",IF(COUNTIFS(Table2[[#All],[De (Lote)]],Input_APM!F182)&gt;0,INDEX(Table2[[#All],[Para (Ticker Daniel)]],MATCH(Input_APM!F182,Table2[[#All],[De (Lote)]],0)),Input_APM!F182))</f>
        <v/>
      </c>
      <c r="M182" s="214" t="str">
        <f t="shared" si="13"/>
        <v/>
      </c>
      <c r="N182" s="215" t="str">
        <f t="shared" si="14"/>
        <v/>
      </c>
      <c r="O182" s="215" t="str">
        <f t="shared" si="15"/>
        <v/>
      </c>
    </row>
    <row r="183" spans="11:15">
      <c r="K183" s="214" t="str">
        <f t="shared" si="12"/>
        <v/>
      </c>
      <c r="L183" s="214" t="str">
        <f>IF(E183="","",IF(COUNTIFS(Table2[[#All],[De (Lote)]],Input_APM!F183)&gt;0,INDEX(Table2[[#All],[Para (Ticker Daniel)]],MATCH(Input_APM!F183,Table2[[#All],[De (Lote)]],0)),Input_APM!F183))</f>
        <v/>
      </c>
      <c r="M183" s="214" t="str">
        <f t="shared" si="13"/>
        <v/>
      </c>
      <c r="N183" s="215" t="str">
        <f t="shared" si="14"/>
        <v/>
      </c>
      <c r="O183" s="215" t="str">
        <f t="shared" si="15"/>
        <v/>
      </c>
    </row>
    <row r="184" spans="11:15">
      <c r="K184" s="214" t="str">
        <f t="shared" si="12"/>
        <v/>
      </c>
      <c r="L184" s="214" t="str">
        <f>IF(E184="","",IF(COUNTIFS(Table2[[#All],[De (Lote)]],Input_APM!F184)&gt;0,INDEX(Table2[[#All],[Para (Ticker Daniel)]],MATCH(Input_APM!F184,Table2[[#All],[De (Lote)]],0)),Input_APM!F184))</f>
        <v/>
      </c>
      <c r="M184" s="214" t="str">
        <f t="shared" si="13"/>
        <v/>
      </c>
      <c r="N184" s="215" t="str">
        <f t="shared" si="14"/>
        <v/>
      </c>
      <c r="O184" s="215" t="str">
        <f t="shared" si="15"/>
        <v/>
      </c>
    </row>
    <row r="185" spans="11:15">
      <c r="K185" s="214" t="str">
        <f t="shared" si="12"/>
        <v/>
      </c>
      <c r="L185" s="214" t="str">
        <f>IF(E185="","",IF(COUNTIFS(Table2[[#All],[De (Lote)]],Input_APM!F185)&gt;0,INDEX(Table2[[#All],[Para (Ticker Daniel)]],MATCH(Input_APM!F185,Table2[[#All],[De (Lote)]],0)),Input_APM!F185))</f>
        <v/>
      </c>
      <c r="M185" s="214" t="str">
        <f t="shared" si="13"/>
        <v/>
      </c>
      <c r="N185" s="215" t="str">
        <f t="shared" si="14"/>
        <v/>
      </c>
      <c r="O185" s="215" t="str">
        <f t="shared" si="15"/>
        <v/>
      </c>
    </row>
    <row r="186" spans="11:15">
      <c r="K186" s="214" t="str">
        <f t="shared" si="12"/>
        <v/>
      </c>
      <c r="L186" s="214" t="str">
        <f>IF(E186="","",IF(COUNTIFS(Table2[[#All],[De (Lote)]],Input_APM!F186)&gt;0,INDEX(Table2[[#All],[Para (Ticker Daniel)]],MATCH(Input_APM!F186,Table2[[#All],[De (Lote)]],0)),Input_APM!F186))</f>
        <v/>
      </c>
      <c r="M186" s="214" t="str">
        <f t="shared" si="13"/>
        <v/>
      </c>
      <c r="N186" s="215" t="str">
        <f t="shared" si="14"/>
        <v/>
      </c>
      <c r="O186" s="215" t="str">
        <f t="shared" si="15"/>
        <v/>
      </c>
    </row>
    <row r="187" spans="11:15">
      <c r="K187" s="214" t="str">
        <f t="shared" si="12"/>
        <v/>
      </c>
      <c r="L187" s="214" t="str">
        <f>IF(E187="","",IF(COUNTIFS(Table2[[#All],[De (Lote)]],Input_APM!F187)&gt;0,INDEX(Table2[[#All],[Para (Ticker Daniel)]],MATCH(Input_APM!F187,Table2[[#All],[De (Lote)]],0)),Input_APM!F187))</f>
        <v/>
      </c>
      <c r="M187" s="214" t="str">
        <f t="shared" si="13"/>
        <v/>
      </c>
      <c r="N187" s="215" t="str">
        <f t="shared" si="14"/>
        <v/>
      </c>
      <c r="O187" s="215" t="str">
        <f t="shared" si="15"/>
        <v/>
      </c>
    </row>
    <row r="188" spans="11:15">
      <c r="K188" s="214" t="str">
        <f t="shared" si="12"/>
        <v/>
      </c>
      <c r="L188" s="214" t="str">
        <f>IF(E188="","",IF(COUNTIFS(Table2[[#All],[De (Lote)]],Input_APM!F188)&gt;0,INDEX(Table2[[#All],[Para (Ticker Daniel)]],MATCH(Input_APM!F188,Table2[[#All],[De (Lote)]],0)),Input_APM!F188))</f>
        <v/>
      </c>
      <c r="M188" s="214" t="str">
        <f t="shared" si="13"/>
        <v/>
      </c>
      <c r="N188" s="215" t="str">
        <f t="shared" si="14"/>
        <v/>
      </c>
      <c r="O188" s="215" t="str">
        <f t="shared" si="15"/>
        <v/>
      </c>
    </row>
    <row r="189" spans="11:15">
      <c r="K189" s="214" t="str">
        <f t="shared" si="12"/>
        <v/>
      </c>
      <c r="L189" s="214" t="str">
        <f>IF(E189="","",IF(COUNTIFS(Table2[[#All],[De (Lote)]],Input_APM!F189)&gt;0,INDEX(Table2[[#All],[Para (Ticker Daniel)]],MATCH(Input_APM!F189,Table2[[#All],[De (Lote)]],0)),Input_APM!F189))</f>
        <v/>
      </c>
      <c r="M189" s="214" t="str">
        <f t="shared" si="13"/>
        <v/>
      </c>
      <c r="N189" s="215" t="str">
        <f t="shared" si="14"/>
        <v/>
      </c>
      <c r="O189" s="215" t="str">
        <f t="shared" si="15"/>
        <v/>
      </c>
    </row>
    <row r="190" spans="11:15">
      <c r="K190" s="214" t="str">
        <f t="shared" si="12"/>
        <v/>
      </c>
      <c r="L190" s="214" t="str">
        <f>IF(E190="","",IF(COUNTIFS(Table2[[#All],[De (Lote)]],Input_APM!F190)&gt;0,INDEX(Table2[[#All],[Para (Ticker Daniel)]],MATCH(Input_APM!F190,Table2[[#All],[De (Lote)]],0)),Input_APM!F190))</f>
        <v/>
      </c>
      <c r="M190" s="214" t="str">
        <f t="shared" si="13"/>
        <v/>
      </c>
      <c r="N190" s="215" t="str">
        <f t="shared" si="14"/>
        <v/>
      </c>
      <c r="O190" s="215" t="str">
        <f t="shared" si="15"/>
        <v/>
      </c>
    </row>
    <row r="191" spans="11:15">
      <c r="K191" s="214" t="str">
        <f t="shared" si="12"/>
        <v/>
      </c>
      <c r="L191" s="214" t="str">
        <f>IF(E191="","",IF(COUNTIFS(Table2[[#All],[De (Lote)]],Input_APM!F191)&gt;0,INDEX(Table2[[#All],[Para (Ticker Daniel)]],MATCH(Input_APM!F191,Table2[[#All],[De (Lote)]],0)),Input_APM!F191))</f>
        <v/>
      </c>
      <c r="M191" s="214" t="str">
        <f t="shared" si="13"/>
        <v/>
      </c>
      <c r="N191" s="215" t="str">
        <f t="shared" si="14"/>
        <v/>
      </c>
      <c r="O191" s="215" t="str">
        <f t="shared" si="15"/>
        <v/>
      </c>
    </row>
    <row r="192" spans="11:15">
      <c r="K192" s="214" t="str">
        <f t="shared" si="12"/>
        <v/>
      </c>
      <c r="L192" s="214" t="str">
        <f>IF(E192="","",IF(COUNTIFS(Table2[[#All],[De (Lote)]],Input_APM!F192)&gt;0,INDEX(Table2[[#All],[Para (Ticker Daniel)]],MATCH(Input_APM!F192,Table2[[#All],[De (Lote)]],0)),Input_APM!F192))</f>
        <v/>
      </c>
      <c r="M192" s="214" t="str">
        <f t="shared" si="13"/>
        <v/>
      </c>
      <c r="N192" s="215" t="str">
        <f t="shared" si="14"/>
        <v/>
      </c>
      <c r="O192" s="215" t="str">
        <f t="shared" si="15"/>
        <v/>
      </c>
    </row>
    <row r="193" spans="5:15">
      <c r="K193" s="214" t="str">
        <f t="shared" si="12"/>
        <v/>
      </c>
      <c r="L193" s="214" t="str">
        <f>IF(E193="","",IF(COUNTIFS(Table2[[#All],[De (Lote)]],Input_APM!F193)&gt;0,INDEX(Table2[[#All],[Para (Ticker Daniel)]],MATCH(Input_APM!F193,Table2[[#All],[De (Lote)]],0)),Input_APM!F193))</f>
        <v/>
      </c>
      <c r="M193" s="214" t="str">
        <f t="shared" si="13"/>
        <v/>
      </c>
      <c r="N193" s="215" t="str">
        <f t="shared" si="14"/>
        <v/>
      </c>
      <c r="O193" s="215" t="str">
        <f t="shared" si="15"/>
        <v/>
      </c>
    </row>
    <row r="194" spans="5:15">
      <c r="K194" s="214" t="str">
        <f t="shared" si="12"/>
        <v/>
      </c>
      <c r="L194" s="214" t="str">
        <f>IF(E194="","",IF(COUNTIFS(Table2[[#All],[De (Lote)]],Input_APM!F194)&gt;0,INDEX(Table2[[#All],[Para (Ticker Daniel)]],MATCH(Input_APM!F194,Table2[[#All],[De (Lote)]],0)),Input_APM!F194))</f>
        <v/>
      </c>
      <c r="M194" s="214" t="str">
        <f t="shared" si="13"/>
        <v/>
      </c>
      <c r="N194" s="215" t="str">
        <f t="shared" si="14"/>
        <v/>
      </c>
      <c r="O194" s="215" t="str">
        <f t="shared" si="15"/>
        <v/>
      </c>
    </row>
    <row r="195" spans="5:15">
      <c r="E195" s="370"/>
      <c r="K195" s="214" t="str">
        <f t="shared" si="12"/>
        <v/>
      </c>
      <c r="L195" s="214" t="str">
        <f>IF(E195="","",IF(COUNTIFS(Table2[[#All],[De (Lote)]],Input_APM!F195)&gt;0,INDEX(Table2[[#All],[Para (Ticker Daniel)]],MATCH(Input_APM!F195,Table2[[#All],[De (Lote)]],0)),Input_APM!F195))</f>
        <v/>
      </c>
      <c r="M195" s="214" t="str">
        <f t="shared" si="13"/>
        <v/>
      </c>
      <c r="N195" s="215" t="str">
        <f t="shared" si="14"/>
        <v/>
      </c>
      <c r="O195" s="215" t="str">
        <f t="shared" si="15"/>
        <v/>
      </c>
    </row>
    <row r="196" spans="5:15">
      <c r="E196" s="370"/>
      <c r="K196" s="214" t="str">
        <f t="shared" si="12"/>
        <v/>
      </c>
      <c r="L196" s="214" t="str">
        <f>IF(E196="","",IF(COUNTIFS(Table2[[#All],[De (Lote)]],Input_APM!F196)&gt;0,INDEX(Table2[[#All],[Para (Ticker Daniel)]],MATCH(Input_APM!F196,Table2[[#All],[De (Lote)]],0)),Input_APM!F196))</f>
        <v/>
      </c>
      <c r="M196" s="214" t="str">
        <f t="shared" si="13"/>
        <v/>
      </c>
      <c r="N196" s="215" t="str">
        <f t="shared" si="14"/>
        <v/>
      </c>
      <c r="O196" s="215" t="str">
        <f t="shared" si="15"/>
        <v/>
      </c>
    </row>
    <row r="197" spans="5:15">
      <c r="E197" s="370"/>
      <c r="K197" s="214" t="str">
        <f t="shared" si="12"/>
        <v/>
      </c>
      <c r="L197" s="214" t="str">
        <f>IF(E197="","",IF(COUNTIFS(Table2[[#All],[De (Lote)]],Input_APM!F197)&gt;0,INDEX(Table2[[#All],[Para (Ticker Daniel)]],MATCH(Input_APM!F197,Table2[[#All],[De (Lote)]],0)),Input_APM!F197))</f>
        <v/>
      </c>
      <c r="M197" s="214" t="str">
        <f t="shared" si="13"/>
        <v/>
      </c>
      <c r="N197" s="215" t="str">
        <f t="shared" si="14"/>
        <v/>
      </c>
      <c r="O197" s="215" t="str">
        <f t="shared" si="15"/>
        <v/>
      </c>
    </row>
    <row r="198" spans="5:15">
      <c r="E198" s="370"/>
      <c r="K198" s="214" t="str">
        <f t="shared" si="12"/>
        <v/>
      </c>
      <c r="L198" s="214" t="str">
        <f>IF(E198="","",IF(COUNTIFS(Table2[[#All],[De (Lote)]],Input_APM!F198)&gt;0,INDEX(Table2[[#All],[Para (Ticker Daniel)]],MATCH(Input_APM!F198,Table2[[#All],[De (Lote)]],0)),Input_APM!F198))</f>
        <v/>
      </c>
      <c r="M198" s="214" t="str">
        <f t="shared" si="13"/>
        <v/>
      </c>
      <c r="N198" s="215" t="str">
        <f t="shared" si="14"/>
        <v/>
      </c>
      <c r="O198" s="215" t="str">
        <f t="shared" si="15"/>
        <v/>
      </c>
    </row>
    <row r="199" spans="5:15">
      <c r="E199" s="370"/>
      <c r="K199" s="214" t="str">
        <f t="shared" si="12"/>
        <v/>
      </c>
      <c r="L199" s="214" t="str">
        <f>IF(E199="","",IF(COUNTIFS(Table2[[#All],[De (Lote)]],Input_APM!F199)&gt;0,INDEX(Table2[[#All],[Para (Ticker Daniel)]],MATCH(Input_APM!F199,Table2[[#All],[De (Lote)]],0)),Input_APM!F199))</f>
        <v/>
      </c>
      <c r="M199" s="214" t="str">
        <f t="shared" si="13"/>
        <v/>
      </c>
      <c r="N199" s="215" t="str">
        <f t="shared" si="14"/>
        <v/>
      </c>
      <c r="O199" s="215" t="str">
        <f t="shared" si="15"/>
        <v/>
      </c>
    </row>
    <row r="200" spans="5:15">
      <c r="E200" s="370"/>
      <c r="K200" s="214" t="str">
        <f t="shared" si="12"/>
        <v/>
      </c>
      <c r="L200" s="214" t="str">
        <f>IF(E200="","",IF(COUNTIFS(Table2[[#All],[De (Lote)]],Input_APM!F200)&gt;0,INDEX(Table2[[#All],[Para (Ticker Daniel)]],MATCH(Input_APM!F200,Table2[[#All],[De (Lote)]],0)),Input_APM!F200))</f>
        <v/>
      </c>
      <c r="M200" s="214" t="str">
        <f t="shared" si="13"/>
        <v/>
      </c>
      <c r="N200" s="215" t="str">
        <f t="shared" si="14"/>
        <v/>
      </c>
      <c r="O200" s="215" t="str">
        <f t="shared" si="15"/>
        <v/>
      </c>
    </row>
    <row r="201" spans="5:15">
      <c r="E201" s="370"/>
      <c r="K201" s="214" t="str">
        <f t="shared" si="12"/>
        <v/>
      </c>
      <c r="L201" s="214" t="str">
        <f>IF(E201="","",IF(COUNTIFS(Table2[[#All],[De (Lote)]],Input_APM!F201)&gt;0,INDEX(Table2[[#All],[Para (Ticker Daniel)]],MATCH(Input_APM!F201,Table2[[#All],[De (Lote)]],0)),Input_APM!F201))</f>
        <v/>
      </c>
      <c r="M201" s="214" t="str">
        <f t="shared" si="13"/>
        <v/>
      </c>
      <c r="N201" s="215" t="str">
        <f t="shared" si="14"/>
        <v/>
      </c>
      <c r="O201" s="215" t="str">
        <f t="shared" si="15"/>
        <v/>
      </c>
    </row>
    <row r="202" spans="5:15">
      <c r="E202" s="370"/>
      <c r="K202" s="214" t="str">
        <f t="shared" si="12"/>
        <v/>
      </c>
      <c r="L202" s="214" t="str">
        <f>IF(E202="","",IF(COUNTIFS(Table2[[#All],[De (Lote)]],Input_APM!F202)&gt;0,INDEX(Table2[[#All],[Para (Ticker Daniel)]],MATCH(Input_APM!F202,Table2[[#All],[De (Lote)]],0)),Input_APM!F202))</f>
        <v/>
      </c>
      <c r="M202" s="214" t="str">
        <f t="shared" si="13"/>
        <v/>
      </c>
      <c r="N202" s="215" t="str">
        <f t="shared" si="14"/>
        <v/>
      </c>
      <c r="O202" s="215" t="str">
        <f t="shared" si="15"/>
        <v/>
      </c>
    </row>
    <row r="203" spans="5:15">
      <c r="E203" s="370"/>
      <c r="K203" s="214" t="str">
        <f t="shared" si="12"/>
        <v/>
      </c>
      <c r="L203" s="214" t="str">
        <f>IF(E203="","",IF(COUNTIFS(Table2[[#All],[De (Lote)]],Input_APM!F203)&gt;0,INDEX(Table2[[#All],[Para (Ticker Daniel)]],MATCH(Input_APM!F203,Table2[[#All],[De (Lote)]],0)),Input_APM!F203))</f>
        <v/>
      </c>
      <c r="M203" s="214" t="str">
        <f t="shared" si="13"/>
        <v/>
      </c>
      <c r="N203" s="215" t="str">
        <f t="shared" si="14"/>
        <v/>
      </c>
      <c r="O203" s="215" t="str">
        <f t="shared" si="15"/>
        <v/>
      </c>
    </row>
    <row r="204" spans="5:15">
      <c r="E204" s="370"/>
      <c r="K204" s="214" t="str">
        <f t="shared" si="12"/>
        <v/>
      </c>
      <c r="L204" s="214" t="str">
        <f>IF(E204="","",IF(COUNTIFS(Table2[[#All],[De (Lote)]],Input_APM!F204)&gt;0,INDEX(Table2[[#All],[Para (Ticker Daniel)]],MATCH(Input_APM!F204,Table2[[#All],[De (Lote)]],0)),Input_APM!F204))</f>
        <v/>
      </c>
      <c r="M204" s="214" t="str">
        <f t="shared" si="13"/>
        <v/>
      </c>
      <c r="N204" s="215" t="str">
        <f t="shared" si="14"/>
        <v/>
      </c>
      <c r="O204" s="215" t="str">
        <f t="shared" si="15"/>
        <v/>
      </c>
    </row>
    <row r="205" spans="5:15">
      <c r="E205" s="370"/>
      <c r="K205" s="214" t="str">
        <f t="shared" si="12"/>
        <v/>
      </c>
      <c r="L205" s="214" t="str">
        <f>IF(E205="","",IF(COUNTIFS(Table2[[#All],[De (Lote)]],Input_APM!F205)&gt;0,INDEX(Table2[[#All],[Para (Ticker Daniel)]],MATCH(Input_APM!F205,Table2[[#All],[De (Lote)]],0)),Input_APM!F205))</f>
        <v/>
      </c>
      <c r="M205" s="214" t="str">
        <f t="shared" si="13"/>
        <v/>
      </c>
      <c r="N205" s="215" t="str">
        <f t="shared" si="14"/>
        <v/>
      </c>
      <c r="O205" s="215" t="str">
        <f t="shared" si="15"/>
        <v/>
      </c>
    </row>
    <row r="206" spans="5:15">
      <c r="E206" s="370"/>
      <c r="K206" s="214" t="str">
        <f t="shared" si="12"/>
        <v/>
      </c>
      <c r="L206" s="214" t="str">
        <f>IF(E206="","",IF(COUNTIFS(Table2[[#All],[De (Lote)]],Input_APM!F206)&gt;0,INDEX(Table2[[#All],[Para (Ticker Daniel)]],MATCH(Input_APM!F206,Table2[[#All],[De (Lote)]],0)),Input_APM!F206))</f>
        <v/>
      </c>
      <c r="M206" s="214" t="str">
        <f t="shared" si="13"/>
        <v/>
      </c>
      <c r="N206" s="215" t="str">
        <f t="shared" si="14"/>
        <v/>
      </c>
      <c r="O206" s="215" t="str">
        <f t="shared" si="15"/>
        <v/>
      </c>
    </row>
    <row r="207" spans="5:15">
      <c r="E207" s="370"/>
      <c r="K207" s="214" t="str">
        <f t="shared" si="12"/>
        <v/>
      </c>
      <c r="L207" s="214" t="str">
        <f>IF(E207="","",IF(COUNTIFS(Table2[[#All],[De (Lote)]],Input_APM!F207)&gt;0,INDEX(Table2[[#All],[Para (Ticker Daniel)]],MATCH(Input_APM!F207,Table2[[#All],[De (Lote)]],0)),Input_APM!F207))</f>
        <v/>
      </c>
      <c r="M207" s="214" t="str">
        <f t="shared" si="13"/>
        <v/>
      </c>
      <c r="N207" s="215" t="str">
        <f t="shared" si="14"/>
        <v/>
      </c>
      <c r="O207" s="215" t="str">
        <f t="shared" si="15"/>
        <v/>
      </c>
    </row>
    <row r="208" spans="5:15">
      <c r="E208" s="370"/>
      <c r="K208" s="214" t="str">
        <f t="shared" ref="K208:K234" si="16">IF(E208="","",E208)</f>
        <v/>
      </c>
      <c r="L208" s="214" t="str">
        <f>IF(E208="","",IF(COUNTIFS(Table2[[#All],[De (Lote)]],Input_APM!F208)&gt;0,INDEX(Table2[[#All],[Para (Ticker Daniel)]],MATCH(Input_APM!F208,Table2[[#All],[De (Lote)]],0)),Input_APM!F208))</f>
        <v/>
      </c>
      <c r="M208" s="214" t="str">
        <f t="shared" ref="M208:M234" si="17">IF(E208="","",G208)</f>
        <v/>
      </c>
      <c r="N208" s="215" t="str">
        <f t="shared" ref="N208:N234" si="18">IF(E208="","",H208)</f>
        <v/>
      </c>
      <c r="O208" s="215" t="str">
        <f t="shared" ref="O208:O234" si="19">IF(E208="","",I208)</f>
        <v/>
      </c>
    </row>
    <row r="209" spans="5:15">
      <c r="E209" s="370"/>
      <c r="K209" s="214" t="str">
        <f t="shared" si="16"/>
        <v/>
      </c>
      <c r="L209" s="214" t="str">
        <f>IF(E209="","",IF(COUNTIFS(Table2[[#All],[De (Lote)]],Input_APM!F209)&gt;0,INDEX(Table2[[#All],[Para (Ticker Daniel)]],MATCH(Input_APM!F209,Table2[[#All],[De (Lote)]],0)),Input_APM!F209))</f>
        <v/>
      </c>
      <c r="M209" s="214" t="str">
        <f t="shared" si="17"/>
        <v/>
      </c>
      <c r="N209" s="215" t="str">
        <f t="shared" si="18"/>
        <v/>
      </c>
      <c r="O209" s="215" t="str">
        <f t="shared" si="19"/>
        <v/>
      </c>
    </row>
    <row r="210" spans="5:15">
      <c r="E210" s="370"/>
      <c r="K210" s="214" t="str">
        <f t="shared" si="16"/>
        <v/>
      </c>
      <c r="L210" s="214" t="str">
        <f>IF(E210="","",IF(COUNTIFS(Table2[[#All],[De (Lote)]],Input_APM!F210)&gt;0,INDEX(Table2[[#All],[Para (Ticker Daniel)]],MATCH(Input_APM!F210,Table2[[#All],[De (Lote)]],0)),Input_APM!F210))</f>
        <v/>
      </c>
      <c r="M210" s="214" t="str">
        <f t="shared" si="17"/>
        <v/>
      </c>
      <c r="N210" s="215" t="str">
        <f t="shared" si="18"/>
        <v/>
      </c>
      <c r="O210" s="215" t="str">
        <f t="shared" si="19"/>
        <v/>
      </c>
    </row>
    <row r="211" spans="5:15">
      <c r="E211" s="370"/>
      <c r="K211" s="214" t="str">
        <f t="shared" si="16"/>
        <v/>
      </c>
      <c r="L211" s="214" t="str">
        <f>IF(E211="","",IF(COUNTIFS(Table2[[#All],[De (Lote)]],Input_APM!F211)&gt;0,INDEX(Table2[[#All],[Para (Ticker Daniel)]],MATCH(Input_APM!F211,Table2[[#All],[De (Lote)]],0)),Input_APM!F211))</f>
        <v/>
      </c>
      <c r="M211" s="214" t="str">
        <f t="shared" si="17"/>
        <v/>
      </c>
      <c r="N211" s="215" t="str">
        <f t="shared" si="18"/>
        <v/>
      </c>
      <c r="O211" s="215" t="str">
        <f t="shared" si="19"/>
        <v/>
      </c>
    </row>
    <row r="212" spans="5:15">
      <c r="E212" s="370"/>
      <c r="K212" s="214" t="str">
        <f t="shared" si="16"/>
        <v/>
      </c>
      <c r="L212" s="214" t="str">
        <f>IF(E212="","",IF(COUNTIFS(Table2[[#All],[De (Lote)]],Input_APM!F212)&gt;0,INDEX(Table2[[#All],[Para (Ticker Daniel)]],MATCH(Input_APM!F212,Table2[[#All],[De (Lote)]],0)),Input_APM!F212))</f>
        <v/>
      </c>
      <c r="M212" s="214" t="str">
        <f t="shared" si="17"/>
        <v/>
      </c>
      <c r="N212" s="215" t="str">
        <f t="shared" si="18"/>
        <v/>
      </c>
      <c r="O212" s="215" t="str">
        <f t="shared" si="19"/>
        <v/>
      </c>
    </row>
    <row r="213" spans="5:15">
      <c r="E213" s="370"/>
      <c r="K213" s="214" t="str">
        <f t="shared" si="16"/>
        <v/>
      </c>
      <c r="L213" s="214" t="str">
        <f>IF(E213="","",IF(COUNTIFS(Table2[[#All],[De (Lote)]],Input_APM!F213)&gt;0,INDEX(Table2[[#All],[Para (Ticker Daniel)]],MATCH(Input_APM!F213,Table2[[#All],[De (Lote)]],0)),Input_APM!F213))</f>
        <v/>
      </c>
      <c r="M213" s="214" t="str">
        <f t="shared" si="17"/>
        <v/>
      </c>
      <c r="N213" s="215" t="str">
        <f t="shared" si="18"/>
        <v/>
      </c>
      <c r="O213" s="215" t="str">
        <f t="shared" si="19"/>
        <v/>
      </c>
    </row>
    <row r="214" spans="5:15">
      <c r="E214" s="370"/>
      <c r="K214" s="214" t="str">
        <f t="shared" si="16"/>
        <v/>
      </c>
      <c r="L214" s="214" t="str">
        <f>IF(E214="","",IF(COUNTIFS(Table2[[#All],[De (Lote)]],Input_APM!F214)&gt;0,INDEX(Table2[[#All],[Para (Ticker Daniel)]],MATCH(Input_APM!F214,Table2[[#All],[De (Lote)]],0)),Input_APM!F214))</f>
        <v/>
      </c>
      <c r="M214" s="214" t="str">
        <f t="shared" si="17"/>
        <v/>
      </c>
      <c r="N214" s="215" t="str">
        <f t="shared" si="18"/>
        <v/>
      </c>
      <c r="O214" s="215" t="str">
        <f t="shared" si="19"/>
        <v/>
      </c>
    </row>
    <row r="215" spans="5:15">
      <c r="E215" s="370"/>
      <c r="K215" s="214" t="str">
        <f t="shared" si="16"/>
        <v/>
      </c>
      <c r="L215" s="214" t="str">
        <f>IF(E215="","",IF(COUNTIFS(Table2[[#All],[De (Lote)]],Input_APM!F215)&gt;0,INDEX(Table2[[#All],[Para (Ticker Daniel)]],MATCH(Input_APM!F215,Table2[[#All],[De (Lote)]],0)),Input_APM!F215))</f>
        <v/>
      </c>
      <c r="M215" s="214" t="str">
        <f t="shared" si="17"/>
        <v/>
      </c>
      <c r="N215" s="215" t="str">
        <f t="shared" si="18"/>
        <v/>
      </c>
      <c r="O215" s="215" t="str">
        <f t="shared" si="19"/>
        <v/>
      </c>
    </row>
    <row r="216" spans="5:15">
      <c r="E216" s="370"/>
      <c r="K216" s="214" t="str">
        <f t="shared" si="16"/>
        <v/>
      </c>
      <c r="L216" s="214" t="str">
        <f>IF(E216="","",IF(COUNTIFS(Table2[[#All],[De (Lote)]],Input_APM!F216)&gt;0,INDEX(Table2[[#All],[Para (Ticker Daniel)]],MATCH(Input_APM!F216,Table2[[#All],[De (Lote)]],0)),Input_APM!F216))</f>
        <v/>
      </c>
      <c r="M216" s="214" t="str">
        <f t="shared" si="17"/>
        <v/>
      </c>
      <c r="N216" s="215" t="str">
        <f t="shared" si="18"/>
        <v/>
      </c>
      <c r="O216" s="215" t="str">
        <f t="shared" si="19"/>
        <v/>
      </c>
    </row>
    <row r="217" spans="5:15">
      <c r="E217" s="370"/>
      <c r="K217" s="214" t="str">
        <f t="shared" si="16"/>
        <v/>
      </c>
      <c r="L217" s="214" t="str">
        <f>IF(E217="","",IF(COUNTIFS(Table2[[#All],[De (Lote)]],Input_APM!F217)&gt;0,INDEX(Table2[[#All],[Para (Ticker Daniel)]],MATCH(Input_APM!F217,Table2[[#All],[De (Lote)]],0)),Input_APM!F217))</f>
        <v/>
      </c>
      <c r="M217" s="214" t="str">
        <f t="shared" si="17"/>
        <v/>
      </c>
      <c r="N217" s="215" t="str">
        <f t="shared" si="18"/>
        <v/>
      </c>
      <c r="O217" s="215" t="str">
        <f t="shared" si="19"/>
        <v/>
      </c>
    </row>
    <row r="218" spans="5:15">
      <c r="E218" s="370"/>
      <c r="K218" s="214" t="str">
        <f t="shared" si="16"/>
        <v/>
      </c>
      <c r="L218" s="214" t="str">
        <f>IF(E218="","",IF(COUNTIFS(Table2[[#All],[De (Lote)]],Input_APM!F218)&gt;0,INDEX(Table2[[#All],[Para (Ticker Daniel)]],MATCH(Input_APM!F218,Table2[[#All],[De (Lote)]],0)),Input_APM!F218))</f>
        <v/>
      </c>
      <c r="M218" s="214" t="str">
        <f t="shared" si="17"/>
        <v/>
      </c>
      <c r="N218" s="215" t="str">
        <f t="shared" si="18"/>
        <v/>
      </c>
      <c r="O218" s="215" t="str">
        <f t="shared" si="19"/>
        <v/>
      </c>
    </row>
    <row r="219" spans="5:15">
      <c r="E219" s="370"/>
      <c r="K219" s="214" t="str">
        <f t="shared" si="16"/>
        <v/>
      </c>
      <c r="L219" s="214" t="str">
        <f>IF(E219="","",IF(COUNTIFS(Table2[[#All],[De (Lote)]],Input_APM!F219)&gt;0,INDEX(Table2[[#All],[Para (Ticker Daniel)]],MATCH(Input_APM!F219,Table2[[#All],[De (Lote)]],0)),Input_APM!F219))</f>
        <v/>
      </c>
      <c r="M219" s="214" t="str">
        <f t="shared" si="17"/>
        <v/>
      </c>
      <c r="N219" s="215" t="str">
        <f t="shared" si="18"/>
        <v/>
      </c>
      <c r="O219" s="215" t="str">
        <f t="shared" si="19"/>
        <v/>
      </c>
    </row>
    <row r="220" spans="5:15">
      <c r="E220" s="370"/>
      <c r="K220" s="214" t="str">
        <f t="shared" si="16"/>
        <v/>
      </c>
      <c r="L220" s="214" t="str">
        <f>IF(E220="","",IF(COUNTIFS(Table2[[#All],[De (Lote)]],Input_APM!F220)&gt;0,INDEX(Table2[[#All],[Para (Ticker Daniel)]],MATCH(Input_APM!F220,Table2[[#All],[De (Lote)]],0)),Input_APM!F220))</f>
        <v/>
      </c>
      <c r="M220" s="214" t="str">
        <f t="shared" si="17"/>
        <v/>
      </c>
      <c r="N220" s="215" t="str">
        <f t="shared" si="18"/>
        <v/>
      </c>
      <c r="O220" s="215" t="str">
        <f t="shared" si="19"/>
        <v/>
      </c>
    </row>
    <row r="221" spans="5:15">
      <c r="E221" s="370"/>
      <c r="K221" s="214" t="str">
        <f t="shared" si="16"/>
        <v/>
      </c>
      <c r="L221" s="214" t="str">
        <f>IF(E221="","",IF(COUNTIFS(Table2[[#All],[De (Lote)]],Input_APM!F221)&gt;0,INDEX(Table2[[#All],[Para (Ticker Daniel)]],MATCH(Input_APM!F221,Table2[[#All],[De (Lote)]],0)),Input_APM!F221))</f>
        <v/>
      </c>
      <c r="M221" s="214" t="str">
        <f t="shared" si="17"/>
        <v/>
      </c>
      <c r="N221" s="215" t="str">
        <f t="shared" si="18"/>
        <v/>
      </c>
      <c r="O221" s="215" t="str">
        <f t="shared" si="19"/>
        <v/>
      </c>
    </row>
    <row r="222" spans="5:15">
      <c r="E222" s="370"/>
      <c r="K222" s="214" t="str">
        <f t="shared" si="16"/>
        <v/>
      </c>
      <c r="L222" s="214" t="str">
        <f>IF(E222="","",IF(COUNTIFS(Table2[[#All],[De (Lote)]],Input_APM!F222)&gt;0,INDEX(Table2[[#All],[Para (Ticker Daniel)]],MATCH(Input_APM!F222,Table2[[#All],[De (Lote)]],0)),Input_APM!F222))</f>
        <v/>
      </c>
      <c r="M222" s="214" t="str">
        <f t="shared" si="17"/>
        <v/>
      </c>
      <c r="N222" s="215" t="str">
        <f t="shared" si="18"/>
        <v/>
      </c>
      <c r="O222" s="215" t="str">
        <f t="shared" si="19"/>
        <v/>
      </c>
    </row>
    <row r="223" spans="5:15">
      <c r="E223" s="370"/>
      <c r="K223" s="214" t="str">
        <f t="shared" si="16"/>
        <v/>
      </c>
      <c r="L223" s="214" t="str">
        <f>IF(E223="","",IF(COUNTIFS(Table2[[#All],[De (Lote)]],Input_APM!F223)&gt;0,INDEX(Table2[[#All],[Para (Ticker Daniel)]],MATCH(Input_APM!F223,Table2[[#All],[De (Lote)]],0)),Input_APM!F223))</f>
        <v/>
      </c>
      <c r="M223" s="214" t="str">
        <f t="shared" si="17"/>
        <v/>
      </c>
      <c r="N223" s="215" t="str">
        <f t="shared" si="18"/>
        <v/>
      </c>
      <c r="O223" s="215" t="str">
        <f t="shared" si="19"/>
        <v/>
      </c>
    </row>
    <row r="224" spans="5:15">
      <c r="E224" s="370"/>
      <c r="K224" s="214" t="str">
        <f t="shared" si="16"/>
        <v/>
      </c>
      <c r="L224" s="214" t="str">
        <f>IF(E224="","",IF(COUNTIFS(Table2[[#All],[De (Lote)]],Input_APM!F224)&gt;0,INDEX(Table2[[#All],[Para (Ticker Daniel)]],MATCH(Input_APM!F224,Table2[[#All],[De (Lote)]],0)),Input_APM!F224))</f>
        <v/>
      </c>
      <c r="M224" s="214" t="str">
        <f t="shared" si="17"/>
        <v/>
      </c>
      <c r="N224" s="215" t="str">
        <f t="shared" si="18"/>
        <v/>
      </c>
      <c r="O224" s="215" t="str">
        <f t="shared" si="19"/>
        <v/>
      </c>
    </row>
    <row r="225" spans="5:15">
      <c r="E225" s="370"/>
      <c r="K225" s="214" t="str">
        <f t="shared" si="16"/>
        <v/>
      </c>
      <c r="L225" s="214" t="str">
        <f>IF(E225="","",IF(COUNTIFS(Table2[[#All],[De (Lote)]],Input_APM!F225)&gt;0,INDEX(Table2[[#All],[Para (Ticker Daniel)]],MATCH(Input_APM!F225,Table2[[#All],[De (Lote)]],0)),Input_APM!F225))</f>
        <v/>
      </c>
      <c r="M225" s="214" t="str">
        <f t="shared" si="17"/>
        <v/>
      </c>
      <c r="N225" s="215" t="str">
        <f t="shared" si="18"/>
        <v/>
      </c>
      <c r="O225" s="215" t="str">
        <f t="shared" si="19"/>
        <v/>
      </c>
    </row>
    <row r="226" spans="5:15">
      <c r="E226" s="370"/>
      <c r="K226" s="214" t="str">
        <f t="shared" si="16"/>
        <v/>
      </c>
      <c r="L226" s="214" t="str">
        <f>IF(E226="","",IF(COUNTIFS(Table2[[#All],[De (Lote)]],Input_APM!F226)&gt;0,INDEX(Table2[[#All],[Para (Ticker Daniel)]],MATCH(Input_APM!F226,Table2[[#All],[De (Lote)]],0)),Input_APM!F226))</f>
        <v/>
      </c>
      <c r="M226" s="214" t="str">
        <f t="shared" si="17"/>
        <v/>
      </c>
      <c r="N226" s="215" t="str">
        <f t="shared" si="18"/>
        <v/>
      </c>
      <c r="O226" s="215" t="str">
        <f t="shared" si="19"/>
        <v/>
      </c>
    </row>
    <row r="227" spans="5:15">
      <c r="E227" s="370"/>
      <c r="K227" s="214" t="str">
        <f t="shared" si="16"/>
        <v/>
      </c>
      <c r="L227" s="214" t="str">
        <f>IF(E227="","",IF(COUNTIFS(Table2[[#All],[De (Lote)]],Input_APM!F227)&gt;0,INDEX(Table2[[#All],[Para (Ticker Daniel)]],MATCH(Input_APM!F227,Table2[[#All],[De (Lote)]],0)),Input_APM!F227))</f>
        <v/>
      </c>
      <c r="M227" s="214" t="str">
        <f t="shared" si="17"/>
        <v/>
      </c>
      <c r="N227" s="215" t="str">
        <f t="shared" si="18"/>
        <v/>
      </c>
      <c r="O227" s="215" t="str">
        <f t="shared" si="19"/>
        <v/>
      </c>
    </row>
    <row r="228" spans="5:15">
      <c r="E228" s="370"/>
      <c r="K228" s="214" t="str">
        <f t="shared" si="16"/>
        <v/>
      </c>
      <c r="L228" s="214" t="str">
        <f>IF(E228="","",IF(COUNTIFS(Table2[[#All],[De (Lote)]],Input_APM!F228)&gt;0,INDEX(Table2[[#All],[Para (Ticker Daniel)]],MATCH(Input_APM!F228,Table2[[#All],[De (Lote)]],0)),Input_APM!F228))</f>
        <v/>
      </c>
      <c r="M228" s="214" t="str">
        <f t="shared" si="17"/>
        <v/>
      </c>
      <c r="N228" s="215" t="str">
        <f t="shared" si="18"/>
        <v/>
      </c>
      <c r="O228" s="215" t="str">
        <f t="shared" si="19"/>
        <v/>
      </c>
    </row>
    <row r="229" spans="5:15">
      <c r="E229" s="370"/>
      <c r="K229" s="214" t="str">
        <f t="shared" si="16"/>
        <v/>
      </c>
      <c r="L229" s="214" t="str">
        <f>IF(E229="","",IF(COUNTIFS(Table2[[#All],[De (Lote)]],Input_APM!F229)&gt;0,INDEX(Table2[[#All],[Para (Ticker Daniel)]],MATCH(Input_APM!F229,Table2[[#All],[De (Lote)]],0)),Input_APM!F229))</f>
        <v/>
      </c>
      <c r="M229" s="214" t="str">
        <f t="shared" si="17"/>
        <v/>
      </c>
      <c r="N229" s="215" t="str">
        <f t="shared" si="18"/>
        <v/>
      </c>
      <c r="O229" s="215" t="str">
        <f t="shared" si="19"/>
        <v/>
      </c>
    </row>
    <row r="230" spans="5:15">
      <c r="E230" s="370"/>
      <c r="K230" s="214" t="str">
        <f t="shared" si="16"/>
        <v/>
      </c>
      <c r="L230" s="214" t="str">
        <f>IF(E230="","",IF(COUNTIFS(Table2[[#All],[De (Lote)]],Input_APM!F230)&gt;0,INDEX(Table2[[#All],[Para (Ticker Daniel)]],MATCH(Input_APM!F230,Table2[[#All],[De (Lote)]],0)),Input_APM!F230))</f>
        <v/>
      </c>
      <c r="M230" s="214" t="str">
        <f t="shared" si="17"/>
        <v/>
      </c>
      <c r="N230" s="215" t="str">
        <f t="shared" si="18"/>
        <v/>
      </c>
      <c r="O230" s="215" t="str">
        <f t="shared" si="19"/>
        <v/>
      </c>
    </row>
    <row r="231" spans="5:15">
      <c r="E231" s="370"/>
      <c r="K231" s="214" t="str">
        <f t="shared" si="16"/>
        <v/>
      </c>
      <c r="L231" s="214" t="str">
        <f>IF(E231="","",IF(COUNTIFS(Table2[[#All],[De (Lote)]],Input_APM!F231)&gt;0,INDEX(Table2[[#All],[Para (Ticker Daniel)]],MATCH(Input_APM!F231,Table2[[#All],[De (Lote)]],0)),Input_APM!F231))</f>
        <v/>
      </c>
      <c r="M231" s="214" t="str">
        <f t="shared" si="17"/>
        <v/>
      </c>
      <c r="N231" s="215" t="str">
        <f t="shared" si="18"/>
        <v/>
      </c>
      <c r="O231" s="215" t="str">
        <f t="shared" si="19"/>
        <v/>
      </c>
    </row>
    <row r="232" spans="5:15">
      <c r="E232" s="370"/>
      <c r="K232" s="214" t="str">
        <f t="shared" si="16"/>
        <v/>
      </c>
      <c r="L232" s="214" t="str">
        <f>IF(E232="","",IF(COUNTIFS(Table2[[#All],[De (Lote)]],Input_APM!F232)&gt;0,INDEX(Table2[[#All],[Para (Ticker Daniel)]],MATCH(Input_APM!F232,Table2[[#All],[De (Lote)]],0)),Input_APM!F232))</f>
        <v/>
      </c>
      <c r="M232" s="214" t="str">
        <f t="shared" si="17"/>
        <v/>
      </c>
      <c r="N232" s="215" t="str">
        <f t="shared" si="18"/>
        <v/>
      </c>
      <c r="O232" s="215" t="str">
        <f t="shared" si="19"/>
        <v/>
      </c>
    </row>
    <row r="233" spans="5:15">
      <c r="E233" s="370"/>
      <c r="K233" s="214" t="str">
        <f t="shared" si="16"/>
        <v/>
      </c>
      <c r="L233" s="214" t="str">
        <f>IF(E233="","",IF(COUNTIFS(Table2[[#All],[De (Lote)]],Input_APM!F233)&gt;0,INDEX(Table2[[#All],[Para (Ticker Daniel)]],MATCH(Input_APM!F233,Table2[[#All],[De (Lote)]],0)),Input_APM!F233))</f>
        <v/>
      </c>
      <c r="M233" s="214" t="str">
        <f t="shared" si="17"/>
        <v/>
      </c>
      <c r="N233" s="215" t="str">
        <f t="shared" si="18"/>
        <v/>
      </c>
      <c r="O233" s="215" t="str">
        <f t="shared" si="19"/>
        <v/>
      </c>
    </row>
    <row r="234" spans="5:15">
      <c r="E234" s="370"/>
      <c r="K234" s="214" t="str">
        <f t="shared" si="16"/>
        <v/>
      </c>
      <c r="L234" s="214" t="str">
        <f>IF(E234="","",IF(COUNTIFS(Table2[[#All],[De (Lote)]],Input_APM!F234)&gt;0,INDEX(Table2[[#All],[Para (Ticker Daniel)]],MATCH(Input_APM!F234,Table2[[#All],[De (Lote)]],0)),Input_APM!F234))</f>
        <v/>
      </c>
      <c r="M234" s="214" t="str">
        <f t="shared" si="17"/>
        <v/>
      </c>
      <c r="N234" s="215" t="str">
        <f t="shared" si="18"/>
        <v/>
      </c>
      <c r="O234" s="215" t="str">
        <f t="shared" si="19"/>
        <v/>
      </c>
    </row>
    <row r="235" spans="5:15">
      <c r="E235" s="370"/>
      <c r="K235" s="214" t="str">
        <f>IF(E235="","",E235)</f>
        <v/>
      </c>
      <c r="L235" s="214" t="str">
        <f>IF(E235="","",IF(COUNTIFS(Table2[[#All],[De (Lote)]],Input_APM!F235)&gt;0,INDEX(Table2[[#All],[Para (Ticker Daniel)]],MATCH(Input_APM!F235,Table2[[#All],[De (Lote)]],0)),Input_APM!F235))</f>
        <v/>
      </c>
      <c r="M235" s="214" t="str">
        <f>IF(E235="","",G235)</f>
        <v/>
      </c>
      <c r="N235" s="215" t="str">
        <f>IF(E235="","",H235)</f>
        <v/>
      </c>
      <c r="O235" s="215" t="str">
        <f>IF(E235="","",I235)</f>
        <v/>
      </c>
    </row>
    <row r="236" spans="5:15">
      <c r="E236" s="370"/>
      <c r="K236" s="214" t="str">
        <f>IF(E236="","",E236)</f>
        <v/>
      </c>
      <c r="L236" s="214" t="str">
        <f>IF(E236="","",IF(COUNTIFS(Table2[[#All],[De (Lote)]],Input_APM!F236)&gt;0,INDEX(Table2[[#All],[Para (Ticker Daniel)]],MATCH(Input_APM!F236,Table2[[#All],[De (Lote)]],0)),Input_APM!F236))</f>
        <v/>
      </c>
      <c r="M236" s="214" t="str">
        <f>IF(E236="","",G236)</f>
        <v/>
      </c>
      <c r="N236" s="215" t="str">
        <f>IF(E236="","",H236)</f>
        <v/>
      </c>
      <c r="O236" s="215" t="str">
        <f>IF(E236="","",I236)</f>
        <v/>
      </c>
    </row>
    <row r="237" spans="5:15">
      <c r="E237" s="370"/>
      <c r="K237" s="214" t="str">
        <f>IF(E237="","",E237)</f>
        <v/>
      </c>
      <c r="L237" s="214" t="str">
        <f>IF(E237="","",IF(COUNTIFS(Table2[[#All],[De (Lote)]],Input_APM!F237)&gt;0,INDEX(Table2[[#All],[Para (Ticker Daniel)]],MATCH(Input_APM!F237,Table2[[#All],[De (Lote)]],0)),Input_APM!F237))</f>
        <v/>
      </c>
      <c r="M237" s="214" t="str">
        <f>IF(E237="","",G237)</f>
        <v/>
      </c>
      <c r="N237" s="215" t="str">
        <f>IF(E237="","",H237)</f>
        <v/>
      </c>
      <c r="O237" s="215" t="str">
        <f>IF(E237="","",I237)</f>
        <v/>
      </c>
    </row>
    <row r="238" spans="5:15">
      <c r="E238" s="370"/>
      <c r="K238" s="214" t="str">
        <f>IF(E238="","",E238)</f>
        <v/>
      </c>
      <c r="L238" s="214" t="str">
        <f>IF(E238="","",IF(COUNTIFS(Table2[[#All],[De (Lote)]],Input_APM!F238)&gt;0,INDEX(Table2[[#All],[Para (Ticker Daniel)]],MATCH(Input_APM!F238,Table2[[#All],[De (Lote)]],0)),Input_APM!F238))</f>
        <v/>
      </c>
      <c r="M238" s="214" t="str">
        <f>IF(E238="","",G238)</f>
        <v/>
      </c>
      <c r="N238" s="215" t="str">
        <f>IF(E238="","",H238)</f>
        <v/>
      </c>
      <c r="O238" s="215" t="str">
        <f>IF(E238="","",I238)</f>
        <v/>
      </c>
    </row>
    <row r="239" spans="5:15">
      <c r="E239" s="370"/>
      <c r="K239" s="214" t="str">
        <f>IF(E239="","",E239)</f>
        <v/>
      </c>
      <c r="L239" s="214" t="str">
        <f>IF(E239="","",IF(COUNTIFS(Table2[[#All],[De (Lote)]],Input_APM!F239)&gt;0,INDEX(Table2[[#All],[Para (Ticker Daniel)]],MATCH(Input_APM!F239,Table2[[#All],[De (Lote)]],0)),Input_APM!F239))</f>
        <v/>
      </c>
      <c r="M239" s="214" t="str">
        <f>IF(E239="","",G239)</f>
        <v/>
      </c>
      <c r="N239" s="215" t="str">
        <f>IF(E239="","",H239)</f>
        <v/>
      </c>
      <c r="O239" s="215" t="str">
        <f>IF(E239="","",I239)</f>
        <v/>
      </c>
    </row>
    <row r="240" spans="5:15">
      <c r="E240" s="370"/>
      <c r="K240" s="214" t="str">
        <f t="shared" ref="K240:K303" si="20">IF(E240="","",E240)</f>
        <v/>
      </c>
      <c r="L240" s="214" t="str">
        <f>IF(E240="","",IF(COUNTIFS(Table2[[#All],[De (Lote)]],Input_APM!F240)&gt;0,INDEX(Table2[[#All],[Para (Ticker Daniel)]],MATCH(Input_APM!F240,Table2[[#All],[De (Lote)]],0)),Input_APM!F240))</f>
        <v/>
      </c>
      <c r="M240" s="214" t="str">
        <f t="shared" ref="M240:M303" si="21">IF(E240="","",G240)</f>
        <v/>
      </c>
      <c r="N240" s="215" t="str">
        <f t="shared" ref="N240:N303" si="22">IF(E240="","",H240)</f>
        <v/>
      </c>
      <c r="O240" s="215" t="str">
        <f t="shared" ref="O240:O303" si="23">IF(E240="","",I240)</f>
        <v/>
      </c>
    </row>
    <row r="241" spans="5:15">
      <c r="E241" s="370"/>
      <c r="K241" s="214" t="str">
        <f t="shared" si="20"/>
        <v/>
      </c>
      <c r="L241" s="214" t="str">
        <f>IF(E241="","",IF(COUNTIFS(Table2[[#All],[De (Lote)]],Input_APM!F241)&gt;0,INDEX(Table2[[#All],[Para (Ticker Daniel)]],MATCH(Input_APM!F241,Table2[[#All],[De (Lote)]],0)),Input_APM!F241))</f>
        <v/>
      </c>
      <c r="M241" s="214" t="str">
        <f t="shared" si="21"/>
        <v/>
      </c>
      <c r="N241" s="215" t="str">
        <f t="shared" si="22"/>
        <v/>
      </c>
      <c r="O241" s="215" t="str">
        <f t="shared" si="23"/>
        <v/>
      </c>
    </row>
    <row r="242" spans="5:15">
      <c r="E242" s="370"/>
      <c r="K242" s="214" t="str">
        <f t="shared" si="20"/>
        <v/>
      </c>
      <c r="L242" s="214" t="str">
        <f>IF(E242="","",IF(COUNTIFS(Table2[[#All],[De (Lote)]],Input_APM!F242)&gt;0,INDEX(Table2[[#All],[Para (Ticker Daniel)]],MATCH(Input_APM!F242,Table2[[#All],[De (Lote)]],0)),Input_APM!F242))</f>
        <v/>
      </c>
      <c r="M242" s="214" t="str">
        <f t="shared" si="21"/>
        <v/>
      </c>
      <c r="N242" s="215" t="str">
        <f t="shared" si="22"/>
        <v/>
      </c>
      <c r="O242" s="215" t="str">
        <f t="shared" si="23"/>
        <v/>
      </c>
    </row>
    <row r="243" spans="5:15">
      <c r="E243" s="370"/>
      <c r="K243" s="214" t="str">
        <f t="shared" si="20"/>
        <v/>
      </c>
      <c r="L243" s="214" t="str">
        <f>IF(E243="","",IF(COUNTIFS(Table2[[#All],[De (Lote)]],Input_APM!F243)&gt;0,INDEX(Table2[[#All],[Para (Ticker Daniel)]],MATCH(Input_APM!F243,Table2[[#All],[De (Lote)]],0)),Input_APM!F243))</f>
        <v/>
      </c>
      <c r="M243" s="214" t="str">
        <f t="shared" si="21"/>
        <v/>
      </c>
      <c r="N243" s="215" t="str">
        <f t="shared" si="22"/>
        <v/>
      </c>
      <c r="O243" s="215" t="str">
        <f t="shared" si="23"/>
        <v/>
      </c>
    </row>
    <row r="244" spans="5:15">
      <c r="E244" s="370"/>
      <c r="K244" s="214" t="str">
        <f t="shared" si="20"/>
        <v/>
      </c>
      <c r="L244" s="214" t="str">
        <f>IF(E244="","",IF(COUNTIFS(Table2[[#All],[De (Lote)]],Input_APM!F244)&gt;0,INDEX(Table2[[#All],[Para (Ticker Daniel)]],MATCH(Input_APM!F244,Table2[[#All],[De (Lote)]],0)),Input_APM!F244))</f>
        <v/>
      </c>
      <c r="M244" s="214" t="str">
        <f t="shared" si="21"/>
        <v/>
      </c>
      <c r="N244" s="215" t="str">
        <f t="shared" si="22"/>
        <v/>
      </c>
      <c r="O244" s="215" t="str">
        <f t="shared" si="23"/>
        <v/>
      </c>
    </row>
    <row r="245" spans="5:15">
      <c r="E245" s="370"/>
      <c r="K245" s="214" t="str">
        <f t="shared" si="20"/>
        <v/>
      </c>
      <c r="L245" s="214" t="str">
        <f>IF(E245="","",IF(COUNTIFS(Table2[[#All],[De (Lote)]],Input_APM!F245)&gt;0,INDEX(Table2[[#All],[Para (Ticker Daniel)]],MATCH(Input_APM!F245,Table2[[#All],[De (Lote)]],0)),Input_APM!F245))</f>
        <v/>
      </c>
      <c r="M245" s="214" t="str">
        <f t="shared" si="21"/>
        <v/>
      </c>
      <c r="N245" s="215" t="str">
        <f t="shared" si="22"/>
        <v/>
      </c>
      <c r="O245" s="215" t="str">
        <f t="shared" si="23"/>
        <v/>
      </c>
    </row>
    <row r="246" spans="5:15">
      <c r="E246" s="370"/>
      <c r="K246" s="214" t="str">
        <f t="shared" si="20"/>
        <v/>
      </c>
      <c r="L246" s="214" t="str">
        <f>IF(E246="","",IF(COUNTIFS(Table2[[#All],[De (Lote)]],Input_APM!F246)&gt;0,INDEX(Table2[[#All],[Para (Ticker Daniel)]],MATCH(Input_APM!F246,Table2[[#All],[De (Lote)]],0)),Input_APM!F246))</f>
        <v/>
      </c>
      <c r="M246" s="214" t="str">
        <f t="shared" si="21"/>
        <v/>
      </c>
      <c r="N246" s="215" t="str">
        <f t="shared" si="22"/>
        <v/>
      </c>
      <c r="O246" s="215" t="str">
        <f t="shared" si="23"/>
        <v/>
      </c>
    </row>
    <row r="247" spans="5:15">
      <c r="E247" s="370"/>
      <c r="K247" s="214" t="str">
        <f t="shared" si="20"/>
        <v/>
      </c>
      <c r="L247" s="214" t="str">
        <f>IF(E247="","",IF(COUNTIFS(Table2[[#All],[De (Lote)]],Input_APM!F247)&gt;0,INDEX(Table2[[#All],[Para (Ticker Daniel)]],MATCH(Input_APM!F247,Table2[[#All],[De (Lote)]],0)),Input_APM!F247))</f>
        <v/>
      </c>
      <c r="M247" s="214" t="str">
        <f t="shared" si="21"/>
        <v/>
      </c>
      <c r="N247" s="215" t="str">
        <f t="shared" si="22"/>
        <v/>
      </c>
      <c r="O247" s="215" t="str">
        <f t="shared" si="23"/>
        <v/>
      </c>
    </row>
    <row r="248" spans="5:15">
      <c r="E248" s="370"/>
      <c r="K248" s="214" t="str">
        <f t="shared" si="20"/>
        <v/>
      </c>
      <c r="L248" s="214" t="str">
        <f>IF(E248="","",IF(COUNTIFS(Table2[[#All],[De (Lote)]],Input_APM!F248)&gt;0,INDEX(Table2[[#All],[Para (Ticker Daniel)]],MATCH(Input_APM!F248,Table2[[#All],[De (Lote)]],0)),Input_APM!F248))</f>
        <v/>
      </c>
      <c r="M248" s="214" t="str">
        <f t="shared" si="21"/>
        <v/>
      </c>
      <c r="N248" s="215" t="str">
        <f t="shared" si="22"/>
        <v/>
      </c>
      <c r="O248" s="215" t="str">
        <f t="shared" si="23"/>
        <v/>
      </c>
    </row>
    <row r="249" spans="5:15">
      <c r="E249" s="370"/>
      <c r="K249" s="214" t="str">
        <f t="shared" si="20"/>
        <v/>
      </c>
      <c r="L249" s="214" t="str">
        <f>IF(E249="","",IF(COUNTIFS(Table2[[#All],[De (Lote)]],Input_APM!F249)&gt;0,INDEX(Table2[[#All],[Para (Ticker Daniel)]],MATCH(Input_APM!F249,Table2[[#All],[De (Lote)]],0)),Input_APM!F249))</f>
        <v/>
      </c>
      <c r="M249" s="214" t="str">
        <f t="shared" si="21"/>
        <v/>
      </c>
      <c r="N249" s="215" t="str">
        <f t="shared" si="22"/>
        <v/>
      </c>
      <c r="O249" s="215" t="str">
        <f t="shared" si="23"/>
        <v/>
      </c>
    </row>
    <row r="250" spans="5:15">
      <c r="E250" s="370"/>
      <c r="K250" s="214" t="str">
        <f t="shared" si="20"/>
        <v/>
      </c>
      <c r="L250" s="214" t="str">
        <f>IF(E250="","",IF(COUNTIFS(Table2[[#All],[De (Lote)]],Input_APM!F250)&gt;0,INDEX(Table2[[#All],[Para (Ticker Daniel)]],MATCH(Input_APM!F250,Table2[[#All],[De (Lote)]],0)),Input_APM!F250))</f>
        <v/>
      </c>
      <c r="M250" s="214" t="str">
        <f t="shared" si="21"/>
        <v/>
      </c>
      <c r="N250" s="215" t="str">
        <f t="shared" si="22"/>
        <v/>
      </c>
      <c r="O250" s="215" t="str">
        <f t="shared" si="23"/>
        <v/>
      </c>
    </row>
    <row r="251" spans="5:15">
      <c r="E251" s="370"/>
      <c r="K251" s="214" t="str">
        <f t="shared" si="20"/>
        <v/>
      </c>
      <c r="L251" s="214" t="str">
        <f>IF(E251="","",IF(COUNTIFS(Table2[[#All],[De (Lote)]],Input_APM!F251)&gt;0,INDEX(Table2[[#All],[Para (Ticker Daniel)]],MATCH(Input_APM!F251,Table2[[#All],[De (Lote)]],0)),Input_APM!F251))</f>
        <v/>
      </c>
      <c r="M251" s="214" t="str">
        <f t="shared" si="21"/>
        <v/>
      </c>
      <c r="N251" s="215" t="str">
        <f t="shared" si="22"/>
        <v/>
      </c>
      <c r="O251" s="215" t="str">
        <f t="shared" si="23"/>
        <v/>
      </c>
    </row>
    <row r="252" spans="5:15">
      <c r="E252" s="370"/>
      <c r="K252" s="214" t="str">
        <f t="shared" si="20"/>
        <v/>
      </c>
      <c r="L252" s="214" t="str">
        <f>IF(E252="","",IF(COUNTIFS(Table2[[#All],[De (Lote)]],Input_APM!F252)&gt;0,INDEX(Table2[[#All],[Para (Ticker Daniel)]],MATCH(Input_APM!F252,Table2[[#All],[De (Lote)]],0)),Input_APM!F252))</f>
        <v/>
      </c>
      <c r="M252" s="214" t="str">
        <f t="shared" si="21"/>
        <v/>
      </c>
      <c r="N252" s="215" t="str">
        <f t="shared" si="22"/>
        <v/>
      </c>
      <c r="O252" s="215" t="str">
        <f t="shared" si="23"/>
        <v/>
      </c>
    </row>
    <row r="253" spans="5:15">
      <c r="E253" s="370"/>
      <c r="K253" s="214" t="str">
        <f t="shared" si="20"/>
        <v/>
      </c>
      <c r="L253" s="214" t="str">
        <f>IF(E253="","",IF(COUNTIFS(Table2[[#All],[De (Lote)]],Input_APM!F253)&gt;0,INDEX(Table2[[#All],[Para (Ticker Daniel)]],MATCH(Input_APM!F253,Table2[[#All],[De (Lote)]],0)),Input_APM!F253))</f>
        <v/>
      </c>
      <c r="M253" s="214" t="str">
        <f t="shared" si="21"/>
        <v/>
      </c>
      <c r="N253" s="215" t="str">
        <f t="shared" si="22"/>
        <v/>
      </c>
      <c r="O253" s="215" t="str">
        <f t="shared" si="23"/>
        <v/>
      </c>
    </row>
    <row r="254" spans="5:15">
      <c r="E254" s="370"/>
      <c r="K254" s="214" t="str">
        <f t="shared" si="20"/>
        <v/>
      </c>
      <c r="L254" s="214" t="str">
        <f>IF(E254="","",IF(COUNTIFS(Table2[[#All],[De (Lote)]],Input_APM!F254)&gt;0,INDEX(Table2[[#All],[Para (Ticker Daniel)]],MATCH(Input_APM!F254,Table2[[#All],[De (Lote)]],0)),Input_APM!F254))</f>
        <v/>
      </c>
      <c r="M254" s="214" t="str">
        <f t="shared" si="21"/>
        <v/>
      </c>
      <c r="N254" s="215" t="str">
        <f t="shared" si="22"/>
        <v/>
      </c>
      <c r="O254" s="215" t="str">
        <f t="shared" si="23"/>
        <v/>
      </c>
    </row>
    <row r="255" spans="5:15">
      <c r="E255" s="370"/>
      <c r="K255" s="214" t="str">
        <f t="shared" si="20"/>
        <v/>
      </c>
      <c r="L255" s="214" t="str">
        <f>IF(E255="","",IF(COUNTIFS(Table2[[#All],[De (Lote)]],Input_APM!F255)&gt;0,INDEX(Table2[[#All],[Para (Ticker Daniel)]],MATCH(Input_APM!F255,Table2[[#All],[De (Lote)]],0)),Input_APM!F255))</f>
        <v/>
      </c>
      <c r="M255" s="214" t="str">
        <f t="shared" si="21"/>
        <v/>
      </c>
      <c r="N255" s="215" t="str">
        <f t="shared" si="22"/>
        <v/>
      </c>
      <c r="O255" s="215" t="str">
        <f t="shared" si="23"/>
        <v/>
      </c>
    </row>
    <row r="256" spans="5:15">
      <c r="E256" s="370"/>
      <c r="K256" s="214" t="str">
        <f t="shared" si="20"/>
        <v/>
      </c>
      <c r="L256" s="214" t="str">
        <f>IF(E256="","",IF(COUNTIFS(Table2[[#All],[De (Lote)]],Input_APM!F256)&gt;0,INDEX(Table2[[#All],[Para (Ticker Daniel)]],MATCH(Input_APM!F256,Table2[[#All],[De (Lote)]],0)),Input_APM!F256))</f>
        <v/>
      </c>
      <c r="M256" s="214" t="str">
        <f t="shared" si="21"/>
        <v/>
      </c>
      <c r="N256" s="215" t="str">
        <f t="shared" si="22"/>
        <v/>
      </c>
      <c r="O256" s="215" t="str">
        <f t="shared" si="23"/>
        <v/>
      </c>
    </row>
    <row r="257" spans="5:15">
      <c r="E257" s="370"/>
      <c r="K257" s="214" t="str">
        <f t="shared" si="20"/>
        <v/>
      </c>
      <c r="L257" s="214" t="str">
        <f>IF(E257="","",IF(COUNTIFS(Table2[[#All],[De (Lote)]],Input_APM!F257)&gt;0,INDEX(Table2[[#All],[Para (Ticker Daniel)]],MATCH(Input_APM!F257,Table2[[#All],[De (Lote)]],0)),Input_APM!F257))</f>
        <v/>
      </c>
      <c r="M257" s="214" t="str">
        <f t="shared" si="21"/>
        <v/>
      </c>
      <c r="N257" s="215" t="str">
        <f t="shared" si="22"/>
        <v/>
      </c>
      <c r="O257" s="215" t="str">
        <f t="shared" si="23"/>
        <v/>
      </c>
    </row>
    <row r="258" spans="5:15">
      <c r="E258" s="370"/>
      <c r="K258" s="214" t="str">
        <f t="shared" si="20"/>
        <v/>
      </c>
      <c r="L258" s="214" t="str">
        <f>IF(E258="","",IF(COUNTIFS(Table2[[#All],[De (Lote)]],Input_APM!F258)&gt;0,INDEX(Table2[[#All],[Para (Ticker Daniel)]],MATCH(Input_APM!F258,Table2[[#All],[De (Lote)]],0)),Input_APM!F258))</f>
        <v/>
      </c>
      <c r="M258" s="214" t="str">
        <f t="shared" si="21"/>
        <v/>
      </c>
      <c r="N258" s="215" t="str">
        <f t="shared" si="22"/>
        <v/>
      </c>
      <c r="O258" s="215" t="str">
        <f t="shared" si="23"/>
        <v/>
      </c>
    </row>
    <row r="259" spans="5:15">
      <c r="E259" s="370"/>
      <c r="K259" s="214" t="str">
        <f t="shared" si="20"/>
        <v/>
      </c>
      <c r="L259" s="214" t="str">
        <f>IF(E259="","",IF(COUNTIFS(Table2[[#All],[De (Lote)]],Input_APM!F259)&gt;0,INDEX(Table2[[#All],[Para (Ticker Daniel)]],MATCH(Input_APM!F259,Table2[[#All],[De (Lote)]],0)),Input_APM!F259))</f>
        <v/>
      </c>
      <c r="M259" s="214" t="str">
        <f t="shared" si="21"/>
        <v/>
      </c>
      <c r="N259" s="215" t="str">
        <f t="shared" si="22"/>
        <v/>
      </c>
      <c r="O259" s="215" t="str">
        <f t="shared" si="23"/>
        <v/>
      </c>
    </row>
    <row r="260" spans="5:15">
      <c r="E260" s="370"/>
      <c r="K260" s="214" t="str">
        <f t="shared" si="20"/>
        <v/>
      </c>
      <c r="L260" s="214" t="str">
        <f>IF(E260="","",IF(COUNTIFS(Table2[[#All],[De (Lote)]],Input_APM!F260)&gt;0,INDEX(Table2[[#All],[Para (Ticker Daniel)]],MATCH(Input_APM!F260,Table2[[#All],[De (Lote)]],0)),Input_APM!F260))</f>
        <v/>
      </c>
      <c r="M260" s="214" t="str">
        <f t="shared" si="21"/>
        <v/>
      </c>
      <c r="N260" s="215" t="str">
        <f t="shared" si="22"/>
        <v/>
      </c>
      <c r="O260" s="215" t="str">
        <f t="shared" si="23"/>
        <v/>
      </c>
    </row>
    <row r="261" spans="5:15">
      <c r="E261" s="370"/>
      <c r="K261" s="214" t="str">
        <f t="shared" si="20"/>
        <v/>
      </c>
      <c r="L261" s="214" t="str">
        <f>IF(E261="","",IF(COUNTIFS(Table2[[#All],[De (Lote)]],Input_APM!F261)&gt;0,INDEX(Table2[[#All],[Para (Ticker Daniel)]],MATCH(Input_APM!F261,Table2[[#All],[De (Lote)]],0)),Input_APM!F261))</f>
        <v/>
      </c>
      <c r="M261" s="214" t="str">
        <f t="shared" si="21"/>
        <v/>
      </c>
      <c r="N261" s="215" t="str">
        <f t="shared" si="22"/>
        <v/>
      </c>
      <c r="O261" s="215" t="str">
        <f t="shared" si="23"/>
        <v/>
      </c>
    </row>
    <row r="262" spans="5:15">
      <c r="E262" s="370"/>
      <c r="K262" s="214" t="str">
        <f t="shared" si="20"/>
        <v/>
      </c>
      <c r="L262" s="214" t="str">
        <f>IF(E262="","",IF(COUNTIFS(Table2[[#All],[De (Lote)]],Input_APM!F262)&gt;0,INDEX(Table2[[#All],[Para (Ticker Daniel)]],MATCH(Input_APM!F262,Table2[[#All],[De (Lote)]],0)),Input_APM!F262))</f>
        <v/>
      </c>
      <c r="M262" s="214" t="str">
        <f t="shared" si="21"/>
        <v/>
      </c>
      <c r="N262" s="215" t="str">
        <f t="shared" si="22"/>
        <v/>
      </c>
      <c r="O262" s="215" t="str">
        <f t="shared" si="23"/>
        <v/>
      </c>
    </row>
    <row r="263" spans="5:15">
      <c r="E263" s="370"/>
      <c r="K263" s="214" t="str">
        <f t="shared" si="20"/>
        <v/>
      </c>
      <c r="L263" s="214" t="str">
        <f>IF(E263="","",IF(COUNTIFS(Table2[[#All],[De (Lote)]],Input_APM!F263)&gt;0,INDEX(Table2[[#All],[Para (Ticker Daniel)]],MATCH(Input_APM!F263,Table2[[#All],[De (Lote)]],0)),Input_APM!F263))</f>
        <v/>
      </c>
      <c r="M263" s="214" t="str">
        <f t="shared" si="21"/>
        <v/>
      </c>
      <c r="N263" s="215" t="str">
        <f t="shared" si="22"/>
        <v/>
      </c>
      <c r="O263" s="215" t="str">
        <f t="shared" si="23"/>
        <v/>
      </c>
    </row>
    <row r="264" spans="5:15">
      <c r="E264" s="370"/>
      <c r="K264" s="214" t="str">
        <f t="shared" si="20"/>
        <v/>
      </c>
      <c r="L264" s="214" t="str">
        <f>IF(E264="","",IF(COUNTIFS(Table2[[#All],[De (Lote)]],Input_APM!F264)&gt;0,INDEX(Table2[[#All],[Para (Ticker Daniel)]],MATCH(Input_APM!F264,Table2[[#All],[De (Lote)]],0)),Input_APM!F264))</f>
        <v/>
      </c>
      <c r="M264" s="214" t="str">
        <f t="shared" si="21"/>
        <v/>
      </c>
      <c r="N264" s="215" t="str">
        <f t="shared" si="22"/>
        <v/>
      </c>
      <c r="O264" s="215" t="str">
        <f t="shared" si="23"/>
        <v/>
      </c>
    </row>
    <row r="265" spans="5:15">
      <c r="E265" s="370"/>
      <c r="K265" s="214" t="str">
        <f t="shared" si="20"/>
        <v/>
      </c>
      <c r="L265" s="214" t="str">
        <f>IF(E265="","",IF(COUNTIFS(Table2[[#All],[De (Lote)]],Input_APM!F265)&gt;0,INDEX(Table2[[#All],[Para (Ticker Daniel)]],MATCH(Input_APM!F265,Table2[[#All],[De (Lote)]],0)),Input_APM!F265))</f>
        <v/>
      </c>
      <c r="M265" s="214" t="str">
        <f t="shared" si="21"/>
        <v/>
      </c>
      <c r="N265" s="215" t="str">
        <f t="shared" si="22"/>
        <v/>
      </c>
      <c r="O265" s="215" t="str">
        <f t="shared" si="23"/>
        <v/>
      </c>
    </row>
    <row r="266" spans="5:15">
      <c r="E266" s="370"/>
      <c r="K266" s="214" t="str">
        <f t="shared" si="20"/>
        <v/>
      </c>
      <c r="L266" s="214" t="str">
        <f>IF(E266="","",IF(COUNTIFS(Table2[[#All],[De (Lote)]],Input_APM!F266)&gt;0,INDEX(Table2[[#All],[Para (Ticker Daniel)]],MATCH(Input_APM!F266,Table2[[#All],[De (Lote)]],0)),Input_APM!F266))</f>
        <v/>
      </c>
      <c r="M266" s="214" t="str">
        <f t="shared" si="21"/>
        <v/>
      </c>
      <c r="N266" s="215" t="str">
        <f t="shared" si="22"/>
        <v/>
      </c>
      <c r="O266" s="215" t="str">
        <f t="shared" si="23"/>
        <v/>
      </c>
    </row>
    <row r="267" spans="5:15">
      <c r="E267" s="370"/>
      <c r="K267" s="214" t="str">
        <f t="shared" si="20"/>
        <v/>
      </c>
      <c r="L267" s="214" t="str">
        <f>IF(E267="","",IF(COUNTIFS(Table2[[#All],[De (Lote)]],Input_APM!F267)&gt;0,INDEX(Table2[[#All],[Para (Ticker Daniel)]],MATCH(Input_APM!F267,Table2[[#All],[De (Lote)]],0)),Input_APM!F267))</f>
        <v/>
      </c>
      <c r="M267" s="214" t="str">
        <f t="shared" si="21"/>
        <v/>
      </c>
      <c r="N267" s="215" t="str">
        <f t="shared" si="22"/>
        <v/>
      </c>
      <c r="O267" s="215" t="str">
        <f t="shared" si="23"/>
        <v/>
      </c>
    </row>
    <row r="268" spans="5:15">
      <c r="E268" s="370"/>
      <c r="K268" s="214" t="str">
        <f t="shared" si="20"/>
        <v/>
      </c>
      <c r="L268" s="214" t="str">
        <f>IF(E268="","",IF(COUNTIFS(Table2[[#All],[De (Lote)]],Input_APM!F268)&gt;0,INDEX(Table2[[#All],[Para (Ticker Daniel)]],MATCH(Input_APM!F268,Table2[[#All],[De (Lote)]],0)),Input_APM!F268))</f>
        <v/>
      </c>
      <c r="M268" s="214" t="str">
        <f t="shared" si="21"/>
        <v/>
      </c>
      <c r="N268" s="215" t="str">
        <f t="shared" si="22"/>
        <v/>
      </c>
      <c r="O268" s="215" t="str">
        <f t="shared" si="23"/>
        <v/>
      </c>
    </row>
    <row r="269" spans="5:15">
      <c r="E269" s="370"/>
      <c r="K269" s="214" t="str">
        <f t="shared" si="20"/>
        <v/>
      </c>
      <c r="L269" s="214" t="str">
        <f>IF(E269="","",IF(COUNTIFS(Table2[[#All],[De (Lote)]],Input_APM!F269)&gt;0,INDEX(Table2[[#All],[Para (Ticker Daniel)]],MATCH(Input_APM!F269,Table2[[#All],[De (Lote)]],0)),Input_APM!F269))</f>
        <v/>
      </c>
      <c r="M269" s="214" t="str">
        <f t="shared" si="21"/>
        <v/>
      </c>
      <c r="N269" s="215" t="str">
        <f t="shared" si="22"/>
        <v/>
      </c>
      <c r="O269" s="215" t="str">
        <f t="shared" si="23"/>
        <v/>
      </c>
    </row>
    <row r="270" spans="5:15">
      <c r="E270" s="370"/>
      <c r="K270" s="214" t="str">
        <f t="shared" si="20"/>
        <v/>
      </c>
      <c r="L270" s="214" t="str">
        <f>IF(E270="","",IF(COUNTIFS(Table2[[#All],[De (Lote)]],Input_APM!F270)&gt;0,INDEX(Table2[[#All],[Para (Ticker Daniel)]],MATCH(Input_APM!F270,Table2[[#All],[De (Lote)]],0)),Input_APM!F270))</f>
        <v/>
      </c>
      <c r="M270" s="214" t="str">
        <f t="shared" si="21"/>
        <v/>
      </c>
      <c r="N270" s="215" t="str">
        <f t="shared" si="22"/>
        <v/>
      </c>
      <c r="O270" s="215" t="str">
        <f t="shared" si="23"/>
        <v/>
      </c>
    </row>
    <row r="271" spans="5:15">
      <c r="E271" s="370"/>
      <c r="K271" s="214" t="str">
        <f t="shared" si="20"/>
        <v/>
      </c>
      <c r="L271" s="214" t="str">
        <f>IF(E271="","",IF(COUNTIFS(Table2[[#All],[De (Lote)]],Input_APM!F271)&gt;0,INDEX(Table2[[#All],[Para (Ticker Daniel)]],MATCH(Input_APM!F271,Table2[[#All],[De (Lote)]],0)),Input_APM!F271))</f>
        <v/>
      </c>
      <c r="M271" s="214" t="str">
        <f t="shared" si="21"/>
        <v/>
      </c>
      <c r="N271" s="215" t="str">
        <f t="shared" si="22"/>
        <v/>
      </c>
      <c r="O271" s="215" t="str">
        <f t="shared" si="23"/>
        <v/>
      </c>
    </row>
    <row r="272" spans="5:15">
      <c r="E272" s="370"/>
      <c r="K272" s="214" t="str">
        <f t="shared" si="20"/>
        <v/>
      </c>
      <c r="L272" s="214" t="str">
        <f>IF(E272="","",IF(COUNTIFS(Table2[[#All],[De (Lote)]],Input_APM!F272)&gt;0,INDEX(Table2[[#All],[Para (Ticker Daniel)]],MATCH(Input_APM!F272,Table2[[#All],[De (Lote)]],0)),Input_APM!F272))</f>
        <v/>
      </c>
      <c r="M272" s="214" t="str">
        <f t="shared" si="21"/>
        <v/>
      </c>
      <c r="N272" s="215" t="str">
        <f t="shared" si="22"/>
        <v/>
      </c>
      <c r="O272" s="215" t="str">
        <f t="shared" si="23"/>
        <v/>
      </c>
    </row>
    <row r="273" spans="5:15">
      <c r="E273" s="370"/>
      <c r="K273" s="214" t="str">
        <f t="shared" si="20"/>
        <v/>
      </c>
      <c r="L273" s="214" t="str">
        <f>IF(E273="","",IF(COUNTIFS(Table2[[#All],[De (Lote)]],Input_APM!F273)&gt;0,INDEX(Table2[[#All],[Para (Ticker Daniel)]],MATCH(Input_APM!F273,Table2[[#All],[De (Lote)]],0)),Input_APM!F273))</f>
        <v/>
      </c>
      <c r="M273" s="214" t="str">
        <f t="shared" si="21"/>
        <v/>
      </c>
      <c r="N273" s="215" t="str">
        <f t="shared" si="22"/>
        <v/>
      </c>
      <c r="O273" s="215" t="str">
        <f t="shared" si="23"/>
        <v/>
      </c>
    </row>
    <row r="274" spans="5:15">
      <c r="E274" s="370"/>
      <c r="K274" s="214" t="str">
        <f t="shared" si="20"/>
        <v/>
      </c>
      <c r="L274" s="214" t="str">
        <f>IF(E274="","",IF(COUNTIFS(Table2[[#All],[De (Lote)]],Input_APM!F274)&gt;0,INDEX(Table2[[#All],[Para (Ticker Daniel)]],MATCH(Input_APM!F274,Table2[[#All],[De (Lote)]],0)),Input_APM!F274))</f>
        <v/>
      </c>
      <c r="M274" s="214" t="str">
        <f t="shared" si="21"/>
        <v/>
      </c>
      <c r="N274" s="215" t="str">
        <f t="shared" si="22"/>
        <v/>
      </c>
      <c r="O274" s="215" t="str">
        <f t="shared" si="23"/>
        <v/>
      </c>
    </row>
    <row r="275" spans="5:15">
      <c r="E275" s="370"/>
      <c r="K275" s="214" t="str">
        <f t="shared" si="20"/>
        <v/>
      </c>
      <c r="L275" s="214" t="str">
        <f>IF(E275="","",IF(COUNTIFS(Table2[[#All],[De (Lote)]],Input_APM!F275)&gt;0,INDEX(Table2[[#All],[Para (Ticker Daniel)]],MATCH(Input_APM!F275,Table2[[#All],[De (Lote)]],0)),Input_APM!F275))</f>
        <v/>
      </c>
      <c r="M275" s="214" t="str">
        <f t="shared" si="21"/>
        <v/>
      </c>
      <c r="N275" s="215" t="str">
        <f t="shared" si="22"/>
        <v/>
      </c>
      <c r="O275" s="215" t="str">
        <f t="shared" si="23"/>
        <v/>
      </c>
    </row>
    <row r="276" spans="5:15">
      <c r="E276" s="370"/>
      <c r="K276" s="214" t="str">
        <f t="shared" si="20"/>
        <v/>
      </c>
      <c r="L276" s="214" t="str">
        <f>IF(E276="","",IF(COUNTIFS(Table2[[#All],[De (Lote)]],Input_APM!F276)&gt;0,INDEX(Table2[[#All],[Para (Ticker Daniel)]],MATCH(Input_APM!F276,Table2[[#All],[De (Lote)]],0)),Input_APM!F276))</f>
        <v/>
      </c>
      <c r="M276" s="214" t="str">
        <f t="shared" si="21"/>
        <v/>
      </c>
      <c r="N276" s="215" t="str">
        <f t="shared" si="22"/>
        <v/>
      </c>
      <c r="O276" s="215" t="str">
        <f t="shared" si="23"/>
        <v/>
      </c>
    </row>
    <row r="277" spans="5:15">
      <c r="E277" s="370"/>
      <c r="K277" s="214" t="str">
        <f t="shared" si="20"/>
        <v/>
      </c>
      <c r="L277" s="214" t="str">
        <f>IF(E277="","",IF(COUNTIFS(Table2[[#All],[De (Lote)]],Input_APM!F277)&gt;0,INDEX(Table2[[#All],[Para (Ticker Daniel)]],MATCH(Input_APM!F277,Table2[[#All],[De (Lote)]],0)),Input_APM!F277))</f>
        <v/>
      </c>
      <c r="M277" s="214" t="str">
        <f t="shared" si="21"/>
        <v/>
      </c>
      <c r="N277" s="215" t="str">
        <f t="shared" si="22"/>
        <v/>
      </c>
      <c r="O277" s="215" t="str">
        <f t="shared" si="23"/>
        <v/>
      </c>
    </row>
    <row r="278" spans="5:15">
      <c r="E278" s="370"/>
      <c r="K278" s="214" t="str">
        <f t="shared" si="20"/>
        <v/>
      </c>
      <c r="L278" s="214" t="str">
        <f>IF(E278="","",IF(COUNTIFS(Table2[[#All],[De (Lote)]],Input_APM!F278)&gt;0,INDEX(Table2[[#All],[Para (Ticker Daniel)]],MATCH(Input_APM!F278,Table2[[#All],[De (Lote)]],0)),Input_APM!F278))</f>
        <v/>
      </c>
      <c r="M278" s="214" t="str">
        <f t="shared" si="21"/>
        <v/>
      </c>
      <c r="N278" s="215" t="str">
        <f t="shared" si="22"/>
        <v/>
      </c>
      <c r="O278" s="215" t="str">
        <f t="shared" si="23"/>
        <v/>
      </c>
    </row>
    <row r="279" spans="5:15">
      <c r="E279" s="370"/>
      <c r="K279" s="214" t="str">
        <f t="shared" si="20"/>
        <v/>
      </c>
      <c r="L279" s="214" t="str">
        <f>IF(E279="","",IF(COUNTIFS(Table2[[#All],[De (Lote)]],Input_APM!F279)&gt;0,INDEX(Table2[[#All],[Para (Ticker Daniel)]],MATCH(Input_APM!F279,Table2[[#All],[De (Lote)]],0)),Input_APM!F279))</f>
        <v/>
      </c>
      <c r="M279" s="214" t="str">
        <f t="shared" si="21"/>
        <v/>
      </c>
      <c r="N279" s="215" t="str">
        <f t="shared" si="22"/>
        <v/>
      </c>
      <c r="O279" s="215" t="str">
        <f t="shared" si="23"/>
        <v/>
      </c>
    </row>
    <row r="280" spans="5:15">
      <c r="E280" s="370"/>
      <c r="K280" s="214" t="str">
        <f t="shared" si="20"/>
        <v/>
      </c>
      <c r="L280" s="214" t="str">
        <f>IF(E280="","",IF(COUNTIFS(Table2[[#All],[De (Lote)]],Input_APM!F280)&gt;0,INDEX(Table2[[#All],[Para (Ticker Daniel)]],MATCH(Input_APM!F280,Table2[[#All],[De (Lote)]],0)),Input_APM!F280))</f>
        <v/>
      </c>
      <c r="M280" s="214" t="str">
        <f t="shared" si="21"/>
        <v/>
      </c>
      <c r="N280" s="215" t="str">
        <f t="shared" si="22"/>
        <v/>
      </c>
      <c r="O280" s="215" t="str">
        <f t="shared" si="23"/>
        <v/>
      </c>
    </row>
    <row r="281" spans="5:15">
      <c r="E281" s="370"/>
      <c r="K281" s="214" t="str">
        <f t="shared" si="20"/>
        <v/>
      </c>
      <c r="L281" s="214" t="str">
        <f>IF(E281="","",IF(COUNTIFS(Table2[[#All],[De (Lote)]],Input_APM!F281)&gt;0,INDEX(Table2[[#All],[Para (Ticker Daniel)]],MATCH(Input_APM!F281,Table2[[#All],[De (Lote)]],0)),Input_APM!F281))</f>
        <v/>
      </c>
      <c r="M281" s="214" t="str">
        <f t="shared" si="21"/>
        <v/>
      </c>
      <c r="N281" s="215" t="str">
        <f t="shared" si="22"/>
        <v/>
      </c>
      <c r="O281" s="215" t="str">
        <f t="shared" si="23"/>
        <v/>
      </c>
    </row>
    <row r="282" spans="5:15">
      <c r="E282" s="370"/>
      <c r="K282" s="214" t="str">
        <f t="shared" si="20"/>
        <v/>
      </c>
      <c r="L282" s="214" t="str">
        <f>IF(E282="","",IF(COUNTIFS(Table2[[#All],[De (Lote)]],Input_APM!F282)&gt;0,INDEX(Table2[[#All],[Para (Ticker Daniel)]],MATCH(Input_APM!F282,Table2[[#All],[De (Lote)]],0)),Input_APM!F282))</f>
        <v/>
      </c>
      <c r="M282" s="214" t="str">
        <f t="shared" si="21"/>
        <v/>
      </c>
      <c r="N282" s="215" t="str">
        <f t="shared" si="22"/>
        <v/>
      </c>
      <c r="O282" s="215" t="str">
        <f t="shared" si="23"/>
        <v/>
      </c>
    </row>
    <row r="283" spans="5:15">
      <c r="E283" s="370"/>
      <c r="K283" s="214" t="str">
        <f t="shared" si="20"/>
        <v/>
      </c>
      <c r="L283" s="214" t="str">
        <f>IF(E283="","",IF(COUNTIFS(Table2[[#All],[De (Lote)]],Input_APM!F283)&gt;0,INDEX(Table2[[#All],[Para (Ticker Daniel)]],MATCH(Input_APM!F283,Table2[[#All],[De (Lote)]],0)),Input_APM!F283))</f>
        <v/>
      </c>
      <c r="M283" s="214" t="str">
        <f t="shared" si="21"/>
        <v/>
      </c>
      <c r="N283" s="215" t="str">
        <f t="shared" si="22"/>
        <v/>
      </c>
      <c r="O283" s="215" t="str">
        <f t="shared" si="23"/>
        <v/>
      </c>
    </row>
    <row r="284" spans="5:15">
      <c r="E284" s="370"/>
      <c r="K284" s="214" t="str">
        <f t="shared" si="20"/>
        <v/>
      </c>
      <c r="L284" s="214" t="str">
        <f>IF(E284="","",IF(COUNTIFS(Table2[[#All],[De (Lote)]],Input_APM!F284)&gt;0,INDEX(Table2[[#All],[Para (Ticker Daniel)]],MATCH(Input_APM!F284,Table2[[#All],[De (Lote)]],0)),Input_APM!F284))</f>
        <v/>
      </c>
      <c r="M284" s="214" t="str">
        <f t="shared" si="21"/>
        <v/>
      </c>
      <c r="N284" s="215" t="str">
        <f t="shared" si="22"/>
        <v/>
      </c>
      <c r="O284" s="215" t="str">
        <f t="shared" si="23"/>
        <v/>
      </c>
    </row>
    <row r="285" spans="5:15">
      <c r="E285" s="370"/>
      <c r="K285" s="214" t="str">
        <f t="shared" si="20"/>
        <v/>
      </c>
      <c r="L285" s="214" t="str">
        <f>IF(E285="","",IF(COUNTIFS(Table2[[#All],[De (Lote)]],Input_APM!F285)&gt;0,INDEX(Table2[[#All],[Para (Ticker Daniel)]],MATCH(Input_APM!F285,Table2[[#All],[De (Lote)]],0)),Input_APM!F285))</f>
        <v/>
      </c>
      <c r="M285" s="214" t="str">
        <f t="shared" si="21"/>
        <v/>
      </c>
      <c r="N285" s="215" t="str">
        <f t="shared" si="22"/>
        <v/>
      </c>
      <c r="O285" s="215" t="str">
        <f t="shared" si="23"/>
        <v/>
      </c>
    </row>
    <row r="286" spans="5:15">
      <c r="E286" s="370"/>
      <c r="K286" s="214" t="str">
        <f t="shared" si="20"/>
        <v/>
      </c>
      <c r="L286" s="214" t="str">
        <f>IF(E286="","",IF(COUNTIFS(Table2[[#All],[De (Lote)]],Input_APM!F286)&gt;0,INDEX(Table2[[#All],[Para (Ticker Daniel)]],MATCH(Input_APM!F286,Table2[[#All],[De (Lote)]],0)),Input_APM!F286))</f>
        <v/>
      </c>
      <c r="M286" s="214" t="str">
        <f t="shared" si="21"/>
        <v/>
      </c>
      <c r="N286" s="215" t="str">
        <f t="shared" si="22"/>
        <v/>
      </c>
      <c r="O286" s="215" t="str">
        <f t="shared" si="23"/>
        <v/>
      </c>
    </row>
    <row r="287" spans="5:15">
      <c r="E287" s="370"/>
      <c r="K287" s="214" t="str">
        <f t="shared" si="20"/>
        <v/>
      </c>
      <c r="L287" s="214" t="str">
        <f>IF(E287="","",IF(COUNTIFS(Table2[[#All],[De (Lote)]],Input_APM!F287)&gt;0,INDEX(Table2[[#All],[Para (Ticker Daniel)]],MATCH(Input_APM!F287,Table2[[#All],[De (Lote)]],0)),Input_APM!F287))</f>
        <v/>
      </c>
      <c r="M287" s="214" t="str">
        <f t="shared" si="21"/>
        <v/>
      </c>
      <c r="N287" s="215" t="str">
        <f t="shared" si="22"/>
        <v/>
      </c>
      <c r="O287" s="215" t="str">
        <f t="shared" si="23"/>
        <v/>
      </c>
    </row>
    <row r="288" spans="5:15">
      <c r="E288" s="370"/>
      <c r="K288" s="214" t="str">
        <f t="shared" si="20"/>
        <v/>
      </c>
      <c r="L288" s="214" t="str">
        <f>IF(E288="","",IF(COUNTIFS(Table2[[#All],[De (Lote)]],Input_APM!F288)&gt;0,INDEX(Table2[[#All],[Para (Ticker Daniel)]],MATCH(Input_APM!F288,Table2[[#All],[De (Lote)]],0)),Input_APM!F288))</f>
        <v/>
      </c>
      <c r="M288" s="214" t="str">
        <f t="shared" si="21"/>
        <v/>
      </c>
      <c r="N288" s="215" t="str">
        <f t="shared" si="22"/>
        <v/>
      </c>
      <c r="O288" s="215" t="str">
        <f t="shared" si="23"/>
        <v/>
      </c>
    </row>
    <row r="289" spans="5:15">
      <c r="E289" s="370"/>
      <c r="K289" s="214" t="str">
        <f t="shared" si="20"/>
        <v/>
      </c>
      <c r="L289" s="214" t="str">
        <f>IF(E289="","",IF(COUNTIFS(Table2[[#All],[De (Lote)]],Input_APM!F289)&gt;0,INDEX(Table2[[#All],[Para (Ticker Daniel)]],MATCH(Input_APM!F289,Table2[[#All],[De (Lote)]],0)),Input_APM!F289))</f>
        <v/>
      </c>
      <c r="M289" s="214" t="str">
        <f t="shared" si="21"/>
        <v/>
      </c>
      <c r="N289" s="215" t="str">
        <f t="shared" si="22"/>
        <v/>
      </c>
      <c r="O289" s="215" t="str">
        <f t="shared" si="23"/>
        <v/>
      </c>
    </row>
    <row r="290" spans="5:15">
      <c r="E290" s="370"/>
      <c r="K290" s="214" t="str">
        <f t="shared" si="20"/>
        <v/>
      </c>
      <c r="L290" s="214" t="str">
        <f>IF(E290="","",IF(COUNTIFS(Table2[[#All],[De (Lote)]],Input_APM!F290)&gt;0,INDEX(Table2[[#All],[Para (Ticker Daniel)]],MATCH(Input_APM!F290,Table2[[#All],[De (Lote)]],0)),Input_APM!F290))</f>
        <v/>
      </c>
      <c r="M290" s="214" t="str">
        <f t="shared" si="21"/>
        <v/>
      </c>
      <c r="N290" s="215" t="str">
        <f t="shared" si="22"/>
        <v/>
      </c>
      <c r="O290" s="215" t="str">
        <f t="shared" si="23"/>
        <v/>
      </c>
    </row>
    <row r="291" spans="5:15">
      <c r="E291" s="370"/>
      <c r="K291" s="214" t="str">
        <f t="shared" si="20"/>
        <v/>
      </c>
      <c r="L291" s="214" t="str">
        <f>IF(E291="","",IF(COUNTIFS(Table2[[#All],[De (Lote)]],Input_APM!F291)&gt;0,INDEX(Table2[[#All],[Para (Ticker Daniel)]],MATCH(Input_APM!F291,Table2[[#All],[De (Lote)]],0)),Input_APM!F291))</f>
        <v/>
      </c>
      <c r="M291" s="214" t="str">
        <f t="shared" si="21"/>
        <v/>
      </c>
      <c r="N291" s="215" t="str">
        <f t="shared" si="22"/>
        <v/>
      </c>
      <c r="O291" s="215" t="str">
        <f t="shared" si="23"/>
        <v/>
      </c>
    </row>
    <row r="292" spans="5:15">
      <c r="E292" s="370"/>
      <c r="K292" s="214" t="str">
        <f t="shared" si="20"/>
        <v/>
      </c>
      <c r="L292" s="214" t="str">
        <f>IF(E292="","",IF(COUNTIFS(Table2[[#All],[De (Lote)]],Input_APM!F292)&gt;0,INDEX(Table2[[#All],[Para (Ticker Daniel)]],MATCH(Input_APM!F292,Table2[[#All],[De (Lote)]],0)),Input_APM!F292))</f>
        <v/>
      </c>
      <c r="M292" s="214" t="str">
        <f t="shared" si="21"/>
        <v/>
      </c>
      <c r="N292" s="215" t="str">
        <f t="shared" si="22"/>
        <v/>
      </c>
      <c r="O292" s="215" t="str">
        <f t="shared" si="23"/>
        <v/>
      </c>
    </row>
    <row r="293" spans="5:15">
      <c r="E293" s="370"/>
      <c r="K293" s="214" t="str">
        <f t="shared" si="20"/>
        <v/>
      </c>
      <c r="L293" s="214" t="str">
        <f>IF(E293="","",IF(COUNTIFS(Table2[[#All],[De (Lote)]],Input_APM!F293)&gt;0,INDEX(Table2[[#All],[Para (Ticker Daniel)]],MATCH(Input_APM!F293,Table2[[#All],[De (Lote)]],0)),Input_APM!F293))</f>
        <v/>
      </c>
      <c r="M293" s="214" t="str">
        <f t="shared" si="21"/>
        <v/>
      </c>
      <c r="N293" s="215" t="str">
        <f t="shared" si="22"/>
        <v/>
      </c>
      <c r="O293" s="215" t="str">
        <f t="shared" si="23"/>
        <v/>
      </c>
    </row>
    <row r="294" spans="5:15">
      <c r="E294" s="370"/>
      <c r="K294" s="214" t="str">
        <f t="shared" si="20"/>
        <v/>
      </c>
      <c r="L294" s="214" t="str">
        <f>IF(E294="","",IF(COUNTIFS(Table2[[#All],[De (Lote)]],Input_APM!F294)&gt;0,INDEX(Table2[[#All],[Para (Ticker Daniel)]],MATCH(Input_APM!F294,Table2[[#All],[De (Lote)]],0)),Input_APM!F294))</f>
        <v/>
      </c>
      <c r="M294" s="214" t="str">
        <f t="shared" si="21"/>
        <v/>
      </c>
      <c r="N294" s="215" t="str">
        <f t="shared" si="22"/>
        <v/>
      </c>
      <c r="O294" s="215" t="str">
        <f t="shared" si="23"/>
        <v/>
      </c>
    </row>
    <row r="295" spans="5:15">
      <c r="E295" s="370"/>
      <c r="K295" s="214" t="str">
        <f t="shared" si="20"/>
        <v/>
      </c>
      <c r="L295" s="214" t="str">
        <f>IF(E295="","",IF(COUNTIFS(Table2[[#All],[De (Lote)]],Input_APM!F295)&gt;0,INDEX(Table2[[#All],[Para (Ticker Daniel)]],MATCH(Input_APM!F295,Table2[[#All],[De (Lote)]],0)),Input_APM!F295))</f>
        <v/>
      </c>
      <c r="M295" s="214" t="str">
        <f t="shared" si="21"/>
        <v/>
      </c>
      <c r="N295" s="215" t="str">
        <f t="shared" si="22"/>
        <v/>
      </c>
      <c r="O295" s="215" t="str">
        <f t="shared" si="23"/>
        <v/>
      </c>
    </row>
    <row r="296" spans="5:15">
      <c r="E296" s="370"/>
      <c r="K296" s="214" t="str">
        <f t="shared" si="20"/>
        <v/>
      </c>
      <c r="L296" s="214" t="str">
        <f>IF(E296="","",IF(COUNTIFS(Table2[[#All],[De (Lote)]],Input_APM!F296)&gt;0,INDEX(Table2[[#All],[Para (Ticker Daniel)]],MATCH(Input_APM!F296,Table2[[#All],[De (Lote)]],0)),Input_APM!F296))</f>
        <v/>
      </c>
      <c r="M296" s="214" t="str">
        <f t="shared" si="21"/>
        <v/>
      </c>
      <c r="N296" s="215" t="str">
        <f t="shared" si="22"/>
        <v/>
      </c>
      <c r="O296" s="215" t="str">
        <f t="shared" si="23"/>
        <v/>
      </c>
    </row>
    <row r="297" spans="5:15">
      <c r="E297" s="370"/>
      <c r="K297" s="214" t="str">
        <f t="shared" si="20"/>
        <v/>
      </c>
      <c r="L297" s="214" t="str">
        <f>IF(E297="","",IF(COUNTIFS(Table2[[#All],[De (Lote)]],Input_APM!F297)&gt;0,INDEX(Table2[[#All],[Para (Ticker Daniel)]],MATCH(Input_APM!F297,Table2[[#All],[De (Lote)]],0)),Input_APM!F297))</f>
        <v/>
      </c>
      <c r="M297" s="214" t="str">
        <f t="shared" si="21"/>
        <v/>
      </c>
      <c r="N297" s="215" t="str">
        <f t="shared" si="22"/>
        <v/>
      </c>
      <c r="O297" s="215" t="str">
        <f t="shared" si="23"/>
        <v/>
      </c>
    </row>
    <row r="298" spans="5:15">
      <c r="E298" s="370"/>
      <c r="K298" s="214" t="str">
        <f t="shared" si="20"/>
        <v/>
      </c>
      <c r="L298" s="214" t="str">
        <f>IF(E298="","",IF(COUNTIFS(Table2[[#All],[De (Lote)]],Input_APM!F298)&gt;0,INDEX(Table2[[#All],[Para (Ticker Daniel)]],MATCH(Input_APM!F298,Table2[[#All],[De (Lote)]],0)),Input_APM!F298))</f>
        <v/>
      </c>
      <c r="M298" s="214" t="str">
        <f t="shared" si="21"/>
        <v/>
      </c>
      <c r="N298" s="215" t="str">
        <f t="shared" si="22"/>
        <v/>
      </c>
      <c r="O298" s="215" t="str">
        <f t="shared" si="23"/>
        <v/>
      </c>
    </row>
    <row r="299" spans="5:15">
      <c r="E299" s="370"/>
      <c r="K299" s="214" t="str">
        <f t="shared" si="20"/>
        <v/>
      </c>
      <c r="L299" s="214" t="str">
        <f>IF(E299="","",IF(COUNTIFS(Table2[[#All],[De (Lote)]],Input_APM!F299)&gt;0,INDEX(Table2[[#All],[Para (Ticker Daniel)]],MATCH(Input_APM!F299,Table2[[#All],[De (Lote)]],0)),Input_APM!F299))</f>
        <v/>
      </c>
      <c r="M299" s="214" t="str">
        <f t="shared" si="21"/>
        <v/>
      </c>
      <c r="N299" s="215" t="str">
        <f t="shared" si="22"/>
        <v/>
      </c>
      <c r="O299" s="215" t="str">
        <f t="shared" si="23"/>
        <v/>
      </c>
    </row>
    <row r="300" spans="5:15">
      <c r="E300" s="370"/>
      <c r="K300" s="214" t="str">
        <f t="shared" si="20"/>
        <v/>
      </c>
      <c r="L300" s="214" t="str">
        <f>IF(E300="","",IF(COUNTIFS(Table2[[#All],[De (Lote)]],Input_APM!F300)&gt;0,INDEX(Table2[[#All],[Para (Ticker Daniel)]],MATCH(Input_APM!F300,Table2[[#All],[De (Lote)]],0)),Input_APM!F300))</f>
        <v/>
      </c>
      <c r="M300" s="214" t="str">
        <f t="shared" si="21"/>
        <v/>
      </c>
      <c r="N300" s="215" t="str">
        <f t="shared" si="22"/>
        <v/>
      </c>
      <c r="O300" s="215" t="str">
        <f t="shared" si="23"/>
        <v/>
      </c>
    </row>
    <row r="301" spans="5:15">
      <c r="E301" s="370"/>
      <c r="K301" s="214" t="str">
        <f t="shared" si="20"/>
        <v/>
      </c>
      <c r="L301" s="214" t="str">
        <f>IF(E301="","",IF(COUNTIFS(Table2[[#All],[De (Lote)]],Input_APM!F301)&gt;0,INDEX(Table2[[#All],[Para (Ticker Daniel)]],MATCH(Input_APM!F301,Table2[[#All],[De (Lote)]],0)),Input_APM!F301))</f>
        <v/>
      </c>
      <c r="M301" s="214" t="str">
        <f t="shared" si="21"/>
        <v/>
      </c>
      <c r="N301" s="215" t="str">
        <f t="shared" si="22"/>
        <v/>
      </c>
      <c r="O301" s="215" t="str">
        <f t="shared" si="23"/>
        <v/>
      </c>
    </row>
    <row r="302" spans="5:15">
      <c r="E302" s="370"/>
      <c r="K302" s="214" t="str">
        <f t="shared" si="20"/>
        <v/>
      </c>
      <c r="L302" s="214" t="str">
        <f>IF(E302="","",IF(COUNTIFS(Table2[[#All],[De (Lote)]],Input_APM!F302)&gt;0,INDEX(Table2[[#All],[Para (Ticker Daniel)]],MATCH(Input_APM!F302,Table2[[#All],[De (Lote)]],0)),Input_APM!F302))</f>
        <v/>
      </c>
      <c r="M302" s="214" t="str">
        <f t="shared" si="21"/>
        <v/>
      </c>
      <c r="N302" s="215" t="str">
        <f t="shared" si="22"/>
        <v/>
      </c>
      <c r="O302" s="215" t="str">
        <f t="shared" si="23"/>
        <v/>
      </c>
    </row>
    <row r="303" spans="5:15">
      <c r="E303" s="370"/>
      <c r="K303" s="214" t="str">
        <f t="shared" si="20"/>
        <v/>
      </c>
      <c r="L303" s="214" t="str">
        <f>IF(E303="","",IF(COUNTIFS(Table2[[#All],[De (Lote)]],Input_APM!F303)&gt;0,INDEX(Table2[[#All],[Para (Ticker Daniel)]],MATCH(Input_APM!F303,Table2[[#All],[De (Lote)]],0)),Input_APM!F303))</f>
        <v/>
      </c>
      <c r="M303" s="214" t="str">
        <f t="shared" si="21"/>
        <v/>
      </c>
      <c r="N303" s="215" t="str">
        <f t="shared" si="22"/>
        <v/>
      </c>
      <c r="O303" s="215" t="str">
        <f t="shared" si="23"/>
        <v/>
      </c>
    </row>
    <row r="304" spans="5:15">
      <c r="E304" s="370"/>
      <c r="K304" s="214" t="str">
        <f t="shared" ref="K304:K355" si="24">IF(E304="","",E304)</f>
        <v/>
      </c>
      <c r="L304" s="214" t="str">
        <f>IF(E304="","",IF(COUNTIFS(Table2[[#All],[De (Lote)]],Input_APM!F304)&gt;0,INDEX(Table2[[#All],[Para (Ticker Daniel)]],MATCH(Input_APM!F304,Table2[[#All],[De (Lote)]],0)),Input_APM!F304))</f>
        <v/>
      </c>
      <c r="M304" s="214" t="str">
        <f t="shared" ref="M304:M355" si="25">IF(E304="","",G304)</f>
        <v/>
      </c>
      <c r="N304" s="215" t="str">
        <f t="shared" ref="N304:N355" si="26">IF(E304="","",H304)</f>
        <v/>
      </c>
      <c r="O304" s="215" t="str">
        <f t="shared" ref="O304:O355" si="27">IF(E304="","",I304)</f>
        <v/>
      </c>
    </row>
    <row r="305" spans="5:15">
      <c r="E305" s="370"/>
      <c r="K305" s="214" t="str">
        <f t="shared" si="24"/>
        <v/>
      </c>
      <c r="L305" s="214" t="str">
        <f>IF(E305="","",IF(COUNTIFS(Table2[[#All],[De (Lote)]],Input_APM!F305)&gt;0,INDEX(Table2[[#All],[Para (Ticker Daniel)]],MATCH(Input_APM!F305,Table2[[#All],[De (Lote)]],0)),Input_APM!F305))</f>
        <v/>
      </c>
      <c r="M305" s="214" t="str">
        <f t="shared" si="25"/>
        <v/>
      </c>
      <c r="N305" s="215" t="str">
        <f t="shared" si="26"/>
        <v/>
      </c>
      <c r="O305" s="215" t="str">
        <f t="shared" si="27"/>
        <v/>
      </c>
    </row>
    <row r="306" spans="5:15">
      <c r="E306" s="370"/>
      <c r="K306" s="214" t="str">
        <f t="shared" si="24"/>
        <v/>
      </c>
      <c r="L306" s="214" t="str">
        <f>IF(E306="","",IF(COUNTIFS(Table2[[#All],[De (Lote)]],Input_APM!F306)&gt;0,INDEX(Table2[[#All],[Para (Ticker Daniel)]],MATCH(Input_APM!F306,Table2[[#All],[De (Lote)]],0)),Input_APM!F306))</f>
        <v/>
      </c>
      <c r="M306" s="214" t="str">
        <f t="shared" si="25"/>
        <v/>
      </c>
      <c r="N306" s="215" t="str">
        <f t="shared" si="26"/>
        <v/>
      </c>
      <c r="O306" s="215" t="str">
        <f t="shared" si="27"/>
        <v/>
      </c>
    </row>
    <row r="307" spans="5:15">
      <c r="E307" s="370"/>
      <c r="K307" s="214" t="str">
        <f t="shared" si="24"/>
        <v/>
      </c>
      <c r="L307" s="214" t="str">
        <f>IF(E307="","",IF(COUNTIFS(Table2[[#All],[De (Lote)]],Input_APM!F307)&gt;0,INDEX(Table2[[#All],[Para (Ticker Daniel)]],MATCH(Input_APM!F307,Table2[[#All],[De (Lote)]],0)),Input_APM!F307))</f>
        <v/>
      </c>
      <c r="M307" s="214" t="str">
        <f t="shared" si="25"/>
        <v/>
      </c>
      <c r="N307" s="215" t="str">
        <f t="shared" si="26"/>
        <v/>
      </c>
      <c r="O307" s="215" t="str">
        <f t="shared" si="27"/>
        <v/>
      </c>
    </row>
    <row r="308" spans="5:15">
      <c r="E308" s="370"/>
      <c r="K308" s="214" t="str">
        <f t="shared" si="24"/>
        <v/>
      </c>
      <c r="L308" s="214" t="str">
        <f>IF(E308="","",IF(COUNTIFS(Table2[[#All],[De (Lote)]],Input_APM!F308)&gt;0,INDEX(Table2[[#All],[Para (Ticker Daniel)]],MATCH(Input_APM!F308,Table2[[#All],[De (Lote)]],0)),Input_APM!F308))</f>
        <v/>
      </c>
      <c r="M308" s="214" t="str">
        <f t="shared" si="25"/>
        <v/>
      </c>
      <c r="N308" s="215" t="str">
        <f t="shared" si="26"/>
        <v/>
      </c>
      <c r="O308" s="215" t="str">
        <f t="shared" si="27"/>
        <v/>
      </c>
    </row>
    <row r="309" spans="5:15">
      <c r="E309" s="370"/>
      <c r="K309" s="214" t="str">
        <f t="shared" si="24"/>
        <v/>
      </c>
      <c r="L309" s="214" t="str">
        <f>IF(E309="","",IF(COUNTIFS(Table2[[#All],[De (Lote)]],Input_APM!F309)&gt;0,INDEX(Table2[[#All],[Para (Ticker Daniel)]],MATCH(Input_APM!F309,Table2[[#All],[De (Lote)]],0)),Input_APM!F309))</f>
        <v/>
      </c>
      <c r="M309" s="214" t="str">
        <f t="shared" si="25"/>
        <v/>
      </c>
      <c r="N309" s="215" t="str">
        <f t="shared" si="26"/>
        <v/>
      </c>
      <c r="O309" s="215" t="str">
        <f t="shared" si="27"/>
        <v/>
      </c>
    </row>
    <row r="310" spans="5:15">
      <c r="E310" s="370"/>
      <c r="K310" s="214" t="str">
        <f t="shared" si="24"/>
        <v/>
      </c>
      <c r="L310" s="214" t="str">
        <f>IF(E310="","",IF(COUNTIFS(Table2[[#All],[De (Lote)]],Input_APM!F310)&gt;0,INDEX(Table2[[#All],[Para (Ticker Daniel)]],MATCH(Input_APM!F310,Table2[[#All],[De (Lote)]],0)),Input_APM!F310))</f>
        <v/>
      </c>
      <c r="M310" s="214" t="str">
        <f t="shared" si="25"/>
        <v/>
      </c>
      <c r="N310" s="215" t="str">
        <f t="shared" si="26"/>
        <v/>
      </c>
      <c r="O310" s="215" t="str">
        <f t="shared" si="27"/>
        <v/>
      </c>
    </row>
    <row r="311" spans="5:15">
      <c r="E311" s="370"/>
      <c r="K311" s="214" t="str">
        <f t="shared" si="24"/>
        <v/>
      </c>
      <c r="L311" s="214" t="str">
        <f>IF(E311="","",IF(COUNTIFS(Table2[[#All],[De (Lote)]],Input_APM!F311)&gt;0,INDEX(Table2[[#All],[Para (Ticker Daniel)]],MATCH(Input_APM!F311,Table2[[#All],[De (Lote)]],0)),Input_APM!F311))</f>
        <v/>
      </c>
      <c r="M311" s="214" t="str">
        <f t="shared" si="25"/>
        <v/>
      </c>
      <c r="N311" s="215" t="str">
        <f t="shared" si="26"/>
        <v/>
      </c>
      <c r="O311" s="215" t="str">
        <f t="shared" si="27"/>
        <v/>
      </c>
    </row>
    <row r="312" spans="5:15">
      <c r="E312" s="370"/>
      <c r="K312" s="214" t="str">
        <f t="shared" si="24"/>
        <v/>
      </c>
      <c r="L312" s="214" t="str">
        <f>IF(E312="","",IF(COUNTIFS(Table2[[#All],[De (Lote)]],Input_APM!F312)&gt;0,INDEX(Table2[[#All],[Para (Ticker Daniel)]],MATCH(Input_APM!F312,Table2[[#All],[De (Lote)]],0)),Input_APM!F312))</f>
        <v/>
      </c>
      <c r="M312" s="214" t="str">
        <f t="shared" si="25"/>
        <v/>
      </c>
      <c r="N312" s="215" t="str">
        <f t="shared" si="26"/>
        <v/>
      </c>
      <c r="O312" s="215" t="str">
        <f t="shared" si="27"/>
        <v/>
      </c>
    </row>
    <row r="313" spans="5:15">
      <c r="E313" s="370"/>
      <c r="K313" s="214" t="str">
        <f t="shared" si="24"/>
        <v/>
      </c>
      <c r="L313" s="214" t="str">
        <f>IF(E313="","",IF(COUNTIFS(Table2[[#All],[De (Lote)]],Input_APM!F313)&gt;0,INDEX(Table2[[#All],[Para (Ticker Daniel)]],MATCH(Input_APM!F313,Table2[[#All],[De (Lote)]],0)),Input_APM!F313))</f>
        <v/>
      </c>
      <c r="M313" s="214" t="str">
        <f t="shared" si="25"/>
        <v/>
      </c>
      <c r="N313" s="215" t="str">
        <f t="shared" si="26"/>
        <v/>
      </c>
      <c r="O313" s="215" t="str">
        <f t="shared" si="27"/>
        <v/>
      </c>
    </row>
    <row r="314" spans="5:15">
      <c r="E314" s="370"/>
      <c r="K314" s="214" t="str">
        <f t="shared" si="24"/>
        <v/>
      </c>
      <c r="L314" s="214" t="str">
        <f>IF(E314="","",IF(COUNTIFS(Table2[[#All],[De (Lote)]],Input_APM!F314)&gt;0,INDEX(Table2[[#All],[Para (Ticker Daniel)]],MATCH(Input_APM!F314,Table2[[#All],[De (Lote)]],0)),Input_APM!F314))</f>
        <v/>
      </c>
      <c r="M314" s="214" t="str">
        <f t="shared" si="25"/>
        <v/>
      </c>
      <c r="N314" s="215" t="str">
        <f t="shared" si="26"/>
        <v/>
      </c>
      <c r="O314" s="215" t="str">
        <f t="shared" si="27"/>
        <v/>
      </c>
    </row>
    <row r="315" spans="5:15">
      <c r="E315" s="370"/>
      <c r="K315" s="214" t="str">
        <f t="shared" si="24"/>
        <v/>
      </c>
      <c r="L315" s="214" t="str">
        <f>IF(E315="","",IF(COUNTIFS(Table2[[#All],[De (Lote)]],Input_APM!F315)&gt;0,INDEX(Table2[[#All],[Para (Ticker Daniel)]],MATCH(Input_APM!F315,Table2[[#All],[De (Lote)]],0)),Input_APM!F315))</f>
        <v/>
      </c>
      <c r="M315" s="214" t="str">
        <f t="shared" si="25"/>
        <v/>
      </c>
      <c r="N315" s="215" t="str">
        <f t="shared" si="26"/>
        <v/>
      </c>
      <c r="O315" s="215" t="str">
        <f t="shared" si="27"/>
        <v/>
      </c>
    </row>
    <row r="316" spans="5:15">
      <c r="E316" s="370"/>
      <c r="K316" s="214" t="str">
        <f t="shared" si="24"/>
        <v/>
      </c>
      <c r="L316" s="214" t="str">
        <f>IF(E316="","",IF(COUNTIFS(Table2[[#All],[De (Lote)]],Input_APM!F316)&gt;0,INDEX(Table2[[#All],[Para (Ticker Daniel)]],MATCH(Input_APM!F316,Table2[[#All],[De (Lote)]],0)),Input_APM!F316))</f>
        <v/>
      </c>
      <c r="M316" s="214" t="str">
        <f t="shared" si="25"/>
        <v/>
      </c>
      <c r="N316" s="215" t="str">
        <f t="shared" si="26"/>
        <v/>
      </c>
      <c r="O316" s="215" t="str">
        <f t="shared" si="27"/>
        <v/>
      </c>
    </row>
    <row r="317" spans="5:15">
      <c r="E317" s="370"/>
      <c r="K317" s="214" t="str">
        <f t="shared" si="24"/>
        <v/>
      </c>
      <c r="L317" s="214" t="str">
        <f>IF(E317="","",IF(COUNTIFS(Table2[[#All],[De (Lote)]],Input_APM!F317)&gt;0,INDEX(Table2[[#All],[Para (Ticker Daniel)]],MATCH(Input_APM!F317,Table2[[#All],[De (Lote)]],0)),Input_APM!F317))</f>
        <v/>
      </c>
      <c r="M317" s="214" t="str">
        <f t="shared" si="25"/>
        <v/>
      </c>
      <c r="N317" s="215" t="str">
        <f t="shared" si="26"/>
        <v/>
      </c>
      <c r="O317" s="215" t="str">
        <f t="shared" si="27"/>
        <v/>
      </c>
    </row>
    <row r="318" spans="5:15">
      <c r="E318" s="370"/>
      <c r="K318" s="214" t="str">
        <f t="shared" si="24"/>
        <v/>
      </c>
      <c r="L318" s="214" t="str">
        <f>IF(E318="","",IF(COUNTIFS(Table2[[#All],[De (Lote)]],Input_APM!F318)&gt;0,INDEX(Table2[[#All],[Para (Ticker Daniel)]],MATCH(Input_APM!F318,Table2[[#All],[De (Lote)]],0)),Input_APM!F318))</f>
        <v/>
      </c>
      <c r="M318" s="214" t="str">
        <f t="shared" si="25"/>
        <v/>
      </c>
      <c r="N318" s="215" t="str">
        <f t="shared" si="26"/>
        <v/>
      </c>
      <c r="O318" s="215" t="str">
        <f t="shared" si="27"/>
        <v/>
      </c>
    </row>
    <row r="319" spans="5:15">
      <c r="E319" s="370"/>
      <c r="K319" s="214" t="str">
        <f t="shared" si="24"/>
        <v/>
      </c>
      <c r="L319" s="214" t="str">
        <f>IF(E319="","",IF(COUNTIFS(Table2[[#All],[De (Lote)]],Input_APM!F319)&gt;0,INDEX(Table2[[#All],[Para (Ticker Daniel)]],MATCH(Input_APM!F319,Table2[[#All],[De (Lote)]],0)),Input_APM!F319))</f>
        <v/>
      </c>
      <c r="M319" s="214" t="str">
        <f t="shared" si="25"/>
        <v/>
      </c>
      <c r="N319" s="215" t="str">
        <f t="shared" si="26"/>
        <v/>
      </c>
      <c r="O319" s="215" t="str">
        <f t="shared" si="27"/>
        <v/>
      </c>
    </row>
    <row r="320" spans="5:15">
      <c r="E320" s="370"/>
      <c r="K320" s="214" t="str">
        <f t="shared" si="24"/>
        <v/>
      </c>
      <c r="L320" s="214" t="str">
        <f>IF(E320="","",IF(COUNTIFS(Table2[[#All],[De (Lote)]],Input_APM!F320)&gt;0,INDEX(Table2[[#All],[Para (Ticker Daniel)]],MATCH(Input_APM!F320,Table2[[#All],[De (Lote)]],0)),Input_APM!F320))</f>
        <v/>
      </c>
      <c r="M320" s="214" t="str">
        <f t="shared" si="25"/>
        <v/>
      </c>
      <c r="N320" s="215" t="str">
        <f t="shared" si="26"/>
        <v/>
      </c>
      <c r="O320" s="215" t="str">
        <f t="shared" si="27"/>
        <v/>
      </c>
    </row>
    <row r="321" spans="5:15">
      <c r="E321" s="370"/>
      <c r="K321" s="214" t="str">
        <f t="shared" si="24"/>
        <v/>
      </c>
      <c r="L321" s="214" t="str">
        <f>IF(E321="","",IF(COUNTIFS(Table2[[#All],[De (Lote)]],Input_APM!F321)&gt;0,INDEX(Table2[[#All],[Para (Ticker Daniel)]],MATCH(Input_APM!F321,Table2[[#All],[De (Lote)]],0)),Input_APM!F321))</f>
        <v/>
      </c>
      <c r="M321" s="214" t="str">
        <f t="shared" si="25"/>
        <v/>
      </c>
      <c r="N321" s="215" t="str">
        <f t="shared" si="26"/>
        <v/>
      </c>
      <c r="O321" s="215" t="str">
        <f t="shared" si="27"/>
        <v/>
      </c>
    </row>
    <row r="322" spans="5:15">
      <c r="E322" s="370"/>
      <c r="K322" s="214" t="str">
        <f t="shared" si="24"/>
        <v/>
      </c>
      <c r="L322" s="214" t="str">
        <f>IF(E322="","",IF(COUNTIFS(Table2[[#All],[De (Lote)]],Input_APM!F322)&gt;0,INDEX(Table2[[#All],[Para (Ticker Daniel)]],MATCH(Input_APM!F322,Table2[[#All],[De (Lote)]],0)),Input_APM!F322))</f>
        <v/>
      </c>
      <c r="M322" s="214" t="str">
        <f t="shared" si="25"/>
        <v/>
      </c>
      <c r="N322" s="215" t="str">
        <f t="shared" si="26"/>
        <v/>
      </c>
      <c r="O322" s="215" t="str">
        <f t="shared" si="27"/>
        <v/>
      </c>
    </row>
    <row r="323" spans="5:15">
      <c r="E323" s="370"/>
      <c r="K323" s="214" t="str">
        <f t="shared" si="24"/>
        <v/>
      </c>
      <c r="L323" s="214" t="str">
        <f>IF(E323="","",IF(COUNTIFS(Table2[[#All],[De (Lote)]],Input_APM!F323)&gt;0,INDEX(Table2[[#All],[Para (Ticker Daniel)]],MATCH(Input_APM!F323,Table2[[#All],[De (Lote)]],0)),Input_APM!F323))</f>
        <v/>
      </c>
      <c r="M323" s="214" t="str">
        <f t="shared" si="25"/>
        <v/>
      </c>
      <c r="N323" s="215" t="str">
        <f t="shared" si="26"/>
        <v/>
      </c>
      <c r="O323" s="215" t="str">
        <f t="shared" si="27"/>
        <v/>
      </c>
    </row>
    <row r="324" spans="5:15">
      <c r="E324" s="370"/>
      <c r="K324" s="214" t="str">
        <f t="shared" si="24"/>
        <v/>
      </c>
      <c r="L324" s="214" t="str">
        <f>IF(E324="","",IF(COUNTIFS(Table2[[#All],[De (Lote)]],Input_APM!F324)&gt;0,INDEX(Table2[[#All],[Para (Ticker Daniel)]],MATCH(Input_APM!F324,Table2[[#All],[De (Lote)]],0)),Input_APM!F324))</f>
        <v/>
      </c>
      <c r="M324" s="214" t="str">
        <f t="shared" si="25"/>
        <v/>
      </c>
      <c r="N324" s="215" t="str">
        <f t="shared" si="26"/>
        <v/>
      </c>
      <c r="O324" s="215" t="str">
        <f t="shared" si="27"/>
        <v/>
      </c>
    </row>
    <row r="325" spans="5:15">
      <c r="E325" s="370"/>
      <c r="K325" s="214" t="str">
        <f t="shared" si="24"/>
        <v/>
      </c>
      <c r="L325" s="214" t="str">
        <f>IF(E325="","",IF(COUNTIFS(Table2[[#All],[De (Lote)]],Input_APM!F325)&gt;0,INDEX(Table2[[#All],[Para (Ticker Daniel)]],MATCH(Input_APM!F325,Table2[[#All],[De (Lote)]],0)),Input_APM!F325))</f>
        <v/>
      </c>
      <c r="M325" s="214" t="str">
        <f t="shared" si="25"/>
        <v/>
      </c>
      <c r="N325" s="215" t="str">
        <f t="shared" si="26"/>
        <v/>
      </c>
      <c r="O325" s="215" t="str">
        <f t="shared" si="27"/>
        <v/>
      </c>
    </row>
    <row r="326" spans="5:15">
      <c r="E326" s="370"/>
      <c r="K326" s="214" t="str">
        <f t="shared" si="24"/>
        <v/>
      </c>
      <c r="L326" s="214" t="str">
        <f>IF(E326="","",IF(COUNTIFS(Table2[[#All],[De (Lote)]],Input_APM!F326)&gt;0,INDEX(Table2[[#All],[Para (Ticker Daniel)]],MATCH(Input_APM!F326,Table2[[#All],[De (Lote)]],0)),Input_APM!F326))</f>
        <v/>
      </c>
      <c r="M326" s="214" t="str">
        <f t="shared" si="25"/>
        <v/>
      </c>
      <c r="N326" s="215" t="str">
        <f t="shared" si="26"/>
        <v/>
      </c>
      <c r="O326" s="215" t="str">
        <f t="shared" si="27"/>
        <v/>
      </c>
    </row>
    <row r="327" spans="5:15">
      <c r="E327" s="370"/>
      <c r="K327" s="214" t="str">
        <f t="shared" si="24"/>
        <v/>
      </c>
      <c r="L327" s="214" t="str">
        <f>IF(E327="","",IF(COUNTIFS(Table2[[#All],[De (Lote)]],Input_APM!F327)&gt;0,INDEX(Table2[[#All],[Para (Ticker Daniel)]],MATCH(Input_APM!F327,Table2[[#All],[De (Lote)]],0)),Input_APM!F327))</f>
        <v/>
      </c>
      <c r="M327" s="214" t="str">
        <f t="shared" si="25"/>
        <v/>
      </c>
      <c r="N327" s="215" t="str">
        <f t="shared" si="26"/>
        <v/>
      </c>
      <c r="O327" s="215" t="str">
        <f t="shared" si="27"/>
        <v/>
      </c>
    </row>
    <row r="328" spans="5:15">
      <c r="E328" s="370"/>
      <c r="K328" s="214" t="str">
        <f t="shared" si="24"/>
        <v/>
      </c>
      <c r="L328" s="214" t="str">
        <f>IF(E328="","",IF(COUNTIFS(Table2[[#All],[De (Lote)]],Input_APM!F328)&gt;0,INDEX(Table2[[#All],[Para (Ticker Daniel)]],MATCH(Input_APM!F328,Table2[[#All],[De (Lote)]],0)),Input_APM!F328))</f>
        <v/>
      </c>
      <c r="M328" s="214" t="str">
        <f t="shared" si="25"/>
        <v/>
      </c>
      <c r="N328" s="215" t="str">
        <f t="shared" si="26"/>
        <v/>
      </c>
      <c r="O328" s="215" t="str">
        <f t="shared" si="27"/>
        <v/>
      </c>
    </row>
    <row r="329" spans="5:15">
      <c r="E329" s="370"/>
      <c r="K329" s="214" t="str">
        <f t="shared" si="24"/>
        <v/>
      </c>
      <c r="L329" s="214" t="str">
        <f>IF(E329="","",IF(COUNTIFS(Table2[[#All],[De (Lote)]],Input_APM!F329)&gt;0,INDEX(Table2[[#All],[Para (Ticker Daniel)]],MATCH(Input_APM!F329,Table2[[#All],[De (Lote)]],0)),Input_APM!F329))</f>
        <v/>
      </c>
      <c r="M329" s="214" t="str">
        <f t="shared" si="25"/>
        <v/>
      </c>
      <c r="N329" s="215" t="str">
        <f t="shared" si="26"/>
        <v/>
      </c>
      <c r="O329" s="215" t="str">
        <f t="shared" si="27"/>
        <v/>
      </c>
    </row>
    <row r="330" spans="5:15">
      <c r="E330" s="370"/>
      <c r="K330" s="214" t="str">
        <f t="shared" si="24"/>
        <v/>
      </c>
      <c r="L330" s="214" t="str">
        <f>IF(E330="","",IF(COUNTIFS(Table2[[#All],[De (Lote)]],Input_APM!F330)&gt;0,INDEX(Table2[[#All],[Para (Ticker Daniel)]],MATCH(Input_APM!F330,Table2[[#All],[De (Lote)]],0)),Input_APM!F330))</f>
        <v/>
      </c>
      <c r="M330" s="214" t="str">
        <f t="shared" si="25"/>
        <v/>
      </c>
      <c r="N330" s="215" t="str">
        <f t="shared" si="26"/>
        <v/>
      </c>
      <c r="O330" s="215" t="str">
        <f t="shared" si="27"/>
        <v/>
      </c>
    </row>
    <row r="331" spans="5:15">
      <c r="E331" s="370"/>
      <c r="K331" s="214" t="str">
        <f t="shared" si="24"/>
        <v/>
      </c>
      <c r="L331" s="214" t="str">
        <f>IF(E331="","",IF(COUNTIFS(Table2[[#All],[De (Lote)]],Input_APM!F331)&gt;0,INDEX(Table2[[#All],[Para (Ticker Daniel)]],MATCH(Input_APM!F331,Table2[[#All],[De (Lote)]],0)),Input_APM!F331))</f>
        <v/>
      </c>
      <c r="M331" s="214" t="str">
        <f t="shared" si="25"/>
        <v/>
      </c>
      <c r="N331" s="215" t="str">
        <f t="shared" si="26"/>
        <v/>
      </c>
      <c r="O331" s="215" t="str">
        <f t="shared" si="27"/>
        <v/>
      </c>
    </row>
    <row r="332" spans="5:15">
      <c r="E332" s="370"/>
      <c r="K332" s="214" t="str">
        <f t="shared" si="24"/>
        <v/>
      </c>
      <c r="L332" s="214" t="str">
        <f>IF(E332="","",IF(COUNTIFS(Table2[[#All],[De (Lote)]],Input_APM!F332)&gt;0,INDEX(Table2[[#All],[Para (Ticker Daniel)]],MATCH(Input_APM!F332,Table2[[#All],[De (Lote)]],0)),Input_APM!F332))</f>
        <v/>
      </c>
      <c r="M332" s="214" t="str">
        <f t="shared" si="25"/>
        <v/>
      </c>
      <c r="N332" s="215" t="str">
        <f t="shared" si="26"/>
        <v/>
      </c>
      <c r="O332" s="215" t="str">
        <f t="shared" si="27"/>
        <v/>
      </c>
    </row>
    <row r="333" spans="5:15">
      <c r="E333" s="370"/>
      <c r="K333" s="214" t="str">
        <f t="shared" si="24"/>
        <v/>
      </c>
      <c r="L333" s="214" t="str">
        <f>IF(E333="","",IF(COUNTIFS(Table2[[#All],[De (Lote)]],Input_APM!F333)&gt;0,INDEX(Table2[[#All],[Para (Ticker Daniel)]],MATCH(Input_APM!F333,Table2[[#All],[De (Lote)]],0)),Input_APM!F333))</f>
        <v/>
      </c>
      <c r="M333" s="214" t="str">
        <f t="shared" si="25"/>
        <v/>
      </c>
      <c r="N333" s="215" t="str">
        <f t="shared" si="26"/>
        <v/>
      </c>
      <c r="O333" s="215" t="str">
        <f t="shared" si="27"/>
        <v/>
      </c>
    </row>
    <row r="334" spans="5:15">
      <c r="E334" s="370"/>
      <c r="K334" s="214" t="str">
        <f t="shared" si="24"/>
        <v/>
      </c>
      <c r="L334" s="214" t="str">
        <f>IF(E334="","",IF(COUNTIFS(Table2[[#All],[De (Lote)]],Input_APM!F334)&gt;0,INDEX(Table2[[#All],[Para (Ticker Daniel)]],MATCH(Input_APM!F334,Table2[[#All],[De (Lote)]],0)),Input_APM!F334))</f>
        <v/>
      </c>
      <c r="M334" s="214" t="str">
        <f t="shared" si="25"/>
        <v/>
      </c>
      <c r="N334" s="215" t="str">
        <f t="shared" si="26"/>
        <v/>
      </c>
      <c r="O334" s="215" t="str">
        <f t="shared" si="27"/>
        <v/>
      </c>
    </row>
    <row r="335" spans="5:15">
      <c r="E335" s="370"/>
      <c r="K335" s="214" t="str">
        <f t="shared" si="24"/>
        <v/>
      </c>
      <c r="L335" s="214" t="str">
        <f>IF(E335="","",IF(COUNTIFS(Table2[[#All],[De (Lote)]],Input_APM!F335)&gt;0,INDEX(Table2[[#All],[Para (Ticker Daniel)]],MATCH(Input_APM!F335,Table2[[#All],[De (Lote)]],0)),Input_APM!F335))</f>
        <v/>
      </c>
      <c r="M335" s="214" t="str">
        <f t="shared" si="25"/>
        <v/>
      </c>
      <c r="N335" s="215" t="str">
        <f t="shared" si="26"/>
        <v/>
      </c>
      <c r="O335" s="215" t="str">
        <f t="shared" si="27"/>
        <v/>
      </c>
    </row>
    <row r="336" spans="5:15">
      <c r="E336" s="370"/>
      <c r="K336" s="214" t="str">
        <f t="shared" si="24"/>
        <v/>
      </c>
      <c r="L336" s="214" t="str">
        <f>IF(E336="","",IF(COUNTIFS(Table2[[#All],[De (Lote)]],Input_APM!F336)&gt;0,INDEX(Table2[[#All],[Para (Ticker Daniel)]],MATCH(Input_APM!F336,Table2[[#All],[De (Lote)]],0)),Input_APM!F336))</f>
        <v/>
      </c>
      <c r="M336" s="214" t="str">
        <f t="shared" si="25"/>
        <v/>
      </c>
      <c r="N336" s="215" t="str">
        <f t="shared" si="26"/>
        <v/>
      </c>
      <c r="O336" s="215" t="str">
        <f t="shared" si="27"/>
        <v/>
      </c>
    </row>
    <row r="337" spans="5:15">
      <c r="E337" s="370"/>
      <c r="K337" s="214" t="str">
        <f t="shared" si="24"/>
        <v/>
      </c>
      <c r="L337" s="214" t="str">
        <f>IF(E337="","",IF(COUNTIFS(Table2[[#All],[De (Lote)]],Input_APM!F337)&gt;0,INDEX(Table2[[#All],[Para (Ticker Daniel)]],MATCH(Input_APM!F337,Table2[[#All],[De (Lote)]],0)),Input_APM!F337))</f>
        <v/>
      </c>
      <c r="M337" s="214" t="str">
        <f t="shared" si="25"/>
        <v/>
      </c>
      <c r="N337" s="215" t="str">
        <f t="shared" si="26"/>
        <v/>
      </c>
      <c r="O337" s="215" t="str">
        <f t="shared" si="27"/>
        <v/>
      </c>
    </row>
    <row r="338" spans="5:15">
      <c r="E338" s="370"/>
      <c r="K338" s="214" t="str">
        <f t="shared" si="24"/>
        <v/>
      </c>
      <c r="L338" s="214" t="str">
        <f>IF(E338="","",IF(COUNTIFS(Table2[[#All],[De (Lote)]],Input_APM!F338)&gt;0,INDEX(Table2[[#All],[Para (Ticker Daniel)]],MATCH(Input_APM!F338,Table2[[#All],[De (Lote)]],0)),Input_APM!F338))</f>
        <v/>
      </c>
      <c r="M338" s="214" t="str">
        <f t="shared" si="25"/>
        <v/>
      </c>
      <c r="N338" s="215" t="str">
        <f t="shared" si="26"/>
        <v/>
      </c>
      <c r="O338" s="215" t="str">
        <f t="shared" si="27"/>
        <v/>
      </c>
    </row>
    <row r="339" spans="5:15">
      <c r="E339" s="370"/>
      <c r="K339" s="214" t="str">
        <f t="shared" si="24"/>
        <v/>
      </c>
      <c r="L339" s="214" t="str">
        <f>IF(E339="","",IF(COUNTIFS(Table2[[#All],[De (Lote)]],Input_APM!F339)&gt;0,INDEX(Table2[[#All],[Para (Ticker Daniel)]],MATCH(Input_APM!F339,Table2[[#All],[De (Lote)]],0)),Input_APM!F339))</f>
        <v/>
      </c>
      <c r="M339" s="214" t="str">
        <f t="shared" si="25"/>
        <v/>
      </c>
      <c r="N339" s="215" t="str">
        <f t="shared" si="26"/>
        <v/>
      </c>
      <c r="O339" s="215" t="str">
        <f t="shared" si="27"/>
        <v/>
      </c>
    </row>
    <row r="340" spans="5:15">
      <c r="E340" s="370"/>
      <c r="K340" s="214" t="str">
        <f t="shared" si="24"/>
        <v/>
      </c>
      <c r="L340" s="214" t="str">
        <f>IF(E340="","",IF(COUNTIFS(Table2[[#All],[De (Lote)]],Input_APM!F340)&gt;0,INDEX(Table2[[#All],[Para (Ticker Daniel)]],MATCH(Input_APM!F340,Table2[[#All],[De (Lote)]],0)),Input_APM!F340))</f>
        <v/>
      </c>
      <c r="M340" s="214" t="str">
        <f t="shared" si="25"/>
        <v/>
      </c>
      <c r="N340" s="215" t="str">
        <f t="shared" si="26"/>
        <v/>
      </c>
      <c r="O340" s="215" t="str">
        <f t="shared" si="27"/>
        <v/>
      </c>
    </row>
    <row r="341" spans="5:15">
      <c r="E341" s="370"/>
      <c r="K341" s="214" t="str">
        <f t="shared" si="24"/>
        <v/>
      </c>
      <c r="L341" s="214" t="str">
        <f>IF(E341="","",IF(COUNTIFS(Table2[[#All],[De (Lote)]],Input_APM!F341)&gt;0,INDEX(Table2[[#All],[Para (Ticker Daniel)]],MATCH(Input_APM!F341,Table2[[#All],[De (Lote)]],0)),Input_APM!F341))</f>
        <v/>
      </c>
      <c r="M341" s="214" t="str">
        <f t="shared" si="25"/>
        <v/>
      </c>
      <c r="N341" s="215" t="str">
        <f t="shared" si="26"/>
        <v/>
      </c>
      <c r="O341" s="215" t="str">
        <f t="shared" si="27"/>
        <v/>
      </c>
    </row>
    <row r="342" spans="5:15">
      <c r="E342" s="370"/>
      <c r="K342" s="214" t="str">
        <f t="shared" si="24"/>
        <v/>
      </c>
      <c r="L342" s="214" t="str">
        <f>IF(E342="","",IF(COUNTIFS(Table2[[#All],[De (Lote)]],Input_APM!F342)&gt;0,INDEX(Table2[[#All],[Para (Ticker Daniel)]],MATCH(Input_APM!F342,Table2[[#All],[De (Lote)]],0)),Input_APM!F342))</f>
        <v/>
      </c>
      <c r="M342" s="214" t="str">
        <f t="shared" si="25"/>
        <v/>
      </c>
      <c r="N342" s="215" t="str">
        <f t="shared" si="26"/>
        <v/>
      </c>
      <c r="O342" s="215" t="str">
        <f t="shared" si="27"/>
        <v/>
      </c>
    </row>
    <row r="343" spans="5:15">
      <c r="E343" s="370"/>
      <c r="K343" s="214" t="str">
        <f t="shared" si="24"/>
        <v/>
      </c>
      <c r="L343" s="214" t="str">
        <f>IF(E343="","",IF(COUNTIFS(Table2[[#All],[De (Lote)]],Input_APM!F343)&gt;0,INDEX(Table2[[#All],[Para (Ticker Daniel)]],MATCH(Input_APM!F343,Table2[[#All],[De (Lote)]],0)),Input_APM!F343))</f>
        <v/>
      </c>
      <c r="M343" s="214" t="str">
        <f t="shared" si="25"/>
        <v/>
      </c>
      <c r="N343" s="215" t="str">
        <f t="shared" si="26"/>
        <v/>
      </c>
      <c r="O343" s="215" t="str">
        <f t="shared" si="27"/>
        <v/>
      </c>
    </row>
    <row r="344" spans="5:15">
      <c r="E344" s="370"/>
      <c r="K344" s="214" t="str">
        <f t="shared" si="24"/>
        <v/>
      </c>
      <c r="L344" s="214" t="str">
        <f>IF(E344="","",IF(COUNTIFS(Table2[[#All],[De (Lote)]],Input_APM!F344)&gt;0,INDEX(Table2[[#All],[Para (Ticker Daniel)]],MATCH(Input_APM!F344,Table2[[#All],[De (Lote)]],0)),Input_APM!F344))</f>
        <v/>
      </c>
      <c r="M344" s="214" t="str">
        <f t="shared" si="25"/>
        <v/>
      </c>
      <c r="N344" s="215" t="str">
        <f t="shared" si="26"/>
        <v/>
      </c>
      <c r="O344" s="215" t="str">
        <f t="shared" si="27"/>
        <v/>
      </c>
    </row>
    <row r="345" spans="5:15">
      <c r="E345" s="370"/>
      <c r="K345" s="214" t="str">
        <f t="shared" si="24"/>
        <v/>
      </c>
      <c r="L345" s="214" t="str">
        <f>IF(E345="","",IF(COUNTIFS(Table2[[#All],[De (Lote)]],Input_APM!F345)&gt;0,INDEX(Table2[[#All],[Para (Ticker Daniel)]],MATCH(Input_APM!F345,Table2[[#All],[De (Lote)]],0)),Input_APM!F345))</f>
        <v/>
      </c>
      <c r="M345" s="214" t="str">
        <f t="shared" si="25"/>
        <v/>
      </c>
      <c r="N345" s="215" t="str">
        <f t="shared" si="26"/>
        <v/>
      </c>
      <c r="O345" s="215" t="str">
        <f t="shared" si="27"/>
        <v/>
      </c>
    </row>
    <row r="346" spans="5:15">
      <c r="E346" s="370"/>
      <c r="K346" s="214" t="str">
        <f t="shared" si="24"/>
        <v/>
      </c>
      <c r="L346" s="214" t="str">
        <f>IF(E346="","",IF(COUNTIFS(Table2[[#All],[De (Lote)]],Input_APM!F346)&gt;0,INDEX(Table2[[#All],[Para (Ticker Daniel)]],MATCH(Input_APM!F346,Table2[[#All],[De (Lote)]],0)),Input_APM!F346))</f>
        <v/>
      </c>
      <c r="M346" s="214" t="str">
        <f t="shared" si="25"/>
        <v/>
      </c>
      <c r="N346" s="215" t="str">
        <f t="shared" si="26"/>
        <v/>
      </c>
      <c r="O346" s="215" t="str">
        <f t="shared" si="27"/>
        <v/>
      </c>
    </row>
    <row r="347" spans="5:15">
      <c r="E347" s="370"/>
      <c r="K347" s="214" t="str">
        <f t="shared" si="24"/>
        <v/>
      </c>
      <c r="L347" s="214" t="str">
        <f>IF(E347="","",IF(COUNTIFS(Table2[[#All],[De (Lote)]],Input_APM!F347)&gt;0,INDEX(Table2[[#All],[Para (Ticker Daniel)]],MATCH(Input_APM!F347,Table2[[#All],[De (Lote)]],0)),Input_APM!F347))</f>
        <v/>
      </c>
      <c r="M347" s="214" t="str">
        <f t="shared" si="25"/>
        <v/>
      </c>
      <c r="N347" s="215" t="str">
        <f t="shared" si="26"/>
        <v/>
      </c>
      <c r="O347" s="215" t="str">
        <f t="shared" si="27"/>
        <v/>
      </c>
    </row>
    <row r="348" spans="5:15">
      <c r="E348" s="370"/>
      <c r="K348" s="214" t="str">
        <f t="shared" si="24"/>
        <v/>
      </c>
      <c r="L348" s="214" t="str">
        <f>IF(E348="","",IF(COUNTIFS(Table2[[#All],[De (Lote)]],Input_APM!F348)&gt;0,INDEX(Table2[[#All],[Para (Ticker Daniel)]],MATCH(Input_APM!F348,Table2[[#All],[De (Lote)]],0)),Input_APM!F348))</f>
        <v/>
      </c>
      <c r="M348" s="214" t="str">
        <f t="shared" si="25"/>
        <v/>
      </c>
      <c r="N348" s="215" t="str">
        <f t="shared" si="26"/>
        <v/>
      </c>
      <c r="O348" s="215" t="str">
        <f t="shared" si="27"/>
        <v/>
      </c>
    </row>
    <row r="349" spans="5:15">
      <c r="E349" s="370"/>
      <c r="K349" s="214" t="str">
        <f t="shared" si="24"/>
        <v/>
      </c>
      <c r="L349" s="214" t="str">
        <f>IF(E349="","",IF(COUNTIFS(Table2[[#All],[De (Lote)]],Input_APM!F349)&gt;0,INDEX(Table2[[#All],[Para (Ticker Daniel)]],MATCH(Input_APM!F349,Table2[[#All],[De (Lote)]],0)),Input_APM!F349))</f>
        <v/>
      </c>
      <c r="M349" s="214" t="str">
        <f t="shared" si="25"/>
        <v/>
      </c>
      <c r="N349" s="215" t="str">
        <f t="shared" si="26"/>
        <v/>
      </c>
      <c r="O349" s="215" t="str">
        <f t="shared" si="27"/>
        <v/>
      </c>
    </row>
    <row r="350" spans="5:15">
      <c r="E350" s="370"/>
      <c r="K350" s="214" t="str">
        <f t="shared" si="24"/>
        <v/>
      </c>
      <c r="L350" s="214" t="str">
        <f>IF(E350="","",IF(COUNTIFS(Table2[[#All],[De (Lote)]],Input_APM!F350)&gt;0,INDEX(Table2[[#All],[Para (Ticker Daniel)]],MATCH(Input_APM!F350,Table2[[#All],[De (Lote)]],0)),Input_APM!F350))</f>
        <v/>
      </c>
      <c r="M350" s="214" t="str">
        <f t="shared" si="25"/>
        <v/>
      </c>
      <c r="N350" s="215" t="str">
        <f t="shared" si="26"/>
        <v/>
      </c>
      <c r="O350" s="215" t="str">
        <f t="shared" si="27"/>
        <v/>
      </c>
    </row>
    <row r="351" spans="5:15">
      <c r="E351" s="370"/>
      <c r="K351" s="214" t="str">
        <f t="shared" si="24"/>
        <v/>
      </c>
      <c r="L351" s="214" t="str">
        <f>IF(E351="","",IF(COUNTIFS(Table2[[#All],[De (Lote)]],Input_APM!F351)&gt;0,INDEX(Table2[[#All],[Para (Ticker Daniel)]],MATCH(Input_APM!F351,Table2[[#All],[De (Lote)]],0)),Input_APM!F351))</f>
        <v/>
      </c>
      <c r="M351" s="214" t="str">
        <f t="shared" si="25"/>
        <v/>
      </c>
      <c r="N351" s="215" t="str">
        <f t="shared" si="26"/>
        <v/>
      </c>
      <c r="O351" s="215" t="str">
        <f t="shared" si="27"/>
        <v/>
      </c>
    </row>
    <row r="352" spans="5:15">
      <c r="E352" s="370"/>
      <c r="K352" s="214" t="str">
        <f t="shared" si="24"/>
        <v/>
      </c>
      <c r="L352" s="214" t="str">
        <f>IF(E352="","",IF(COUNTIFS(Table2[[#All],[De (Lote)]],Input_APM!F352)&gt;0,INDEX(Table2[[#All],[Para (Ticker Daniel)]],MATCH(Input_APM!F352,Table2[[#All],[De (Lote)]],0)),Input_APM!F352))</f>
        <v/>
      </c>
      <c r="M352" s="214" t="str">
        <f t="shared" si="25"/>
        <v/>
      </c>
      <c r="N352" s="215" t="str">
        <f t="shared" si="26"/>
        <v/>
      </c>
      <c r="O352" s="215" t="str">
        <f t="shared" si="27"/>
        <v/>
      </c>
    </row>
    <row r="353" spans="5:15">
      <c r="E353" s="370"/>
      <c r="K353" s="214" t="str">
        <f t="shared" si="24"/>
        <v/>
      </c>
      <c r="L353" s="214" t="str">
        <f>IF(E353="","",IF(COUNTIFS(Table2[[#All],[De (Lote)]],Input_APM!F353)&gt;0,INDEX(Table2[[#All],[Para (Ticker Daniel)]],MATCH(Input_APM!F353,Table2[[#All],[De (Lote)]],0)),Input_APM!F353))</f>
        <v/>
      </c>
      <c r="M353" s="214" t="str">
        <f t="shared" si="25"/>
        <v/>
      </c>
      <c r="N353" s="215" t="str">
        <f t="shared" si="26"/>
        <v/>
      </c>
      <c r="O353" s="215" t="str">
        <f t="shared" si="27"/>
        <v/>
      </c>
    </row>
    <row r="354" spans="5:15">
      <c r="E354" s="370"/>
      <c r="K354" s="214" t="str">
        <f t="shared" si="24"/>
        <v/>
      </c>
      <c r="L354" s="214" t="str">
        <f>IF(E354="","",IF(COUNTIFS(Table2[[#All],[De (Lote)]],Input_APM!F354)&gt;0,INDEX(Table2[[#All],[Para (Ticker Daniel)]],MATCH(Input_APM!F354,Table2[[#All],[De (Lote)]],0)),Input_APM!F354))</f>
        <v/>
      </c>
      <c r="M354" s="214" t="str">
        <f t="shared" si="25"/>
        <v/>
      </c>
      <c r="N354" s="215" t="str">
        <f t="shared" si="26"/>
        <v/>
      </c>
      <c r="O354" s="215" t="str">
        <f t="shared" si="27"/>
        <v/>
      </c>
    </row>
    <row r="355" spans="5:15">
      <c r="E355" s="370"/>
      <c r="K355" s="214" t="str">
        <f t="shared" si="24"/>
        <v/>
      </c>
      <c r="L355" s="214" t="str">
        <f>IF(E355="","",IF(COUNTIFS(Table2[[#All],[De (Lote)]],Input_APM!F355)&gt;0,INDEX(Table2[[#All],[Para (Ticker Daniel)]],MATCH(Input_APM!F355,Table2[[#All],[De (Lote)]],0)),Input_APM!F355))</f>
        <v/>
      </c>
      <c r="M355" s="214" t="str">
        <f t="shared" si="25"/>
        <v/>
      </c>
      <c r="N355" s="215" t="str">
        <f t="shared" si="26"/>
        <v/>
      </c>
      <c r="O355" s="215" t="str">
        <f t="shared" si="27"/>
        <v/>
      </c>
    </row>
    <row r="356" spans="5:15">
      <c r="E356" s="370"/>
      <c r="K356" s="214" t="str">
        <f t="shared" ref="K356:K396" si="28">IF(E356="","",E356)</f>
        <v/>
      </c>
      <c r="L356" s="214" t="str">
        <f>IF(E356="","",IF(COUNTIFS(Table2[[#All],[De (Lote)]],Input_APM!F356)&gt;0,INDEX(Table2[[#All],[Para (Ticker Daniel)]],MATCH(Input_APM!F356,Table2[[#All],[De (Lote)]],0)),Input_APM!F356))</f>
        <v/>
      </c>
      <c r="M356" s="214" t="str">
        <f t="shared" ref="M356:M396" si="29">IF(E356="","",G356)</f>
        <v/>
      </c>
      <c r="N356" s="215" t="str">
        <f t="shared" ref="N356:N396" si="30">IF(E356="","",H356)</f>
        <v/>
      </c>
      <c r="O356" s="215" t="str">
        <f t="shared" ref="O356:O396" si="31">IF(E356="","",I356)</f>
        <v/>
      </c>
    </row>
    <row r="357" spans="5:15">
      <c r="E357" s="370"/>
      <c r="K357" s="214" t="str">
        <f t="shared" si="28"/>
        <v/>
      </c>
      <c r="L357" s="214" t="str">
        <f>IF(E357="","",IF(COUNTIFS(Table2[[#All],[De (Lote)]],Input_APM!F357)&gt;0,INDEX(Table2[[#All],[Para (Ticker Daniel)]],MATCH(Input_APM!F357,Table2[[#All],[De (Lote)]],0)),Input_APM!F357))</f>
        <v/>
      </c>
      <c r="M357" s="214" t="str">
        <f t="shared" si="29"/>
        <v/>
      </c>
      <c r="N357" s="215" t="str">
        <f t="shared" si="30"/>
        <v/>
      </c>
      <c r="O357" s="215" t="str">
        <f t="shared" si="31"/>
        <v/>
      </c>
    </row>
    <row r="358" spans="5:15">
      <c r="E358" s="370"/>
      <c r="K358" s="214" t="str">
        <f t="shared" si="28"/>
        <v/>
      </c>
      <c r="L358" s="214" t="str">
        <f>IF(E358="","",IF(COUNTIFS(Table2[[#All],[De (Lote)]],Input_APM!F358)&gt;0,INDEX(Table2[[#All],[Para (Ticker Daniel)]],MATCH(Input_APM!F358,Table2[[#All],[De (Lote)]],0)),Input_APM!F358))</f>
        <v/>
      </c>
      <c r="M358" s="214" t="str">
        <f t="shared" si="29"/>
        <v/>
      </c>
      <c r="N358" s="215" t="str">
        <f t="shared" si="30"/>
        <v/>
      </c>
      <c r="O358" s="215" t="str">
        <f t="shared" si="31"/>
        <v/>
      </c>
    </row>
    <row r="359" spans="5:15">
      <c r="E359" s="370"/>
      <c r="K359" s="214" t="str">
        <f t="shared" si="28"/>
        <v/>
      </c>
      <c r="L359" s="214" t="str">
        <f>IF(E359="","",IF(COUNTIFS(Table2[[#All],[De (Lote)]],Input_APM!F359)&gt;0,INDEX(Table2[[#All],[Para (Ticker Daniel)]],MATCH(Input_APM!F359,Table2[[#All],[De (Lote)]],0)),Input_APM!F359))</f>
        <v/>
      </c>
      <c r="M359" s="214" t="str">
        <f t="shared" si="29"/>
        <v/>
      </c>
      <c r="N359" s="215" t="str">
        <f t="shared" si="30"/>
        <v/>
      </c>
      <c r="O359" s="215" t="str">
        <f t="shared" si="31"/>
        <v/>
      </c>
    </row>
    <row r="360" spans="5:15">
      <c r="E360" s="370"/>
      <c r="K360" s="214" t="str">
        <f t="shared" si="28"/>
        <v/>
      </c>
      <c r="L360" s="214" t="str">
        <f>IF(E360="","",IF(COUNTIFS(Table2[[#All],[De (Lote)]],Input_APM!F360)&gt;0,INDEX(Table2[[#All],[Para (Ticker Daniel)]],MATCH(Input_APM!F360,Table2[[#All],[De (Lote)]],0)),Input_APM!F360))</f>
        <v/>
      </c>
      <c r="M360" s="214" t="str">
        <f t="shared" si="29"/>
        <v/>
      </c>
      <c r="N360" s="215" t="str">
        <f t="shared" si="30"/>
        <v/>
      </c>
      <c r="O360" s="215" t="str">
        <f t="shared" si="31"/>
        <v/>
      </c>
    </row>
    <row r="361" spans="5:15">
      <c r="E361" s="370"/>
      <c r="K361" s="214" t="str">
        <f t="shared" si="28"/>
        <v/>
      </c>
      <c r="L361" s="214" t="str">
        <f>IF(E361="","",IF(COUNTIFS(Table2[[#All],[De (Lote)]],Input_APM!F361)&gt;0,INDEX(Table2[[#All],[Para (Ticker Daniel)]],MATCH(Input_APM!F361,Table2[[#All],[De (Lote)]],0)),Input_APM!F361))</f>
        <v/>
      </c>
      <c r="M361" s="214" t="str">
        <f t="shared" si="29"/>
        <v/>
      </c>
      <c r="N361" s="215" t="str">
        <f t="shared" si="30"/>
        <v/>
      </c>
      <c r="O361" s="215" t="str">
        <f t="shared" si="31"/>
        <v/>
      </c>
    </row>
    <row r="362" spans="5:15">
      <c r="E362" s="370"/>
      <c r="K362" s="214" t="str">
        <f t="shared" si="28"/>
        <v/>
      </c>
      <c r="L362" s="214" t="str">
        <f>IF(E362="","",IF(COUNTIFS(Table2[[#All],[De (Lote)]],Input_APM!F362)&gt;0,INDEX(Table2[[#All],[Para (Ticker Daniel)]],MATCH(Input_APM!F362,Table2[[#All],[De (Lote)]],0)),Input_APM!F362))</f>
        <v/>
      </c>
      <c r="M362" s="214" t="str">
        <f t="shared" si="29"/>
        <v/>
      </c>
      <c r="N362" s="215" t="str">
        <f t="shared" si="30"/>
        <v/>
      </c>
      <c r="O362" s="215" t="str">
        <f t="shared" si="31"/>
        <v/>
      </c>
    </row>
    <row r="363" spans="5:15">
      <c r="E363" s="370"/>
      <c r="K363" s="214" t="str">
        <f t="shared" si="28"/>
        <v/>
      </c>
      <c r="L363" s="214" t="str">
        <f>IF(E363="","",IF(COUNTIFS(Table2[[#All],[De (Lote)]],Input_APM!F363)&gt;0,INDEX(Table2[[#All],[Para (Ticker Daniel)]],MATCH(Input_APM!F363,Table2[[#All],[De (Lote)]],0)),Input_APM!F363))</f>
        <v/>
      </c>
      <c r="M363" s="214" t="str">
        <f t="shared" si="29"/>
        <v/>
      </c>
      <c r="N363" s="215" t="str">
        <f t="shared" si="30"/>
        <v/>
      </c>
      <c r="O363" s="215" t="str">
        <f t="shared" si="31"/>
        <v/>
      </c>
    </row>
    <row r="364" spans="5:15">
      <c r="E364" s="370"/>
      <c r="K364" s="214" t="str">
        <f t="shared" si="28"/>
        <v/>
      </c>
      <c r="L364" s="214" t="str">
        <f>IF(E364="","",IF(COUNTIFS(Table2[[#All],[De (Lote)]],Input_APM!F364)&gt;0,INDEX(Table2[[#All],[Para (Ticker Daniel)]],MATCH(Input_APM!F364,Table2[[#All],[De (Lote)]],0)),Input_APM!F364))</f>
        <v/>
      </c>
      <c r="M364" s="214" t="str">
        <f t="shared" si="29"/>
        <v/>
      </c>
      <c r="N364" s="215" t="str">
        <f t="shared" si="30"/>
        <v/>
      </c>
      <c r="O364" s="215" t="str">
        <f t="shared" si="31"/>
        <v/>
      </c>
    </row>
    <row r="365" spans="5:15">
      <c r="E365" s="370"/>
      <c r="K365" s="214" t="str">
        <f t="shared" si="28"/>
        <v/>
      </c>
      <c r="L365" s="214" t="str">
        <f>IF(E365="","",IF(COUNTIFS(Table2[[#All],[De (Lote)]],Input_APM!F365)&gt;0,INDEX(Table2[[#All],[Para (Ticker Daniel)]],MATCH(Input_APM!F365,Table2[[#All],[De (Lote)]],0)),Input_APM!F365))</f>
        <v/>
      </c>
      <c r="M365" s="214" t="str">
        <f t="shared" si="29"/>
        <v/>
      </c>
      <c r="N365" s="215" t="str">
        <f t="shared" si="30"/>
        <v/>
      </c>
      <c r="O365" s="215" t="str">
        <f t="shared" si="31"/>
        <v/>
      </c>
    </row>
    <row r="366" spans="5:15">
      <c r="E366" s="370"/>
      <c r="K366" s="214" t="str">
        <f t="shared" si="28"/>
        <v/>
      </c>
      <c r="L366" s="214" t="str">
        <f>IF(E366="","",IF(COUNTIFS(Table2[[#All],[De (Lote)]],Input_APM!F366)&gt;0,INDEX(Table2[[#All],[Para (Ticker Daniel)]],MATCH(Input_APM!F366,Table2[[#All],[De (Lote)]],0)),Input_APM!F366))</f>
        <v/>
      </c>
      <c r="M366" s="214" t="str">
        <f t="shared" si="29"/>
        <v/>
      </c>
      <c r="N366" s="215" t="str">
        <f t="shared" si="30"/>
        <v/>
      </c>
      <c r="O366" s="215" t="str">
        <f t="shared" si="31"/>
        <v/>
      </c>
    </row>
    <row r="367" spans="5:15">
      <c r="E367" s="370"/>
      <c r="K367" s="214" t="str">
        <f t="shared" si="28"/>
        <v/>
      </c>
      <c r="L367" s="214" t="str">
        <f>IF(E367="","",IF(COUNTIFS(Table2[[#All],[De (Lote)]],Input_APM!F367)&gt;0,INDEX(Table2[[#All],[Para (Ticker Daniel)]],MATCH(Input_APM!F367,Table2[[#All],[De (Lote)]],0)),Input_APM!F367))</f>
        <v/>
      </c>
      <c r="M367" s="214" t="str">
        <f t="shared" si="29"/>
        <v/>
      </c>
      <c r="N367" s="215" t="str">
        <f t="shared" si="30"/>
        <v/>
      </c>
      <c r="O367" s="215" t="str">
        <f t="shared" si="31"/>
        <v/>
      </c>
    </row>
    <row r="368" spans="5:15">
      <c r="E368" s="370"/>
      <c r="K368" s="214" t="str">
        <f t="shared" si="28"/>
        <v/>
      </c>
      <c r="L368" s="214" t="str">
        <f>IF(E368="","",IF(COUNTIFS(Table2[[#All],[De (Lote)]],Input_APM!F368)&gt;0,INDEX(Table2[[#All],[Para (Ticker Daniel)]],MATCH(Input_APM!F368,Table2[[#All],[De (Lote)]],0)),Input_APM!F368))</f>
        <v/>
      </c>
      <c r="M368" s="214" t="str">
        <f t="shared" si="29"/>
        <v/>
      </c>
      <c r="N368" s="215" t="str">
        <f t="shared" si="30"/>
        <v/>
      </c>
      <c r="O368" s="215" t="str">
        <f t="shared" si="31"/>
        <v/>
      </c>
    </row>
    <row r="369" spans="5:15">
      <c r="E369" s="370"/>
      <c r="K369" s="214" t="str">
        <f t="shared" si="28"/>
        <v/>
      </c>
      <c r="L369" s="214" t="str">
        <f>IF(E369="","",IF(COUNTIFS(Table2[[#All],[De (Lote)]],Input_APM!F369)&gt;0,INDEX(Table2[[#All],[Para (Ticker Daniel)]],MATCH(Input_APM!F369,Table2[[#All],[De (Lote)]],0)),Input_APM!F369))</f>
        <v/>
      </c>
      <c r="M369" s="214" t="str">
        <f t="shared" si="29"/>
        <v/>
      </c>
      <c r="N369" s="215" t="str">
        <f t="shared" si="30"/>
        <v/>
      </c>
      <c r="O369" s="215" t="str">
        <f t="shared" si="31"/>
        <v/>
      </c>
    </row>
    <row r="370" spans="5:15">
      <c r="E370" s="370"/>
      <c r="K370" s="214" t="str">
        <f t="shared" si="28"/>
        <v/>
      </c>
      <c r="L370" s="214" t="str">
        <f>IF(E370="","",IF(COUNTIFS(Table2[[#All],[De (Lote)]],Input_APM!F370)&gt;0,INDEX(Table2[[#All],[Para (Ticker Daniel)]],MATCH(Input_APM!F370,Table2[[#All],[De (Lote)]],0)),Input_APM!F370))</f>
        <v/>
      </c>
      <c r="M370" s="214" t="str">
        <f t="shared" si="29"/>
        <v/>
      </c>
      <c r="N370" s="215" t="str">
        <f t="shared" si="30"/>
        <v/>
      </c>
      <c r="O370" s="215" t="str">
        <f t="shared" si="31"/>
        <v/>
      </c>
    </row>
    <row r="371" spans="5:15">
      <c r="E371" s="370"/>
      <c r="K371" s="214" t="str">
        <f t="shared" si="28"/>
        <v/>
      </c>
      <c r="L371" s="214" t="str">
        <f>IF(E371="","",IF(COUNTIFS(Table2[[#All],[De (Lote)]],Input_APM!F371)&gt;0,INDEX(Table2[[#All],[Para (Ticker Daniel)]],MATCH(Input_APM!F371,Table2[[#All],[De (Lote)]],0)),Input_APM!F371))</f>
        <v/>
      </c>
      <c r="M371" s="214" t="str">
        <f t="shared" si="29"/>
        <v/>
      </c>
      <c r="N371" s="215" t="str">
        <f t="shared" si="30"/>
        <v/>
      </c>
      <c r="O371" s="215" t="str">
        <f t="shared" si="31"/>
        <v/>
      </c>
    </row>
    <row r="372" spans="5:15">
      <c r="E372" s="370"/>
      <c r="K372" s="214" t="str">
        <f t="shared" si="28"/>
        <v/>
      </c>
      <c r="L372" s="214" t="str">
        <f>IF(E372="","",IF(COUNTIFS(Table2[[#All],[De (Lote)]],Input_APM!F372)&gt;0,INDEX(Table2[[#All],[Para (Ticker Daniel)]],MATCH(Input_APM!F372,Table2[[#All],[De (Lote)]],0)),Input_APM!F372))</f>
        <v/>
      </c>
      <c r="M372" s="214" t="str">
        <f t="shared" si="29"/>
        <v/>
      </c>
      <c r="N372" s="215" t="str">
        <f t="shared" si="30"/>
        <v/>
      </c>
      <c r="O372" s="215" t="str">
        <f t="shared" si="31"/>
        <v/>
      </c>
    </row>
    <row r="373" spans="5:15">
      <c r="E373" s="370"/>
      <c r="K373" s="214" t="str">
        <f t="shared" si="28"/>
        <v/>
      </c>
      <c r="L373" s="214" t="str">
        <f>IF(E373="","",IF(COUNTIFS(Table2[[#All],[De (Lote)]],Input_APM!F373)&gt;0,INDEX(Table2[[#All],[Para (Ticker Daniel)]],MATCH(Input_APM!F373,Table2[[#All],[De (Lote)]],0)),Input_APM!F373))</f>
        <v/>
      </c>
      <c r="M373" s="214" t="str">
        <f t="shared" si="29"/>
        <v/>
      </c>
      <c r="N373" s="215" t="str">
        <f t="shared" si="30"/>
        <v/>
      </c>
      <c r="O373" s="215" t="str">
        <f t="shared" si="31"/>
        <v/>
      </c>
    </row>
    <row r="374" spans="5:15">
      <c r="E374" s="370"/>
      <c r="K374" s="214" t="str">
        <f t="shared" si="28"/>
        <v/>
      </c>
      <c r="L374" s="214" t="str">
        <f>IF(E374="","",IF(COUNTIFS(Table2[[#All],[De (Lote)]],Input_APM!F374)&gt;0,INDEX(Table2[[#All],[Para (Ticker Daniel)]],MATCH(Input_APM!F374,Table2[[#All],[De (Lote)]],0)),Input_APM!F374))</f>
        <v/>
      </c>
      <c r="M374" s="214" t="str">
        <f t="shared" si="29"/>
        <v/>
      </c>
      <c r="N374" s="215" t="str">
        <f t="shared" si="30"/>
        <v/>
      </c>
      <c r="O374" s="215" t="str">
        <f t="shared" si="31"/>
        <v/>
      </c>
    </row>
    <row r="375" spans="5:15">
      <c r="E375" s="370"/>
      <c r="K375" s="214" t="str">
        <f t="shared" si="28"/>
        <v/>
      </c>
      <c r="L375" s="214" t="str">
        <f>IF(E375="","",IF(COUNTIFS(Table2[[#All],[De (Lote)]],Input_APM!F375)&gt;0,INDEX(Table2[[#All],[Para (Ticker Daniel)]],MATCH(Input_APM!F375,Table2[[#All],[De (Lote)]],0)),Input_APM!F375))</f>
        <v/>
      </c>
      <c r="M375" s="214" t="str">
        <f t="shared" si="29"/>
        <v/>
      </c>
      <c r="N375" s="215" t="str">
        <f t="shared" si="30"/>
        <v/>
      </c>
      <c r="O375" s="215" t="str">
        <f t="shared" si="31"/>
        <v/>
      </c>
    </row>
    <row r="376" spans="5:15">
      <c r="E376" s="370"/>
      <c r="K376" s="214" t="str">
        <f t="shared" si="28"/>
        <v/>
      </c>
      <c r="L376" s="214" t="str">
        <f>IF(E376="","",IF(COUNTIFS(Table2[[#All],[De (Lote)]],Input_APM!F376)&gt;0,INDEX(Table2[[#All],[Para (Ticker Daniel)]],MATCH(Input_APM!F376,Table2[[#All],[De (Lote)]],0)),Input_APM!F376))</f>
        <v/>
      </c>
      <c r="M376" s="214" t="str">
        <f t="shared" si="29"/>
        <v/>
      </c>
      <c r="N376" s="215" t="str">
        <f t="shared" si="30"/>
        <v/>
      </c>
      <c r="O376" s="215" t="str">
        <f t="shared" si="31"/>
        <v/>
      </c>
    </row>
    <row r="377" spans="5:15">
      <c r="E377" s="370"/>
      <c r="K377" s="214" t="str">
        <f t="shared" si="28"/>
        <v/>
      </c>
      <c r="L377" s="214" t="str">
        <f>IF(E377="","",IF(COUNTIFS(Table2[[#All],[De (Lote)]],Input_APM!F377)&gt;0,INDEX(Table2[[#All],[Para (Ticker Daniel)]],MATCH(Input_APM!F377,Table2[[#All],[De (Lote)]],0)),Input_APM!F377))</f>
        <v/>
      </c>
      <c r="M377" s="214" t="str">
        <f t="shared" si="29"/>
        <v/>
      </c>
      <c r="N377" s="215" t="str">
        <f t="shared" si="30"/>
        <v/>
      </c>
      <c r="O377" s="215" t="str">
        <f t="shared" si="31"/>
        <v/>
      </c>
    </row>
    <row r="378" spans="5:15">
      <c r="E378" s="370"/>
      <c r="K378" s="214" t="str">
        <f t="shared" si="28"/>
        <v/>
      </c>
      <c r="L378" s="214" t="str">
        <f>IF(E378="","",IF(COUNTIFS(Table2[[#All],[De (Lote)]],Input_APM!F378)&gt;0,INDEX(Table2[[#All],[Para (Ticker Daniel)]],MATCH(Input_APM!F378,Table2[[#All],[De (Lote)]],0)),Input_APM!F378))</f>
        <v/>
      </c>
      <c r="M378" s="214" t="str">
        <f t="shared" si="29"/>
        <v/>
      </c>
      <c r="N378" s="215" t="str">
        <f t="shared" si="30"/>
        <v/>
      </c>
      <c r="O378" s="215" t="str">
        <f t="shared" si="31"/>
        <v/>
      </c>
    </row>
    <row r="379" spans="5:15">
      <c r="E379" s="370"/>
      <c r="K379" s="214" t="str">
        <f t="shared" si="28"/>
        <v/>
      </c>
      <c r="L379" s="214" t="str">
        <f>IF(E379="","",IF(COUNTIFS(Table2[[#All],[De (Lote)]],Input_APM!F379)&gt;0,INDEX(Table2[[#All],[Para (Ticker Daniel)]],MATCH(Input_APM!F379,Table2[[#All],[De (Lote)]],0)),Input_APM!F379))</f>
        <v/>
      </c>
      <c r="M379" s="214" t="str">
        <f t="shared" si="29"/>
        <v/>
      </c>
      <c r="N379" s="215" t="str">
        <f t="shared" si="30"/>
        <v/>
      </c>
      <c r="O379" s="215" t="str">
        <f t="shared" si="31"/>
        <v/>
      </c>
    </row>
    <row r="380" spans="5:15">
      <c r="E380" s="370"/>
      <c r="K380" s="214" t="str">
        <f t="shared" si="28"/>
        <v/>
      </c>
      <c r="L380" s="214" t="str">
        <f>IF(E380="","",IF(COUNTIFS(Table2[[#All],[De (Lote)]],Input_APM!F380)&gt;0,INDEX(Table2[[#All],[Para (Ticker Daniel)]],MATCH(Input_APM!F380,Table2[[#All],[De (Lote)]],0)),Input_APM!F380))</f>
        <v/>
      </c>
      <c r="M380" s="214" t="str">
        <f t="shared" si="29"/>
        <v/>
      </c>
      <c r="N380" s="215" t="str">
        <f t="shared" si="30"/>
        <v/>
      </c>
      <c r="O380" s="215" t="str">
        <f t="shared" si="31"/>
        <v/>
      </c>
    </row>
    <row r="381" spans="5:15">
      <c r="E381" s="370"/>
      <c r="K381" s="214" t="str">
        <f t="shared" si="28"/>
        <v/>
      </c>
      <c r="L381" s="214" t="str">
        <f>IF(E381="","",IF(COUNTIFS(Table2[[#All],[De (Lote)]],Input_APM!F381)&gt;0,INDEX(Table2[[#All],[Para (Ticker Daniel)]],MATCH(Input_APM!F381,Table2[[#All],[De (Lote)]],0)),Input_APM!F381))</f>
        <v/>
      </c>
      <c r="M381" s="214" t="str">
        <f t="shared" si="29"/>
        <v/>
      </c>
      <c r="N381" s="215" t="str">
        <f t="shared" si="30"/>
        <v/>
      </c>
      <c r="O381" s="215" t="str">
        <f t="shared" si="31"/>
        <v/>
      </c>
    </row>
    <row r="382" spans="5:15">
      <c r="E382" s="370"/>
      <c r="K382" s="214" t="str">
        <f t="shared" si="28"/>
        <v/>
      </c>
      <c r="L382" s="214" t="str">
        <f>IF(E382="","",IF(COUNTIFS(Table2[[#All],[De (Lote)]],Input_APM!F382)&gt;0,INDEX(Table2[[#All],[Para (Ticker Daniel)]],MATCH(Input_APM!F382,Table2[[#All],[De (Lote)]],0)),Input_APM!F382))</f>
        <v/>
      </c>
      <c r="M382" s="214" t="str">
        <f t="shared" si="29"/>
        <v/>
      </c>
      <c r="N382" s="215" t="str">
        <f t="shared" si="30"/>
        <v/>
      </c>
      <c r="O382" s="215" t="str">
        <f t="shared" si="31"/>
        <v/>
      </c>
    </row>
    <row r="383" spans="5:15">
      <c r="E383" s="370"/>
      <c r="K383" s="214" t="str">
        <f t="shared" si="28"/>
        <v/>
      </c>
      <c r="L383" s="214" t="str">
        <f>IF(E383="","",IF(COUNTIFS(Table2[[#All],[De (Lote)]],Input_APM!F383)&gt;0,INDEX(Table2[[#All],[Para (Ticker Daniel)]],MATCH(Input_APM!F383,Table2[[#All],[De (Lote)]],0)),Input_APM!F383))</f>
        <v/>
      </c>
      <c r="M383" s="214" t="str">
        <f t="shared" si="29"/>
        <v/>
      </c>
      <c r="N383" s="215" t="str">
        <f t="shared" si="30"/>
        <v/>
      </c>
      <c r="O383" s="215" t="str">
        <f t="shared" si="31"/>
        <v/>
      </c>
    </row>
    <row r="384" spans="5:15">
      <c r="E384" s="370"/>
      <c r="K384" s="214" t="str">
        <f t="shared" si="28"/>
        <v/>
      </c>
      <c r="L384" s="214" t="str">
        <f>IF(E384="","",IF(COUNTIFS(Table2[[#All],[De (Lote)]],Input_APM!F384)&gt;0,INDEX(Table2[[#All],[Para (Ticker Daniel)]],MATCH(Input_APM!F384,Table2[[#All],[De (Lote)]],0)),Input_APM!F384))</f>
        <v/>
      </c>
      <c r="M384" s="214" t="str">
        <f t="shared" si="29"/>
        <v/>
      </c>
      <c r="N384" s="215" t="str">
        <f t="shared" si="30"/>
        <v/>
      </c>
      <c r="O384" s="215" t="str">
        <f t="shared" si="31"/>
        <v/>
      </c>
    </row>
    <row r="385" spans="5:15">
      <c r="E385" s="370"/>
      <c r="K385" s="214" t="str">
        <f t="shared" si="28"/>
        <v/>
      </c>
      <c r="L385" s="214" t="str">
        <f>IF(E385="","",IF(COUNTIFS(Table2[[#All],[De (Lote)]],Input_APM!F385)&gt;0,INDEX(Table2[[#All],[Para (Ticker Daniel)]],MATCH(Input_APM!F385,Table2[[#All],[De (Lote)]],0)),Input_APM!F385))</f>
        <v/>
      </c>
      <c r="M385" s="214" t="str">
        <f t="shared" si="29"/>
        <v/>
      </c>
      <c r="N385" s="215" t="str">
        <f t="shared" si="30"/>
        <v/>
      </c>
      <c r="O385" s="215" t="str">
        <f t="shared" si="31"/>
        <v/>
      </c>
    </row>
    <row r="386" spans="5:15">
      <c r="E386" s="370"/>
      <c r="K386" s="214" t="str">
        <f t="shared" si="28"/>
        <v/>
      </c>
      <c r="L386" s="214" t="str">
        <f>IF(E386="","",IF(COUNTIFS(Table2[[#All],[De (Lote)]],Input_APM!F386)&gt;0,INDEX(Table2[[#All],[Para (Ticker Daniel)]],MATCH(Input_APM!F386,Table2[[#All],[De (Lote)]],0)),Input_APM!F386))</f>
        <v/>
      </c>
      <c r="M386" s="214" t="str">
        <f t="shared" si="29"/>
        <v/>
      </c>
      <c r="N386" s="215" t="str">
        <f t="shared" si="30"/>
        <v/>
      </c>
      <c r="O386" s="215" t="str">
        <f t="shared" si="31"/>
        <v/>
      </c>
    </row>
    <row r="387" spans="5:15">
      <c r="E387" s="370"/>
      <c r="K387" s="214" t="str">
        <f t="shared" si="28"/>
        <v/>
      </c>
      <c r="L387" s="214" t="str">
        <f>IF(E387="","",IF(COUNTIFS(Table2[[#All],[De (Lote)]],Input_APM!F387)&gt;0,INDEX(Table2[[#All],[Para (Ticker Daniel)]],MATCH(Input_APM!F387,Table2[[#All],[De (Lote)]],0)),Input_APM!F387))</f>
        <v/>
      </c>
      <c r="M387" s="214" t="str">
        <f t="shared" si="29"/>
        <v/>
      </c>
      <c r="N387" s="215" t="str">
        <f t="shared" si="30"/>
        <v/>
      </c>
      <c r="O387" s="215" t="str">
        <f t="shared" si="31"/>
        <v/>
      </c>
    </row>
    <row r="388" spans="5:15">
      <c r="E388" s="370"/>
      <c r="K388" s="214" t="str">
        <f t="shared" si="28"/>
        <v/>
      </c>
      <c r="L388" s="214" t="str">
        <f>IF(E388="","",IF(COUNTIFS(Table2[[#All],[De (Lote)]],Input_APM!F388)&gt;0,INDEX(Table2[[#All],[Para (Ticker Daniel)]],MATCH(Input_APM!F388,Table2[[#All],[De (Lote)]],0)),Input_APM!F388))</f>
        <v/>
      </c>
      <c r="M388" s="214" t="str">
        <f t="shared" si="29"/>
        <v/>
      </c>
      <c r="N388" s="215" t="str">
        <f t="shared" si="30"/>
        <v/>
      </c>
      <c r="O388" s="215" t="str">
        <f t="shared" si="31"/>
        <v/>
      </c>
    </row>
    <row r="389" spans="5:15">
      <c r="E389" s="370"/>
      <c r="K389" s="214" t="str">
        <f t="shared" si="28"/>
        <v/>
      </c>
      <c r="L389" s="214" t="str">
        <f>IF(E389="","",IF(COUNTIFS(Table2[[#All],[De (Lote)]],Input_APM!F389)&gt;0,INDEX(Table2[[#All],[Para (Ticker Daniel)]],MATCH(Input_APM!F389,Table2[[#All],[De (Lote)]],0)),Input_APM!F389))</f>
        <v/>
      </c>
      <c r="M389" s="214" t="str">
        <f t="shared" si="29"/>
        <v/>
      </c>
      <c r="N389" s="215" t="str">
        <f t="shared" si="30"/>
        <v/>
      </c>
      <c r="O389" s="215" t="str">
        <f t="shared" si="31"/>
        <v/>
      </c>
    </row>
    <row r="390" spans="5:15">
      <c r="E390" s="370"/>
      <c r="K390" s="214" t="str">
        <f t="shared" si="28"/>
        <v/>
      </c>
      <c r="L390" s="214" t="str">
        <f>IF(E390="","",IF(COUNTIFS(Table2[[#All],[De (Lote)]],Input_APM!F390)&gt;0,INDEX(Table2[[#All],[Para (Ticker Daniel)]],MATCH(Input_APM!F390,Table2[[#All],[De (Lote)]],0)),Input_APM!F390))</f>
        <v/>
      </c>
      <c r="M390" s="214" t="str">
        <f t="shared" si="29"/>
        <v/>
      </c>
      <c r="N390" s="215" t="str">
        <f t="shared" si="30"/>
        <v/>
      </c>
      <c r="O390" s="215" t="str">
        <f t="shared" si="31"/>
        <v/>
      </c>
    </row>
    <row r="391" spans="5:15">
      <c r="E391" s="370"/>
      <c r="K391" s="214" t="str">
        <f t="shared" si="28"/>
        <v/>
      </c>
      <c r="L391" s="214" t="str">
        <f>IF(E391="","",IF(COUNTIFS(Table2[[#All],[De (Lote)]],Input_APM!F391)&gt;0,INDEX(Table2[[#All],[Para (Ticker Daniel)]],MATCH(Input_APM!F391,Table2[[#All],[De (Lote)]],0)),Input_APM!F391))</f>
        <v/>
      </c>
      <c r="M391" s="214" t="str">
        <f t="shared" si="29"/>
        <v/>
      </c>
      <c r="N391" s="215" t="str">
        <f t="shared" si="30"/>
        <v/>
      </c>
      <c r="O391" s="215" t="str">
        <f t="shared" si="31"/>
        <v/>
      </c>
    </row>
    <row r="392" spans="5:15">
      <c r="E392" s="370"/>
      <c r="K392" s="214" t="str">
        <f t="shared" si="28"/>
        <v/>
      </c>
      <c r="L392" s="214" t="str">
        <f>IF(E392="","",IF(COUNTIFS(Table2[[#All],[De (Lote)]],Input_APM!F392)&gt;0,INDEX(Table2[[#All],[Para (Ticker Daniel)]],MATCH(Input_APM!F392,Table2[[#All],[De (Lote)]],0)),Input_APM!F392))</f>
        <v/>
      </c>
      <c r="M392" s="214" t="str">
        <f t="shared" si="29"/>
        <v/>
      </c>
      <c r="N392" s="215" t="str">
        <f t="shared" si="30"/>
        <v/>
      </c>
      <c r="O392" s="215" t="str">
        <f t="shared" si="31"/>
        <v/>
      </c>
    </row>
    <row r="393" spans="5:15">
      <c r="E393" s="370"/>
      <c r="K393" s="214" t="str">
        <f t="shared" si="28"/>
        <v/>
      </c>
      <c r="L393" s="214" t="str">
        <f>IF(E393="","",IF(COUNTIFS(Table2[[#All],[De (Lote)]],Input_APM!F393)&gt;0,INDEX(Table2[[#All],[Para (Ticker Daniel)]],MATCH(Input_APM!F393,Table2[[#All],[De (Lote)]],0)),Input_APM!F393))</f>
        <v/>
      </c>
      <c r="M393" s="214" t="str">
        <f t="shared" si="29"/>
        <v/>
      </c>
      <c r="N393" s="215" t="str">
        <f t="shared" si="30"/>
        <v/>
      </c>
      <c r="O393" s="215" t="str">
        <f t="shared" si="31"/>
        <v/>
      </c>
    </row>
    <row r="394" spans="5:15">
      <c r="E394" s="370"/>
      <c r="K394" s="214" t="str">
        <f t="shared" si="28"/>
        <v/>
      </c>
      <c r="L394" s="214" t="str">
        <f>IF(E394="","",IF(COUNTIFS(Table2[[#All],[De (Lote)]],Input_APM!F394)&gt;0,INDEX(Table2[[#All],[Para (Ticker Daniel)]],MATCH(Input_APM!F394,Table2[[#All],[De (Lote)]],0)),Input_APM!F394))</f>
        <v/>
      </c>
      <c r="M394" s="214" t="str">
        <f t="shared" si="29"/>
        <v/>
      </c>
      <c r="N394" s="215" t="str">
        <f t="shared" si="30"/>
        <v/>
      </c>
      <c r="O394" s="215" t="str">
        <f t="shared" si="31"/>
        <v/>
      </c>
    </row>
    <row r="395" spans="5:15">
      <c r="E395" s="370"/>
      <c r="K395" s="214" t="str">
        <f t="shared" si="28"/>
        <v/>
      </c>
      <c r="L395" s="214" t="str">
        <f>IF(E395="","",IF(COUNTIFS(Table2[[#All],[De (Lote)]],Input_APM!F395)&gt;0,INDEX(Table2[[#All],[Para (Ticker Daniel)]],MATCH(Input_APM!F395,Table2[[#All],[De (Lote)]],0)),Input_APM!F395))</f>
        <v/>
      </c>
      <c r="M395" s="214" t="str">
        <f t="shared" si="29"/>
        <v/>
      </c>
      <c r="N395" s="215" t="str">
        <f t="shared" si="30"/>
        <v/>
      </c>
      <c r="O395" s="215" t="str">
        <f t="shared" si="31"/>
        <v/>
      </c>
    </row>
    <row r="396" spans="5:15">
      <c r="E396" s="370"/>
      <c r="K396" s="214" t="str">
        <f t="shared" si="28"/>
        <v/>
      </c>
      <c r="L396" s="214" t="str">
        <f>IF(E396="","",IF(COUNTIFS(Table2[[#All],[De (Lote)]],Input_APM!F396)&gt;0,INDEX(Table2[[#All],[Para (Ticker Daniel)]],MATCH(Input_APM!F396,Table2[[#All],[De (Lote)]],0)),Input_APM!F396))</f>
        <v/>
      </c>
      <c r="M396" s="214" t="str">
        <f t="shared" si="29"/>
        <v/>
      </c>
      <c r="N396" s="215" t="str">
        <f t="shared" si="30"/>
        <v/>
      </c>
      <c r="O396" s="215" t="str">
        <f t="shared" si="31"/>
        <v/>
      </c>
    </row>
    <row r="397" spans="5:15">
      <c r="E397" s="370"/>
      <c r="K397" s="214" t="str">
        <f>IF(E397="","",E397)</f>
        <v/>
      </c>
      <c r="L397" s="214" t="str">
        <f>IF(E397="","",IF(COUNTIFS(Table2[[#All],[De (Lote)]],Input_APM!F397)&gt;0,INDEX(Table2[[#All],[Para (Ticker Daniel)]],MATCH(Input_APM!F397,Table2[[#All],[De (Lote)]],0)),Input_APM!F397))</f>
        <v/>
      </c>
      <c r="M397" s="214" t="str">
        <f>IF(E397="","",G397)</f>
        <v/>
      </c>
      <c r="N397" s="215" t="str">
        <f>IF(E397="","",H397)</f>
        <v/>
      </c>
      <c r="O397" s="215" t="str">
        <f>IF(E397="","",I397)</f>
        <v/>
      </c>
    </row>
    <row r="398" spans="5:15">
      <c r="E398" s="370"/>
    </row>
    <row r="399" spans="5:15">
      <c r="E399" s="370"/>
    </row>
    <row r="400" spans="5:15">
      <c r="E400" s="370"/>
    </row>
    <row r="401" spans="5:5">
      <c r="E401" s="370"/>
    </row>
    <row r="402" spans="5:5">
      <c r="E402" s="370"/>
    </row>
    <row r="403" spans="5:5">
      <c r="E403" s="370"/>
    </row>
    <row r="404" spans="5:5">
      <c r="E404" s="370"/>
    </row>
    <row r="405" spans="5:5">
      <c r="E405" s="370"/>
    </row>
    <row r="406" spans="5:5">
      <c r="E406" s="370"/>
    </row>
    <row r="407" spans="5:5">
      <c r="E407" s="370"/>
    </row>
    <row r="408" spans="5:5">
      <c r="E408" s="370"/>
    </row>
    <row r="409" spans="5:5">
      <c r="E409" s="370"/>
    </row>
    <row r="410" spans="5:5">
      <c r="E410" s="370"/>
    </row>
    <row r="411" spans="5:5">
      <c r="E411" s="370"/>
    </row>
    <row r="412" spans="5:5">
      <c r="E412" s="370"/>
    </row>
    <row r="413" spans="5:5">
      <c r="E413" s="370"/>
    </row>
    <row r="414" spans="5:5">
      <c r="E414" s="370"/>
    </row>
    <row r="415" spans="5:5">
      <c r="E415" s="370"/>
    </row>
    <row r="416" spans="5:5">
      <c r="E416" s="370"/>
    </row>
    <row r="417" spans="5:5">
      <c r="E417" s="370"/>
    </row>
    <row r="418" spans="5:5">
      <c r="E418" s="370"/>
    </row>
    <row r="419" spans="5:5">
      <c r="E419" s="370"/>
    </row>
    <row r="420" spans="5:5">
      <c r="E420" s="370"/>
    </row>
    <row r="421" spans="5:5">
      <c r="E421" s="370"/>
    </row>
    <row r="422" spans="5:5">
      <c r="E422" s="370"/>
    </row>
    <row r="423" spans="5:5">
      <c r="E423" s="370"/>
    </row>
    <row r="424" spans="5:5">
      <c r="E424" s="370"/>
    </row>
    <row r="425" spans="5:5">
      <c r="E425" s="370"/>
    </row>
    <row r="426" spans="5:5">
      <c r="E426" s="370"/>
    </row>
    <row r="427" spans="5:5">
      <c r="E427" s="370"/>
    </row>
    <row r="428" spans="5:5">
      <c r="E428" s="370"/>
    </row>
    <row r="429" spans="5:5">
      <c r="E429" s="370"/>
    </row>
    <row r="430" spans="5:5">
      <c r="E430" s="370"/>
    </row>
    <row r="431" spans="5:5">
      <c r="E431" s="370"/>
    </row>
    <row r="432" spans="5:5">
      <c r="E432" s="370"/>
    </row>
    <row r="433" spans="5:5">
      <c r="E433" s="370"/>
    </row>
    <row r="434" spans="5:5">
      <c r="E434" s="370"/>
    </row>
    <row r="435" spans="5:5">
      <c r="E435" s="370"/>
    </row>
    <row r="436" spans="5:5">
      <c r="E436" s="370"/>
    </row>
    <row r="437" spans="5:5">
      <c r="E437" s="370"/>
    </row>
    <row r="438" spans="5:5">
      <c r="E438" s="370"/>
    </row>
    <row r="439" spans="5:5">
      <c r="E439" s="370"/>
    </row>
    <row r="440" spans="5:5">
      <c r="E440" s="370"/>
    </row>
    <row r="441" spans="5:5">
      <c r="E441" s="370"/>
    </row>
    <row r="442" spans="5:5">
      <c r="E442" s="370"/>
    </row>
    <row r="443" spans="5:5">
      <c r="E443" s="370"/>
    </row>
    <row r="444" spans="5:5">
      <c r="E444" s="370"/>
    </row>
    <row r="445" spans="5:5">
      <c r="E445" s="370"/>
    </row>
    <row r="446" spans="5:5">
      <c r="E446" s="370"/>
    </row>
    <row r="447" spans="5:5">
      <c r="E447" s="370"/>
    </row>
    <row r="448" spans="5:5">
      <c r="E448" s="370"/>
    </row>
    <row r="449" spans="5:5">
      <c r="E449" s="370"/>
    </row>
    <row r="450" spans="5:5">
      <c r="E450" s="370"/>
    </row>
    <row r="451" spans="5:5">
      <c r="E451" s="370"/>
    </row>
    <row r="452" spans="5:5">
      <c r="E452" s="370"/>
    </row>
    <row r="453" spans="5:5">
      <c r="E453" s="370"/>
    </row>
    <row r="454" spans="5:5">
      <c r="E454" s="370"/>
    </row>
    <row r="455" spans="5:5">
      <c r="E455" s="370"/>
    </row>
    <row r="456" spans="5:5">
      <c r="E456" s="370"/>
    </row>
    <row r="457" spans="5:5">
      <c r="E457" s="370"/>
    </row>
    <row r="458" spans="5:5">
      <c r="E458" s="370"/>
    </row>
    <row r="459" spans="5:5">
      <c r="E459" s="370"/>
    </row>
    <row r="460" spans="5:5">
      <c r="E460" s="370"/>
    </row>
    <row r="461" spans="5:5">
      <c r="E461" s="370"/>
    </row>
    <row r="462" spans="5:5">
      <c r="E462" s="370"/>
    </row>
    <row r="463" spans="5:5">
      <c r="E463" s="370"/>
    </row>
    <row r="464" spans="5:5">
      <c r="E464" s="370"/>
    </row>
    <row r="465" spans="5:5">
      <c r="E465" s="370"/>
    </row>
    <row r="466" spans="5:5">
      <c r="E466" s="370"/>
    </row>
    <row r="467" spans="5:5">
      <c r="E467" s="370"/>
    </row>
    <row r="468" spans="5:5">
      <c r="E468" s="370"/>
    </row>
    <row r="469" spans="5:5">
      <c r="E469" s="370"/>
    </row>
    <row r="470" spans="5:5">
      <c r="E470" s="370"/>
    </row>
    <row r="471" spans="5:5">
      <c r="E471" s="370"/>
    </row>
    <row r="472" spans="5:5">
      <c r="E472" s="370"/>
    </row>
    <row r="473" spans="5:5">
      <c r="E473" s="370"/>
    </row>
    <row r="474" spans="5:5">
      <c r="E474" s="370"/>
    </row>
    <row r="475" spans="5:5">
      <c r="E475" s="370"/>
    </row>
    <row r="476" spans="5:5">
      <c r="E476" s="370"/>
    </row>
    <row r="477" spans="5:5">
      <c r="E477" s="370"/>
    </row>
    <row r="478" spans="5:5">
      <c r="E478" s="370"/>
    </row>
    <row r="479" spans="5:5">
      <c r="E479" s="370"/>
    </row>
    <row r="480" spans="5:5">
      <c r="E480" s="370"/>
    </row>
    <row r="481" spans="5:5">
      <c r="E481" s="370"/>
    </row>
    <row r="482" spans="5:5">
      <c r="E482" s="370"/>
    </row>
    <row r="483" spans="5:5">
      <c r="E483" s="370"/>
    </row>
    <row r="484" spans="5:5">
      <c r="E484" s="370"/>
    </row>
    <row r="485" spans="5:5">
      <c r="E485" s="370"/>
    </row>
    <row r="486" spans="5:5">
      <c r="E486" s="370"/>
    </row>
    <row r="487" spans="5:5">
      <c r="E487" s="370"/>
    </row>
    <row r="488" spans="5:5">
      <c r="E488" s="370"/>
    </row>
    <row r="489" spans="5:5">
      <c r="E489" s="370"/>
    </row>
    <row r="490" spans="5:5">
      <c r="E490" s="370"/>
    </row>
    <row r="491" spans="5:5">
      <c r="E491" s="370"/>
    </row>
    <row r="492" spans="5:5">
      <c r="E492" s="370"/>
    </row>
    <row r="493" spans="5:5">
      <c r="E493" s="370"/>
    </row>
    <row r="494" spans="5:5">
      <c r="E494" s="370"/>
    </row>
    <row r="495" spans="5:5">
      <c r="E495" s="370"/>
    </row>
    <row r="496" spans="5:5">
      <c r="E496" s="370"/>
    </row>
    <row r="497" spans="5:5">
      <c r="E497" s="370"/>
    </row>
    <row r="498" spans="5:5">
      <c r="E498" s="370"/>
    </row>
    <row r="499" spans="5:5">
      <c r="E499" s="370"/>
    </row>
    <row r="500" spans="5:5">
      <c r="E500" s="370"/>
    </row>
    <row r="501" spans="5:5">
      <c r="E501" s="370"/>
    </row>
    <row r="502" spans="5:5">
      <c r="E502" s="370"/>
    </row>
    <row r="503" spans="5:5">
      <c r="E503" s="370"/>
    </row>
    <row r="504" spans="5:5">
      <c r="E504" s="370"/>
    </row>
    <row r="505" spans="5:5">
      <c r="E505" s="370"/>
    </row>
    <row r="506" spans="5:5">
      <c r="E506" s="370"/>
    </row>
    <row r="507" spans="5:5">
      <c r="E507" s="370"/>
    </row>
    <row r="508" spans="5:5">
      <c r="E508" s="370"/>
    </row>
    <row r="509" spans="5:5">
      <c r="E509" s="370"/>
    </row>
    <row r="510" spans="5:5">
      <c r="E510" s="370"/>
    </row>
    <row r="511" spans="5:5">
      <c r="E511" s="370"/>
    </row>
    <row r="512" spans="5:5">
      <c r="E512" s="370"/>
    </row>
    <row r="513" spans="5:5">
      <c r="E513" s="370"/>
    </row>
    <row r="514" spans="5:5">
      <c r="E514" s="370"/>
    </row>
    <row r="515" spans="5:5">
      <c r="E515" s="370"/>
    </row>
    <row r="516" spans="5:5">
      <c r="E516" s="370"/>
    </row>
    <row r="517" spans="5:5">
      <c r="E517" s="370"/>
    </row>
    <row r="518" spans="5:5">
      <c r="E518" s="370"/>
    </row>
    <row r="519" spans="5:5">
      <c r="E519" s="370"/>
    </row>
    <row r="520" spans="5:5">
      <c r="E520" s="370"/>
    </row>
    <row r="521" spans="5:5">
      <c r="E521" s="370"/>
    </row>
    <row r="522" spans="5:5">
      <c r="E522" s="370"/>
    </row>
    <row r="523" spans="5:5">
      <c r="E523" s="370"/>
    </row>
    <row r="524" spans="5:5">
      <c r="E524" s="370"/>
    </row>
    <row r="525" spans="5:5">
      <c r="E525" s="370"/>
    </row>
    <row r="526" spans="5:5">
      <c r="E526" s="370"/>
    </row>
    <row r="527" spans="5:5">
      <c r="E527" s="370"/>
    </row>
    <row r="528" spans="5:5">
      <c r="E528" s="370"/>
    </row>
    <row r="529" spans="5:5">
      <c r="E529" s="370"/>
    </row>
    <row r="530" spans="5:5">
      <c r="E530" s="370"/>
    </row>
    <row r="531" spans="5:5">
      <c r="E531" s="370"/>
    </row>
    <row r="532" spans="5:5">
      <c r="E532" s="370"/>
    </row>
    <row r="533" spans="5:5">
      <c r="E533" s="370"/>
    </row>
    <row r="534" spans="5:5">
      <c r="E534" s="370"/>
    </row>
    <row r="535" spans="5:5">
      <c r="E535" s="370"/>
    </row>
    <row r="536" spans="5:5">
      <c r="E536" s="370"/>
    </row>
    <row r="537" spans="5:5">
      <c r="E537" s="370"/>
    </row>
    <row r="538" spans="5:5">
      <c r="E538" s="370"/>
    </row>
    <row r="539" spans="5:5">
      <c r="E539" s="370"/>
    </row>
    <row r="540" spans="5:5">
      <c r="E540" s="370"/>
    </row>
    <row r="541" spans="5:5">
      <c r="E541" s="370"/>
    </row>
    <row r="542" spans="5:5">
      <c r="E542" s="370"/>
    </row>
    <row r="543" spans="5:5">
      <c r="E543" s="370"/>
    </row>
    <row r="544" spans="5:5">
      <c r="E544" s="370"/>
    </row>
    <row r="545" spans="5:5">
      <c r="E545" s="370"/>
    </row>
    <row r="546" spans="5:5">
      <c r="E546" s="370"/>
    </row>
    <row r="547" spans="5:5">
      <c r="E547" s="370"/>
    </row>
    <row r="548" spans="5:5">
      <c r="E548" s="370"/>
    </row>
    <row r="549" spans="5:5">
      <c r="E549" s="370"/>
    </row>
    <row r="550" spans="5:5">
      <c r="E550" s="370"/>
    </row>
    <row r="551" spans="5:5">
      <c r="E551" s="370"/>
    </row>
    <row r="552" spans="5:5">
      <c r="E552" s="370"/>
    </row>
    <row r="553" spans="5:5">
      <c r="E553" s="370"/>
    </row>
    <row r="554" spans="5:5">
      <c r="E554" s="370"/>
    </row>
    <row r="555" spans="5:5">
      <c r="E555" s="370"/>
    </row>
    <row r="556" spans="5:5">
      <c r="E556" s="370"/>
    </row>
    <row r="557" spans="5:5">
      <c r="E557" s="370"/>
    </row>
    <row r="558" spans="5:5">
      <c r="E558" s="370"/>
    </row>
    <row r="559" spans="5:5">
      <c r="E559" s="370"/>
    </row>
    <row r="560" spans="5:5">
      <c r="E560" s="370"/>
    </row>
    <row r="561" spans="5:5">
      <c r="E561" s="370"/>
    </row>
    <row r="562" spans="5:5">
      <c r="E562" s="370"/>
    </row>
    <row r="563" spans="5:5">
      <c r="E563" s="370"/>
    </row>
    <row r="564" spans="5:5">
      <c r="E564" s="370"/>
    </row>
    <row r="565" spans="5:5">
      <c r="E565" s="370"/>
    </row>
    <row r="566" spans="5:5">
      <c r="E566" s="370"/>
    </row>
    <row r="567" spans="5:5">
      <c r="E567" s="370"/>
    </row>
    <row r="568" spans="5:5">
      <c r="E568" s="370"/>
    </row>
    <row r="569" spans="5:5">
      <c r="E569" s="370"/>
    </row>
    <row r="570" spans="5:5">
      <c r="E570" s="370"/>
    </row>
    <row r="571" spans="5:5">
      <c r="E571" s="370"/>
    </row>
    <row r="572" spans="5:5">
      <c r="E572" s="370"/>
    </row>
    <row r="573" spans="5:5">
      <c r="E573" s="370"/>
    </row>
    <row r="574" spans="5:5">
      <c r="E574" s="370"/>
    </row>
    <row r="575" spans="5:5">
      <c r="E575" s="370"/>
    </row>
    <row r="576" spans="5:5">
      <c r="E576" s="370"/>
    </row>
    <row r="577" spans="5:5">
      <c r="E577" s="370"/>
    </row>
    <row r="578" spans="5:5">
      <c r="E578" s="370"/>
    </row>
    <row r="579" spans="5:5">
      <c r="E579" s="370"/>
    </row>
    <row r="580" spans="5:5">
      <c r="E580" s="370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"/>
    </sheetView>
  </sheetViews>
  <sheetFormatPr defaultColWidth="9.140625" defaultRowHeight="12.75" outlineLevelCol="1"/>
  <cols>
    <col min="1" max="4" width="9.140625" style="213"/>
    <col min="5" max="5" width="31.7109375" style="213" bestFit="1" customWidth="1" outlineLevel="1"/>
    <col min="6" max="6" width="45.5703125" style="213" bestFit="1" customWidth="1" outlineLevel="1"/>
    <col min="7" max="7" width="24.42578125" style="213" customWidth="1" outlineLevel="1"/>
    <col min="8" max="8" width="13.28515625" style="213" bestFit="1" customWidth="1" outlineLevel="1"/>
    <col min="9" max="9" width="12.140625" style="213" bestFit="1" customWidth="1" outlineLevel="1"/>
    <col min="10" max="10" width="9.140625" style="213"/>
    <col min="11" max="11" width="30.5703125" style="213" bestFit="1" customWidth="1"/>
    <col min="12" max="12" width="41.5703125" style="213" bestFit="1" customWidth="1"/>
    <col min="13" max="13" width="24" style="213" bestFit="1" customWidth="1"/>
    <col min="14" max="14" width="10.42578125" style="213" bestFit="1" customWidth="1"/>
    <col min="15" max="15" width="10.8554687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30" t="s">
        <v>312</v>
      </c>
      <c r="L1" s="230" t="s">
        <v>174</v>
      </c>
      <c r="M1" s="230" t="s">
        <v>313</v>
      </c>
      <c r="N1" s="230" t="s">
        <v>293</v>
      </c>
      <c r="O1" s="230" t="s">
        <v>314</v>
      </c>
    </row>
    <row r="2" spans="5:15">
      <c r="E2" s="213" t="s">
        <v>2283</v>
      </c>
      <c r="F2" s="213" t="s">
        <v>2372</v>
      </c>
      <c r="G2" s="213" t="s">
        <v>282</v>
      </c>
      <c r="H2" s="213">
        <v>0</v>
      </c>
      <c r="I2" s="213">
        <v>0</v>
      </c>
      <c r="K2" s="214" t="str">
        <f>IF(E2="","",E2)</f>
        <v>NASDAQ-100 E-mini Options - CME</v>
      </c>
      <c r="L2" s="214" t="str">
        <f>IF(E2="","",IF(COUNTIFS(Table2[[#All],[De (Lote)]],'Input_APM (Zenith)'!F2)&gt;0,INDEX(Table2[[#All],[Para (Ticker Daniel)]],MATCH('Input_APM (Zenith)'!F2,Table2[[#All],[De (Lote)]],0)),'Input_APM (Zenith)'!F2))</f>
        <v>1OG6C 26000</v>
      </c>
      <c r="M2" s="214" t="str">
        <f>IF(E2="","",G2)</f>
        <v>EQTY.IntlUS.off</v>
      </c>
      <c r="N2" s="215">
        <f>IF(E2="","",H2)</f>
        <v>0</v>
      </c>
      <c r="O2" s="215">
        <f>IF(E2="","",I2)</f>
        <v>0</v>
      </c>
    </row>
    <row r="3" spans="5:15">
      <c r="E3" s="213" t="s">
        <v>2283</v>
      </c>
      <c r="F3" s="213" t="s">
        <v>2273</v>
      </c>
      <c r="G3" s="213" t="s">
        <v>282</v>
      </c>
      <c r="H3" s="213">
        <v>0</v>
      </c>
      <c r="I3" s="213">
        <v>-2</v>
      </c>
      <c r="K3" s="214" t="str">
        <f t="shared" ref="K3:K66" si="0">IF(E3="","",E3)</f>
        <v>NASDAQ-100 E-mini Options - CME</v>
      </c>
      <c r="L3" s="214" t="str">
        <f>IF(E3="","",IF(COUNTIFS(Table2[[#All],[De (Lote)]],'Input_APM (Zenith)'!F3)&gt;0,INDEX(Table2[[#All],[Para (Ticker Daniel)]],MATCH('Input_APM (Zenith)'!F3,Table2[[#All],[De (Lote)]],0)),'Input_APM (Zenith)'!F3))</f>
        <v>1OG6P 25000</v>
      </c>
      <c r="M3" s="214" t="str">
        <f t="shared" ref="M3:M66" si="1">IF(E3="","",G3)</f>
        <v>EQTY.IntlUS.off</v>
      </c>
      <c r="N3" s="215">
        <f t="shared" ref="N3:N66" si="2">IF(E3="","",H3)</f>
        <v>0</v>
      </c>
      <c r="O3" s="215">
        <f t="shared" ref="O3:O66" si="3">IF(E3="","",I3)</f>
        <v>-2</v>
      </c>
    </row>
    <row r="4" spans="5:15">
      <c r="E4" s="213" t="s">
        <v>317</v>
      </c>
      <c r="F4" s="213" t="s">
        <v>79</v>
      </c>
      <c r="G4" s="213" t="s">
        <v>282</v>
      </c>
      <c r="H4" s="213">
        <v>616</v>
      </c>
      <c r="I4" s="213">
        <v>0</v>
      </c>
      <c r="K4" s="214" t="str">
        <f t="shared" si="0"/>
        <v>US Equity</v>
      </c>
      <c r="L4" s="214" t="str">
        <f>IF(E4="","",IF(COUNTIFS(Table2[[#All],[De (Lote)]],'Input_APM (Zenith)'!F4)&gt;0,INDEX(Table2[[#All],[Para (Ticker Daniel)]],MATCH('Input_APM (Zenith)'!F4,Table2[[#All],[De (Lote)]],0)),'Input_APM (Zenith)'!F4))</f>
        <v>AAPL</v>
      </c>
      <c r="M4" s="214" t="str">
        <f t="shared" si="1"/>
        <v>EQTY.IntlUS.off</v>
      </c>
      <c r="N4" s="215">
        <f t="shared" si="2"/>
        <v>616</v>
      </c>
      <c r="O4" s="215">
        <f t="shared" si="3"/>
        <v>0</v>
      </c>
    </row>
    <row r="5" spans="5:15">
      <c r="E5" s="213" t="s">
        <v>317</v>
      </c>
      <c r="F5" s="213" t="s">
        <v>448</v>
      </c>
      <c r="G5" s="213" t="s">
        <v>282</v>
      </c>
      <c r="H5" s="213">
        <v>277</v>
      </c>
      <c r="I5" s="213">
        <v>277</v>
      </c>
      <c r="K5" s="214" t="str">
        <f t="shared" si="0"/>
        <v>US Equity</v>
      </c>
      <c r="L5" s="214" t="str">
        <f>IF(E5="","",IF(COUNTIFS(Table2[[#All],[De (Lote)]],'Input_APM (Zenith)'!F5)&gt;0,INDEX(Table2[[#All],[Para (Ticker Daniel)]],MATCH('Input_APM (Zenith)'!F5,Table2[[#All],[De (Lote)]],0)),'Input_APM (Zenith)'!F5))</f>
        <v>AMD</v>
      </c>
      <c r="M5" s="214" t="str">
        <f t="shared" si="1"/>
        <v>EQTY.IntlUS.off</v>
      </c>
      <c r="N5" s="215">
        <f t="shared" si="2"/>
        <v>277</v>
      </c>
      <c r="O5" s="215">
        <f t="shared" si="3"/>
        <v>277</v>
      </c>
    </row>
    <row r="6" spans="5:15">
      <c r="E6" s="213" t="s">
        <v>317</v>
      </c>
      <c r="F6" s="213" t="s">
        <v>399</v>
      </c>
      <c r="G6" s="213" t="s">
        <v>282</v>
      </c>
      <c r="H6" s="213">
        <v>1384</v>
      </c>
      <c r="I6" s="213">
        <v>1384</v>
      </c>
      <c r="K6" s="214" t="str">
        <f t="shared" si="0"/>
        <v>US Equity</v>
      </c>
      <c r="L6" s="214" t="str">
        <f>IF(E6="","",IF(COUNTIFS(Table2[[#All],[De (Lote)]],'Input_APM (Zenith)'!F6)&gt;0,INDEX(Table2[[#All],[Para (Ticker Daniel)]],MATCH('Input_APM (Zenith)'!F6,Table2[[#All],[De (Lote)]],0)),'Input_APM (Zenith)'!F6))</f>
        <v>AMZN</v>
      </c>
      <c r="M6" s="214" t="str">
        <f t="shared" si="1"/>
        <v>EQTY.IntlUS.off</v>
      </c>
      <c r="N6" s="215">
        <f t="shared" si="2"/>
        <v>1384</v>
      </c>
      <c r="O6" s="215">
        <f t="shared" si="3"/>
        <v>1384</v>
      </c>
    </row>
    <row r="7" spans="5:15">
      <c r="E7" s="213" t="s">
        <v>319</v>
      </c>
      <c r="F7" s="213" t="s">
        <v>2306</v>
      </c>
      <c r="G7" s="213" t="s">
        <v>282</v>
      </c>
      <c r="H7" s="213">
        <v>4</v>
      </c>
      <c r="I7" s="213">
        <v>4</v>
      </c>
      <c r="K7" s="214" t="str">
        <f t="shared" si="0"/>
        <v>US Equity Options</v>
      </c>
      <c r="L7" s="214" t="str">
        <f>IF(E7="","",IF(COUNTIFS(Table2[[#All],[De (Lote)]],'Input_APM (Zenith)'!F7)&gt;0,INDEX(Table2[[#All],[Para (Ticker Daniel)]],MATCH('Input_APM (Zenith)'!F7,Table2[[#All],[De (Lote)]],0)),'Input_APM (Zenith)'!F7))</f>
        <v>AMZN US 07/17/26 C245</v>
      </c>
      <c r="M7" s="214" t="str">
        <f t="shared" si="1"/>
        <v>EQTY.IntlUS.off</v>
      </c>
      <c r="N7" s="215">
        <f t="shared" si="2"/>
        <v>4</v>
      </c>
      <c r="O7" s="215">
        <f t="shared" si="3"/>
        <v>4</v>
      </c>
    </row>
    <row r="8" spans="5:15">
      <c r="E8" s="213" t="s">
        <v>324</v>
      </c>
      <c r="F8" s="213" t="s">
        <v>2227</v>
      </c>
      <c r="G8" s="213" t="s">
        <v>282</v>
      </c>
      <c r="H8" s="213">
        <v>126</v>
      </c>
      <c r="I8" s="213">
        <v>126</v>
      </c>
      <c r="K8" s="214" t="str">
        <f t="shared" si="0"/>
        <v>ETF Options</v>
      </c>
      <c r="L8" s="214" t="str">
        <f>IF(E8="","",IF(COUNTIFS(Table2[[#All],[De (Lote)]],'Input_APM (Zenith)'!F8)&gt;0,INDEX(Table2[[#All],[Para (Ticker Daniel)]],MATCH('Input_APM (Zenith)'!F8,Table2[[#All],[De (Lote)]],0)),'Input_APM (Zenith)'!F8))</f>
        <v>ASHR US 02/20/26 C35</v>
      </c>
      <c r="M8" s="214" t="str">
        <f t="shared" si="1"/>
        <v>EQTY.IntlUS.off</v>
      </c>
      <c r="N8" s="215">
        <f t="shared" si="2"/>
        <v>126</v>
      </c>
      <c r="O8" s="215">
        <f t="shared" si="3"/>
        <v>126</v>
      </c>
    </row>
    <row r="9" spans="5:15">
      <c r="E9" s="213" t="s">
        <v>319</v>
      </c>
      <c r="F9" s="213" t="s">
        <v>2105</v>
      </c>
      <c r="G9" s="213" t="s">
        <v>282</v>
      </c>
      <c r="H9" s="213">
        <v>6</v>
      </c>
      <c r="I9" s="213">
        <v>6</v>
      </c>
      <c r="K9" s="214" t="str">
        <f t="shared" si="0"/>
        <v>US Equity Options</v>
      </c>
      <c r="L9" s="214" t="str">
        <f>IF(E9="","",IF(COUNTIFS(Table2[[#All],[De (Lote)]],'Input_APM (Zenith)'!F9)&gt;0,INDEX(Table2[[#All],[Para (Ticker Daniel)]],MATCH('Input_APM (Zenith)'!F9,Table2[[#All],[De (Lote)]],0)),'Input_APM (Zenith)'!F9))</f>
        <v>AVGO US 06/18/26 C350</v>
      </c>
      <c r="M9" s="214" t="str">
        <f t="shared" si="1"/>
        <v>EQTY.IntlUS.off</v>
      </c>
      <c r="N9" s="215">
        <f t="shared" si="2"/>
        <v>6</v>
      </c>
      <c r="O9" s="215">
        <f t="shared" si="3"/>
        <v>6</v>
      </c>
    </row>
    <row r="10" spans="5:15">
      <c r="E10" s="213" t="s">
        <v>39</v>
      </c>
      <c r="F10" s="213" t="s">
        <v>461</v>
      </c>
      <c r="G10" s="213" t="s">
        <v>282</v>
      </c>
      <c r="H10" s="213">
        <v>215</v>
      </c>
      <c r="I10" s="213">
        <v>215</v>
      </c>
      <c r="K10" s="214" t="str">
        <f t="shared" si="0"/>
        <v>ADR</v>
      </c>
      <c r="L10" s="214" t="str">
        <f>IF(E10="","",IF(COUNTIFS(Table2[[#All],[De (Lote)]],'Input_APM (Zenith)'!F10)&gt;0,INDEX(Table2[[#All],[Para (Ticker Daniel)]],MATCH('Input_APM (Zenith)'!F10,Table2[[#All],[De (Lote)]],0)),'Input_APM (Zenith)'!F10))</f>
        <v>BABA</v>
      </c>
      <c r="M10" s="214" t="str">
        <f t="shared" si="1"/>
        <v>EQTY.IntlUS.off</v>
      </c>
      <c r="N10" s="215">
        <f t="shared" si="2"/>
        <v>215</v>
      </c>
      <c r="O10" s="215">
        <f t="shared" si="3"/>
        <v>215</v>
      </c>
    </row>
    <row r="11" spans="5:15">
      <c r="E11" s="213" t="s">
        <v>39</v>
      </c>
      <c r="F11" s="213" t="s">
        <v>2141</v>
      </c>
      <c r="G11" s="213" t="s">
        <v>282</v>
      </c>
      <c r="H11" s="213">
        <v>225</v>
      </c>
      <c r="I11" s="213">
        <v>225</v>
      </c>
      <c r="K11" s="214" t="str">
        <f t="shared" si="0"/>
        <v>ADR</v>
      </c>
      <c r="L11" s="214" t="str">
        <f>IF(E11="","",IF(COUNTIFS(Table2[[#All],[De (Lote)]],'Input_APM (Zenith)'!F11)&gt;0,INDEX(Table2[[#All],[Para (Ticker Daniel)]],MATCH('Input_APM (Zenith)'!F11,Table2[[#All],[De (Lote)]],0)),'Input_APM (Zenith)'!F11))</f>
        <v>BIDU</v>
      </c>
      <c r="M11" s="214" t="str">
        <f t="shared" si="1"/>
        <v>EQTY.IntlUS.off</v>
      </c>
      <c r="N11" s="215">
        <f t="shared" si="2"/>
        <v>225</v>
      </c>
      <c r="O11" s="215">
        <f t="shared" si="3"/>
        <v>225</v>
      </c>
    </row>
    <row r="12" spans="5:15">
      <c r="E12" s="213" t="s">
        <v>321</v>
      </c>
      <c r="F12" s="213" t="s">
        <v>295</v>
      </c>
      <c r="G12" s="213" t="s">
        <v>282</v>
      </c>
      <c r="H12" s="213">
        <v>0.05</v>
      </c>
      <c r="I12" s="213">
        <v>0.05</v>
      </c>
      <c r="K12" s="214" t="str">
        <f t="shared" si="0"/>
        <v>Cash</v>
      </c>
      <c r="L12" s="214" t="str">
        <f>IF(E12="","",IF(COUNTIFS(Table2[[#All],[De (Lote)]],'Input_APM (Zenith)'!F12)&gt;0,INDEX(Table2[[#All],[Para (Ticker Daniel)]],MATCH('Input_APM (Zenith)'!F12,Table2[[#All],[De (Lote)]],0)),'Input_APM (Zenith)'!F12))</f>
        <v>Cash CAD</v>
      </c>
      <c r="M12" s="214" t="str">
        <f t="shared" si="1"/>
        <v>EQTY.IntlUS.off</v>
      </c>
      <c r="N12" s="215">
        <f t="shared" si="2"/>
        <v>0.05</v>
      </c>
      <c r="O12" s="215">
        <f t="shared" si="3"/>
        <v>0.05</v>
      </c>
    </row>
    <row r="13" spans="5:15">
      <c r="E13" s="213" t="s">
        <v>321</v>
      </c>
      <c r="F13" s="213" t="s">
        <v>296</v>
      </c>
      <c r="G13" s="213" t="s">
        <v>283</v>
      </c>
      <c r="H13" s="213">
        <v>0.49</v>
      </c>
      <c r="I13" s="213">
        <v>0.49</v>
      </c>
      <c r="K13" s="214" t="str">
        <f t="shared" si="0"/>
        <v>Cash</v>
      </c>
      <c r="L13" s="214" t="str">
        <f>IF(E13="","",IF(COUNTIFS(Table2[[#All],[De (Lote)]],'Input_APM (Zenith)'!F13)&gt;0,INDEX(Table2[[#All],[Para (Ticker Daniel)]],MATCH('Input_APM (Zenith)'!F13,Table2[[#All],[De (Lote)]],0)),'Input_APM (Zenith)'!F13))</f>
        <v>Cash CHF</v>
      </c>
      <c r="M13" s="214" t="str">
        <f t="shared" si="1"/>
        <v>EQTY.InternacionalUS2.off</v>
      </c>
      <c r="N13" s="215">
        <f t="shared" si="2"/>
        <v>0.49</v>
      </c>
      <c r="O13" s="215">
        <f t="shared" si="3"/>
        <v>0.49</v>
      </c>
    </row>
    <row r="14" spans="5:15">
      <c r="E14" s="213" t="s">
        <v>321</v>
      </c>
      <c r="F14" s="213" t="s">
        <v>296</v>
      </c>
      <c r="G14" s="213" t="s">
        <v>282</v>
      </c>
      <c r="H14" s="213">
        <v>-2610.69</v>
      </c>
      <c r="I14" s="213">
        <v>-2610.69</v>
      </c>
      <c r="K14" s="214" t="str">
        <f t="shared" si="0"/>
        <v>Cash</v>
      </c>
      <c r="L14" s="214" t="str">
        <f>IF(E14="","",IF(COUNTIFS(Table2[[#All],[De (Lote)]],'Input_APM (Zenith)'!F14)&gt;0,INDEX(Table2[[#All],[Para (Ticker Daniel)]],MATCH('Input_APM (Zenith)'!F14,Table2[[#All],[De (Lote)]],0)),'Input_APM (Zenith)'!F14))</f>
        <v>Cash CHF</v>
      </c>
      <c r="M14" s="214" t="str">
        <f t="shared" si="1"/>
        <v>EQTY.IntlUS.off</v>
      </c>
      <c r="N14" s="215">
        <f t="shared" si="2"/>
        <v>-2610.69</v>
      </c>
      <c r="O14" s="215">
        <f t="shared" si="3"/>
        <v>-2610.69</v>
      </c>
    </row>
    <row r="15" spans="5:15">
      <c r="E15" s="213" t="s">
        <v>321</v>
      </c>
      <c r="F15" s="213" t="s">
        <v>297</v>
      </c>
      <c r="G15" s="213" t="s">
        <v>282</v>
      </c>
      <c r="H15" s="213">
        <v>0.16</v>
      </c>
      <c r="I15" s="213">
        <v>0.16</v>
      </c>
      <c r="K15" s="214" t="str">
        <f t="shared" si="0"/>
        <v>Cash</v>
      </c>
      <c r="L15" s="214" t="str">
        <f>IF(E15="","",IF(COUNTIFS(Table2[[#All],[De (Lote)]],'Input_APM (Zenith)'!F15)&gt;0,INDEX(Table2[[#All],[Para (Ticker Daniel)]],MATCH('Input_APM (Zenith)'!F15,Table2[[#All],[De (Lote)]],0)),'Input_APM (Zenith)'!F15))</f>
        <v>Cash CNH</v>
      </c>
      <c r="M15" s="214" t="str">
        <f t="shared" si="1"/>
        <v>EQTY.IntlUS.off</v>
      </c>
      <c r="N15" s="215">
        <f t="shared" si="2"/>
        <v>0.16</v>
      </c>
      <c r="O15" s="215">
        <f t="shared" si="3"/>
        <v>0.16</v>
      </c>
    </row>
    <row r="16" spans="5:15">
      <c r="E16" s="213" t="s">
        <v>321</v>
      </c>
      <c r="F16" s="213" t="s">
        <v>2126</v>
      </c>
      <c r="G16" s="213" t="s">
        <v>283</v>
      </c>
      <c r="H16" s="213">
        <v>-0.21</v>
      </c>
      <c r="I16" s="213">
        <v>-0.21</v>
      </c>
      <c r="K16" s="214" t="str">
        <f t="shared" si="0"/>
        <v>Cash</v>
      </c>
      <c r="L16" s="214" t="str">
        <f>IF(E16="","",IF(COUNTIFS(Table2[[#All],[De (Lote)]],'Input_APM (Zenith)'!F16)&gt;0,INDEX(Table2[[#All],[Para (Ticker Daniel)]],MATCH('Input_APM (Zenith)'!F16,Table2[[#All],[De (Lote)]],0)),'Input_APM (Zenith)'!F16))</f>
        <v>Cash CNY</v>
      </c>
      <c r="M16" s="214" t="str">
        <f t="shared" si="1"/>
        <v>EQTY.InternacionalUS2.off</v>
      </c>
      <c r="N16" s="215">
        <f t="shared" si="2"/>
        <v>-0.21</v>
      </c>
      <c r="O16" s="215">
        <f t="shared" si="3"/>
        <v>-0.21</v>
      </c>
    </row>
    <row r="17" spans="5:15">
      <c r="E17" s="213" t="s">
        <v>321</v>
      </c>
      <c r="F17" s="213" t="s">
        <v>2126</v>
      </c>
      <c r="G17" s="213" t="s">
        <v>282</v>
      </c>
      <c r="H17" s="213">
        <v>-10000.790000000001</v>
      </c>
      <c r="I17" s="213">
        <v>-10000.790000000001</v>
      </c>
      <c r="K17" s="214" t="str">
        <f t="shared" si="0"/>
        <v>Cash</v>
      </c>
      <c r="L17" s="214" t="str">
        <f>IF(E17="","",IF(COUNTIFS(Table2[[#All],[De (Lote)]],'Input_APM (Zenith)'!F17)&gt;0,INDEX(Table2[[#All],[Para (Ticker Daniel)]],MATCH('Input_APM (Zenith)'!F17,Table2[[#All],[De (Lote)]],0)),'Input_APM (Zenith)'!F17))</f>
        <v>Cash CNY</v>
      </c>
      <c r="M17" s="214" t="str">
        <f t="shared" si="1"/>
        <v>EQTY.IntlUS.off</v>
      </c>
      <c r="N17" s="215">
        <f t="shared" si="2"/>
        <v>-10000.790000000001</v>
      </c>
      <c r="O17" s="215">
        <f t="shared" si="3"/>
        <v>-10000.790000000001</v>
      </c>
    </row>
    <row r="18" spans="5:15">
      <c r="E18" s="213" t="s">
        <v>321</v>
      </c>
      <c r="F18" s="213" t="s">
        <v>298</v>
      </c>
      <c r="G18" s="213" t="s">
        <v>283</v>
      </c>
      <c r="H18" s="213">
        <v>0.47</v>
      </c>
      <c r="I18" s="213">
        <v>0.47</v>
      </c>
      <c r="K18" s="214" t="str">
        <f t="shared" si="0"/>
        <v>Cash</v>
      </c>
      <c r="L18" s="214" t="str">
        <f>IF(E18="","",IF(COUNTIFS(Table2[[#All],[De (Lote)]],'Input_APM (Zenith)'!F18)&gt;0,INDEX(Table2[[#All],[Para (Ticker Daniel)]],MATCH('Input_APM (Zenith)'!F18,Table2[[#All],[De (Lote)]],0)),'Input_APM (Zenith)'!F18))</f>
        <v>Cash EUR</v>
      </c>
      <c r="M18" s="214" t="str">
        <f t="shared" si="1"/>
        <v>EQTY.InternacionalUS2.off</v>
      </c>
      <c r="N18" s="215">
        <f t="shared" si="2"/>
        <v>0.47</v>
      </c>
      <c r="O18" s="215">
        <f t="shared" si="3"/>
        <v>0.47</v>
      </c>
    </row>
    <row r="19" spans="5:15">
      <c r="E19" s="213" t="s">
        <v>321</v>
      </c>
      <c r="F19" s="213" t="s">
        <v>298</v>
      </c>
      <c r="G19" s="213" t="s">
        <v>282</v>
      </c>
      <c r="H19" s="213">
        <v>3233.9</v>
      </c>
      <c r="I19" s="213">
        <v>3233.9</v>
      </c>
      <c r="K19" s="214" t="str">
        <f t="shared" si="0"/>
        <v>Cash</v>
      </c>
      <c r="L19" s="214" t="str">
        <f>IF(E19="","",IF(COUNTIFS(Table2[[#All],[De (Lote)]],'Input_APM (Zenith)'!F19)&gt;0,INDEX(Table2[[#All],[Para (Ticker Daniel)]],MATCH('Input_APM (Zenith)'!F19,Table2[[#All],[De (Lote)]],0)),'Input_APM (Zenith)'!F19))</f>
        <v>Cash EUR</v>
      </c>
      <c r="M19" s="214" t="str">
        <f t="shared" si="1"/>
        <v>EQTY.IntlUS.off</v>
      </c>
      <c r="N19" s="215">
        <f t="shared" si="2"/>
        <v>3233.9</v>
      </c>
      <c r="O19" s="215">
        <f t="shared" si="3"/>
        <v>3233.9</v>
      </c>
    </row>
    <row r="20" spans="5:15">
      <c r="E20" s="213" t="s">
        <v>321</v>
      </c>
      <c r="F20" s="213" t="s">
        <v>299</v>
      </c>
      <c r="G20" s="213" t="s">
        <v>282</v>
      </c>
      <c r="H20" s="213">
        <v>0.82</v>
      </c>
      <c r="I20" s="213">
        <v>0.82</v>
      </c>
      <c r="K20" s="214" t="str">
        <f t="shared" si="0"/>
        <v>Cash</v>
      </c>
      <c r="L20" s="214" t="str">
        <f>IF(E20="","",IF(COUNTIFS(Table2[[#All],[De (Lote)]],'Input_APM (Zenith)'!F20)&gt;0,INDEX(Table2[[#All],[Para (Ticker Daniel)]],MATCH('Input_APM (Zenith)'!F20,Table2[[#All],[De (Lote)]],0)),'Input_APM (Zenith)'!F20))</f>
        <v>Cash GBP</v>
      </c>
      <c r="M20" s="214" t="str">
        <f t="shared" si="1"/>
        <v>EQTY.IntlUS.off</v>
      </c>
      <c r="N20" s="215">
        <f t="shared" si="2"/>
        <v>0.82</v>
      </c>
      <c r="O20" s="215">
        <f t="shared" si="3"/>
        <v>0.82</v>
      </c>
    </row>
    <row r="21" spans="5:15">
      <c r="E21" s="213" t="s">
        <v>321</v>
      </c>
      <c r="F21" s="213" t="s">
        <v>300</v>
      </c>
      <c r="G21" s="213" t="s">
        <v>283</v>
      </c>
      <c r="H21" s="213">
        <v>-0.06</v>
      </c>
      <c r="I21" s="213">
        <v>-0.06</v>
      </c>
      <c r="K21" s="214" t="str">
        <f t="shared" si="0"/>
        <v>Cash</v>
      </c>
      <c r="L21" s="214" t="str">
        <f>IF(E21="","",IF(COUNTIFS(Table2[[#All],[De (Lote)]],'Input_APM (Zenith)'!F21)&gt;0,INDEX(Table2[[#All],[Para (Ticker Daniel)]],MATCH('Input_APM (Zenith)'!F21,Table2[[#All],[De (Lote)]],0)),'Input_APM (Zenith)'!F21))</f>
        <v>Cash HKD</v>
      </c>
      <c r="M21" s="214" t="str">
        <f t="shared" si="1"/>
        <v>EQTY.InternacionalUS2.off</v>
      </c>
      <c r="N21" s="215">
        <f t="shared" si="2"/>
        <v>-0.06</v>
      </c>
      <c r="O21" s="215">
        <f t="shared" si="3"/>
        <v>-0.06</v>
      </c>
    </row>
    <row r="22" spans="5:15">
      <c r="E22" s="213" t="s">
        <v>321</v>
      </c>
      <c r="F22" s="213" t="s">
        <v>300</v>
      </c>
      <c r="G22" s="213" t="s">
        <v>282</v>
      </c>
      <c r="H22" s="213">
        <v>-17957.060000000001</v>
      </c>
      <c r="I22" s="213">
        <v>-17957.060000000001</v>
      </c>
      <c r="K22" s="214" t="str">
        <f t="shared" si="0"/>
        <v>Cash</v>
      </c>
      <c r="L22" s="214" t="str">
        <f>IF(E22="","",IF(COUNTIFS(Table2[[#All],[De (Lote)]],'Input_APM (Zenith)'!F22)&gt;0,INDEX(Table2[[#All],[Para (Ticker Daniel)]],MATCH('Input_APM (Zenith)'!F22,Table2[[#All],[De (Lote)]],0)),'Input_APM (Zenith)'!F22))</f>
        <v>Cash HKD</v>
      </c>
      <c r="M22" s="214" t="str">
        <f t="shared" si="1"/>
        <v>EQTY.IntlUS.off</v>
      </c>
      <c r="N22" s="215">
        <f t="shared" si="2"/>
        <v>-17957.060000000001</v>
      </c>
      <c r="O22" s="215">
        <f t="shared" si="3"/>
        <v>-17957.060000000001</v>
      </c>
    </row>
    <row r="23" spans="5:15">
      <c r="E23" s="213" t="s">
        <v>321</v>
      </c>
      <c r="F23" s="213" t="s">
        <v>301</v>
      </c>
      <c r="G23" s="213" t="s">
        <v>282</v>
      </c>
      <c r="H23" s="213">
        <v>-0.01</v>
      </c>
      <c r="I23" s="213">
        <v>-0.01</v>
      </c>
      <c r="K23" s="214" t="str">
        <f t="shared" si="0"/>
        <v>Cash</v>
      </c>
      <c r="L23" s="214" t="str">
        <f>IF(E23="","",IF(COUNTIFS(Table2[[#All],[De (Lote)]],'Input_APM (Zenith)'!F23)&gt;0,INDEX(Table2[[#All],[Para (Ticker Daniel)]],MATCH('Input_APM (Zenith)'!F23,Table2[[#All],[De (Lote)]],0)),'Input_APM (Zenith)'!F23))</f>
        <v>Cash KRW</v>
      </c>
      <c r="M23" s="214" t="str">
        <f t="shared" si="1"/>
        <v>EQTY.IntlUS.off</v>
      </c>
      <c r="N23" s="215">
        <f t="shared" si="2"/>
        <v>-0.01</v>
      </c>
      <c r="O23" s="215">
        <f t="shared" si="3"/>
        <v>-0.01</v>
      </c>
    </row>
    <row r="24" spans="5:15">
      <c r="E24" s="213" t="s">
        <v>321</v>
      </c>
      <c r="F24" s="213" t="s">
        <v>302</v>
      </c>
      <c r="G24" s="213" t="s">
        <v>282</v>
      </c>
      <c r="H24" s="213">
        <v>14568.21385591</v>
      </c>
      <c r="I24" s="213">
        <v>3.8559100000000002E-3</v>
      </c>
      <c r="K24" s="214" t="str">
        <f t="shared" si="0"/>
        <v>Cash</v>
      </c>
      <c r="L24" s="214" t="str">
        <f>IF(E24="","",IF(COUNTIFS(Table2[[#All],[De (Lote)]],'Input_APM (Zenith)'!F24)&gt;0,INDEX(Table2[[#All],[Para (Ticker Daniel)]],MATCH('Input_APM (Zenith)'!F24,Table2[[#All],[De (Lote)]],0)),'Input_APM (Zenith)'!F24))</f>
        <v>Cash USD</v>
      </c>
      <c r="M24" s="214" t="str">
        <f t="shared" si="1"/>
        <v>EQTY.IntlUS.off</v>
      </c>
      <c r="N24" s="215">
        <f t="shared" si="2"/>
        <v>14568.21385591</v>
      </c>
      <c r="O24" s="215">
        <f t="shared" si="3"/>
        <v>3.8559100000000002E-3</v>
      </c>
    </row>
    <row r="25" spans="5:15">
      <c r="E25" s="213" t="s">
        <v>477</v>
      </c>
      <c r="F25" s="213" t="s">
        <v>1906</v>
      </c>
      <c r="G25" s="213" t="s">
        <v>282</v>
      </c>
      <c r="H25" s="213">
        <v>375000</v>
      </c>
      <c r="I25" s="213">
        <v>375000</v>
      </c>
      <c r="K25" s="214" t="str">
        <f t="shared" si="0"/>
        <v>CDS</v>
      </c>
      <c r="L25" s="214" t="str">
        <f>IF(E25="","",IF(COUNTIFS(Table2[[#All],[De (Lote)]],'Input_APM (Zenith)'!F25)&gt;0,INDEX(Table2[[#All],[Para (Ticker Daniel)]],MATCH('Input_APM (Zenith)'!F25,Table2[[#All],[De (Lote)]],0)),'Input_APM (Zenith)'!F25))</f>
        <v>CHINAGOV 12/20/30</v>
      </c>
      <c r="M25" s="214" t="str">
        <f t="shared" si="1"/>
        <v>EQTY.IntlUS.off</v>
      </c>
      <c r="N25" s="215">
        <f t="shared" si="2"/>
        <v>375000</v>
      </c>
      <c r="O25" s="215">
        <f t="shared" si="3"/>
        <v>375000</v>
      </c>
    </row>
    <row r="26" spans="5:15">
      <c r="E26" s="213" t="s">
        <v>317</v>
      </c>
      <c r="F26" s="213" t="s">
        <v>2373</v>
      </c>
      <c r="G26" s="213" t="s">
        <v>282</v>
      </c>
      <c r="H26" s="213">
        <v>1114</v>
      </c>
      <c r="I26" s="213">
        <v>0</v>
      </c>
      <c r="K26" s="214" t="str">
        <f t="shared" si="0"/>
        <v>US Equity</v>
      </c>
      <c r="L26" s="214" t="str">
        <f>IF(E26="","",IF(COUNTIFS(Table2[[#All],[De (Lote)]],'Input_APM (Zenith)'!F26)&gt;0,INDEX(Table2[[#All],[Para (Ticker Daniel)]],MATCH('Input_APM (Zenith)'!F26,Table2[[#All],[De (Lote)]],0)),'Input_APM (Zenith)'!F26))</f>
        <v>CSCO</v>
      </c>
      <c r="M26" s="214" t="str">
        <f t="shared" si="1"/>
        <v>EQTY.IntlUS.off</v>
      </c>
      <c r="N26" s="215">
        <f t="shared" si="2"/>
        <v>1114</v>
      </c>
      <c r="O26" s="215">
        <f t="shared" si="3"/>
        <v>0</v>
      </c>
    </row>
    <row r="27" spans="5:15">
      <c r="E27" s="213" t="s">
        <v>318</v>
      </c>
      <c r="F27" s="213" t="s">
        <v>2284</v>
      </c>
      <c r="G27" s="213" t="s">
        <v>283</v>
      </c>
      <c r="H27" s="213">
        <v>0.01</v>
      </c>
      <c r="I27" s="213">
        <v>0.01</v>
      </c>
      <c r="K27" s="214" t="str">
        <f t="shared" si="0"/>
        <v>Provisions and Costs</v>
      </c>
      <c r="L27" s="214" t="str">
        <f>IF(E27="","",IF(COUNTIFS(Table2[[#All],[De (Lote)]],'Input_APM (Zenith)'!F27)&gt;0,INDEX(Table2[[#All],[Para (Ticker Daniel)]],MATCH('Input_APM (Zenith)'!F27,Table2[[#All],[De (Lote)]],0)),'Input_APM (Zenith)'!F27))</f>
        <v>DELL DIVIDEND_</v>
      </c>
      <c r="M27" s="214" t="str">
        <f t="shared" si="1"/>
        <v>EQTY.InternacionalUS2.off</v>
      </c>
      <c r="N27" s="215">
        <f t="shared" si="2"/>
        <v>0.01</v>
      </c>
      <c r="O27" s="215">
        <f t="shared" si="3"/>
        <v>0.01</v>
      </c>
    </row>
    <row r="28" spans="5:15">
      <c r="E28" s="213" t="s">
        <v>320</v>
      </c>
      <c r="F28" s="213" t="s">
        <v>1754</v>
      </c>
      <c r="G28" s="213" t="s">
        <v>282</v>
      </c>
      <c r="H28" s="213">
        <v>2692</v>
      </c>
      <c r="I28" s="213">
        <v>2692</v>
      </c>
      <c r="K28" s="214" t="str">
        <f t="shared" si="0"/>
        <v>ETF</v>
      </c>
      <c r="L28" s="214" t="str">
        <f>IF(E28="","",IF(COUNTIFS(Table2[[#All],[De (Lote)]],'Input_APM (Zenith)'!F28)&gt;0,INDEX(Table2[[#All],[Para (Ticker Daniel)]],MATCH('Input_APM (Zenith)'!F28,Table2[[#All],[De (Lote)]],0)),'Input_APM (Zenith)'!F28))</f>
        <v>EWY</v>
      </c>
      <c r="M28" s="214" t="str">
        <f t="shared" si="1"/>
        <v>EQTY.IntlUS.off</v>
      </c>
      <c r="N28" s="215">
        <f t="shared" si="2"/>
        <v>2692</v>
      </c>
      <c r="O28" s="215">
        <f t="shared" si="3"/>
        <v>2692</v>
      </c>
    </row>
    <row r="29" spans="5:15">
      <c r="E29" s="213" t="s">
        <v>320</v>
      </c>
      <c r="F29" s="213" t="s">
        <v>131</v>
      </c>
      <c r="G29" s="213" t="s">
        <v>282</v>
      </c>
      <c r="H29" s="213">
        <v>755</v>
      </c>
      <c r="I29" s="213">
        <v>958</v>
      </c>
      <c r="K29" s="214" t="str">
        <f t="shared" si="0"/>
        <v>ETF</v>
      </c>
      <c r="L29" s="214" t="str">
        <f>IF(E29="","",IF(COUNTIFS(Table2[[#All],[De (Lote)]],'Input_APM (Zenith)'!F29)&gt;0,INDEX(Table2[[#All],[Para (Ticker Daniel)]],MATCH('Input_APM (Zenith)'!F29,Table2[[#All],[De (Lote)]],0)),'Input_APM (Zenith)'!F29))</f>
        <v xml:space="preserve">GDX </v>
      </c>
      <c r="M29" s="214" t="str">
        <f t="shared" si="1"/>
        <v>EQTY.IntlUS.off</v>
      </c>
      <c r="N29" s="215">
        <f t="shared" si="2"/>
        <v>755</v>
      </c>
      <c r="O29" s="215">
        <f t="shared" si="3"/>
        <v>958</v>
      </c>
    </row>
    <row r="30" spans="5:15">
      <c r="E30" s="213" t="s">
        <v>324</v>
      </c>
      <c r="F30" s="213" t="s">
        <v>2274</v>
      </c>
      <c r="G30" s="213" t="s">
        <v>282</v>
      </c>
      <c r="H30" s="213">
        <v>69</v>
      </c>
      <c r="I30" s="213">
        <v>69</v>
      </c>
      <c r="K30" s="214" t="str">
        <f t="shared" si="0"/>
        <v>ETF Options</v>
      </c>
      <c r="L30" s="214" t="str">
        <f>IF(E30="","",IF(COUNTIFS(Table2[[#All],[De (Lote)]],'Input_APM (Zenith)'!F30)&gt;0,INDEX(Table2[[#All],[Para (Ticker Daniel)]],MATCH('Input_APM (Zenith)'!F30,Table2[[#All],[De (Lote)]],0)),'Input_APM (Zenith)'!F30))</f>
        <v>GDX US 09/18/26 C105</v>
      </c>
      <c r="M30" s="214" t="str">
        <f t="shared" si="1"/>
        <v>EQTY.IntlUS.off</v>
      </c>
      <c r="N30" s="215">
        <f t="shared" si="2"/>
        <v>69</v>
      </c>
      <c r="O30" s="215">
        <f t="shared" si="3"/>
        <v>69</v>
      </c>
    </row>
    <row r="31" spans="5:15">
      <c r="E31" s="213" t="s">
        <v>324</v>
      </c>
      <c r="F31" s="213" t="s">
        <v>2275</v>
      </c>
      <c r="G31" s="213" t="s">
        <v>282</v>
      </c>
      <c r="H31" s="213">
        <v>-69</v>
      </c>
      <c r="I31" s="213">
        <v>-69</v>
      </c>
      <c r="K31" s="214" t="str">
        <f t="shared" si="0"/>
        <v>ETF Options</v>
      </c>
      <c r="L31" s="214" t="str">
        <f>IF(E31="","",IF(COUNTIFS(Table2[[#All],[De (Lote)]],'Input_APM (Zenith)'!F31)&gt;0,INDEX(Table2[[#All],[Para (Ticker Daniel)]],MATCH('Input_APM (Zenith)'!F31,Table2[[#All],[De (Lote)]],0)),'Input_APM (Zenith)'!F31))</f>
        <v>GDX US 09/18/26 C115</v>
      </c>
      <c r="M31" s="214" t="str">
        <f t="shared" si="1"/>
        <v>EQTY.IntlUS.off</v>
      </c>
      <c r="N31" s="215">
        <f t="shared" si="2"/>
        <v>-69</v>
      </c>
      <c r="O31" s="215">
        <f t="shared" si="3"/>
        <v>-69</v>
      </c>
    </row>
    <row r="32" spans="5:15">
      <c r="E32" s="213" t="s">
        <v>317</v>
      </c>
      <c r="F32" s="213" t="s">
        <v>2148</v>
      </c>
      <c r="G32" s="213" t="s">
        <v>282</v>
      </c>
      <c r="H32" s="213">
        <v>648</v>
      </c>
      <c r="I32" s="213">
        <v>703</v>
      </c>
      <c r="K32" s="214" t="str">
        <f t="shared" si="0"/>
        <v>US Equity</v>
      </c>
      <c r="L32" s="214" t="str">
        <f>IF(E32="","",IF(COUNTIFS(Table2[[#All],[De (Lote)]],'Input_APM (Zenith)'!F32)&gt;0,INDEX(Table2[[#All],[Para (Ticker Daniel)]],MATCH('Input_APM (Zenith)'!F32,Table2[[#All],[De (Lote)]],0)),'Input_APM (Zenith)'!F32))</f>
        <v>GOOG</v>
      </c>
      <c r="M32" s="214" t="str">
        <f t="shared" si="1"/>
        <v>EQTY.IntlUS.off</v>
      </c>
      <c r="N32" s="215">
        <f t="shared" si="2"/>
        <v>648</v>
      </c>
      <c r="O32" s="215">
        <f t="shared" si="3"/>
        <v>703</v>
      </c>
    </row>
    <row r="33" spans="5:15">
      <c r="E33" s="213" t="s">
        <v>325</v>
      </c>
      <c r="F33" s="213" t="s">
        <v>1896</v>
      </c>
      <c r="G33" s="213" t="s">
        <v>282</v>
      </c>
      <c r="H33" s="213">
        <v>19314</v>
      </c>
      <c r="I33" s="213">
        <v>19314</v>
      </c>
      <c r="K33" s="214" t="str">
        <f t="shared" si="0"/>
        <v>Basket Index Options</v>
      </c>
      <c r="L33" s="214" t="str">
        <f>IF(E33="","",IF(COUNTIFS(Table2[[#All],[De (Lote)]],'Input_APM (Zenith)'!F33)&gt;0,INDEX(Table2[[#All],[Para (Ticker Daniel)]],MATCH('Input_APM (Zenith)'!F33,Table2[[#All],[De (Lote)]],0)),'Input_APM (Zenith)'!F33))</f>
        <v>GSC1000P 03/20/26 C104</v>
      </c>
      <c r="M33" s="214" t="str">
        <f t="shared" si="1"/>
        <v>EQTY.IntlUS.off</v>
      </c>
      <c r="N33" s="215">
        <f t="shared" si="2"/>
        <v>19314</v>
      </c>
      <c r="O33" s="215">
        <f t="shared" si="3"/>
        <v>19314</v>
      </c>
    </row>
    <row r="34" spans="5:15">
      <c r="E34" s="213" t="s">
        <v>325</v>
      </c>
      <c r="F34" s="213" t="s">
        <v>1897</v>
      </c>
      <c r="G34" s="213" t="s">
        <v>282</v>
      </c>
      <c r="H34" s="213">
        <v>-19314</v>
      </c>
      <c r="I34" s="213">
        <v>-19314</v>
      </c>
      <c r="K34" s="214" t="str">
        <f t="shared" si="0"/>
        <v>Basket Index Options</v>
      </c>
      <c r="L34" s="214" t="str">
        <f>IF(E34="","",IF(COUNTIFS(Table2[[#All],[De (Lote)]],'Input_APM (Zenith)'!F34)&gt;0,INDEX(Table2[[#All],[Para (Ticker Daniel)]],MATCH('Input_APM (Zenith)'!F34,Table2[[#All],[De (Lote)]],0)),'Input_APM (Zenith)'!F34))</f>
        <v>GSC1000P 03/20/26 C119</v>
      </c>
      <c r="M34" s="214" t="str">
        <f t="shared" si="1"/>
        <v>EQTY.IntlUS.off</v>
      </c>
      <c r="N34" s="215">
        <f t="shared" si="2"/>
        <v>-19314</v>
      </c>
      <c r="O34" s="215">
        <f t="shared" si="3"/>
        <v>-19314</v>
      </c>
    </row>
    <row r="35" spans="5:15">
      <c r="E35" s="213" t="s">
        <v>319</v>
      </c>
      <c r="F35" s="213" t="s">
        <v>2352</v>
      </c>
      <c r="G35" s="213" t="s">
        <v>282</v>
      </c>
      <c r="H35" s="213">
        <v>6</v>
      </c>
      <c r="I35" s="213">
        <v>6</v>
      </c>
      <c r="K35" s="214" t="str">
        <f t="shared" si="0"/>
        <v>US Equity Options</v>
      </c>
      <c r="L35" s="214" t="str">
        <f>IF(E35="","",IF(COUNTIFS(Table2[[#All],[De (Lote)]],'Input_APM (Zenith)'!F35)&gt;0,INDEX(Table2[[#All],[Para (Ticker Daniel)]],MATCH('Input_APM (Zenith)'!F35,Table2[[#All],[De (Lote)]],0)),'Input_APM (Zenith)'!F35))</f>
        <v>INTC US 07/17/26 C50</v>
      </c>
      <c r="M35" s="214" t="str">
        <f t="shared" si="1"/>
        <v>EQTY.IntlUS.off</v>
      </c>
      <c r="N35" s="215">
        <f t="shared" si="2"/>
        <v>6</v>
      </c>
      <c r="O35" s="215">
        <f t="shared" si="3"/>
        <v>6</v>
      </c>
    </row>
    <row r="36" spans="5:15">
      <c r="E36" s="213" t="s">
        <v>319</v>
      </c>
      <c r="F36" s="213" t="s">
        <v>2353</v>
      </c>
      <c r="G36" s="213" t="s">
        <v>282</v>
      </c>
      <c r="H36" s="213">
        <v>-9</v>
      </c>
      <c r="I36" s="213">
        <v>-9</v>
      </c>
      <c r="K36" s="214" t="str">
        <f t="shared" si="0"/>
        <v>US Equity Options</v>
      </c>
      <c r="L36" s="214" t="str">
        <f>IF(E36="","",IF(COUNTIFS(Table2[[#All],[De (Lote)]],'Input_APM (Zenith)'!F36)&gt;0,INDEX(Table2[[#All],[Para (Ticker Daniel)]],MATCH('Input_APM (Zenith)'!F36,Table2[[#All],[De (Lote)]],0)),'Input_APM (Zenith)'!F36))</f>
        <v>INTC US 07/17/26 C60</v>
      </c>
      <c r="M36" s="214" t="str">
        <f t="shared" si="1"/>
        <v>EQTY.IntlUS.off</v>
      </c>
      <c r="N36" s="215">
        <f t="shared" si="2"/>
        <v>-9</v>
      </c>
      <c r="O36" s="215">
        <f t="shared" si="3"/>
        <v>-9</v>
      </c>
    </row>
    <row r="37" spans="5:15">
      <c r="E37" s="213" t="s">
        <v>319</v>
      </c>
      <c r="F37" s="213" t="s">
        <v>2351</v>
      </c>
      <c r="G37" s="213" t="s">
        <v>282</v>
      </c>
      <c r="H37" s="213">
        <v>-9</v>
      </c>
      <c r="I37" s="213">
        <v>-9</v>
      </c>
      <c r="K37" s="214" t="str">
        <f t="shared" si="0"/>
        <v>US Equity Options</v>
      </c>
      <c r="L37" s="214" t="str">
        <f>IF(E37="","",IF(COUNTIFS(Table2[[#All],[De (Lote)]],'Input_APM (Zenith)'!F37)&gt;0,INDEX(Table2[[#All],[Para (Ticker Daniel)]],MATCH('Input_APM (Zenith)'!F37,Table2[[#All],[De (Lote)]],0)),'Input_APM (Zenith)'!F37))</f>
        <v>INTC US 07/17/26 P40</v>
      </c>
      <c r="M37" s="214" t="str">
        <f t="shared" si="1"/>
        <v>EQTY.IntlUS.off</v>
      </c>
      <c r="N37" s="215">
        <f t="shared" si="2"/>
        <v>-9</v>
      </c>
      <c r="O37" s="215">
        <f t="shared" si="3"/>
        <v>-9</v>
      </c>
    </row>
    <row r="38" spans="5:15">
      <c r="E38" s="213" t="s">
        <v>317</v>
      </c>
      <c r="F38" s="213" t="s">
        <v>2276</v>
      </c>
      <c r="G38" s="213" t="s">
        <v>282</v>
      </c>
      <c r="H38" s="213">
        <v>-718</v>
      </c>
      <c r="I38" s="213">
        <v>-626</v>
      </c>
      <c r="K38" s="214" t="str">
        <f t="shared" si="0"/>
        <v>US Equity</v>
      </c>
      <c r="L38" s="214" t="str">
        <f>IF(E38="","",IF(COUNTIFS(Table2[[#All],[De (Lote)]],'Input_APM (Zenith)'!F38)&gt;0,INDEX(Table2[[#All],[Para (Ticker Daniel)]],MATCH('Input_APM (Zenith)'!F38,Table2[[#All],[De (Lote)]],0)),'Input_APM (Zenith)'!F38))</f>
        <v>KHC</v>
      </c>
      <c r="M38" s="214" t="str">
        <f t="shared" si="1"/>
        <v>EQTY.IntlUS.off</v>
      </c>
      <c r="N38" s="215">
        <f t="shared" si="2"/>
        <v>-718</v>
      </c>
      <c r="O38" s="215">
        <f t="shared" si="3"/>
        <v>-626</v>
      </c>
    </row>
    <row r="39" spans="5:15">
      <c r="E39" s="213" t="s">
        <v>2348</v>
      </c>
      <c r="F39" s="213" t="s">
        <v>2325</v>
      </c>
      <c r="G39" s="213" t="s">
        <v>282</v>
      </c>
      <c r="H39" s="213">
        <v>685255</v>
      </c>
      <c r="I39" s="213">
        <v>685255</v>
      </c>
      <c r="K39" s="214" t="str">
        <f t="shared" si="0"/>
        <v>KOSPI 200 Index Options - KRX</v>
      </c>
      <c r="L39" s="214" t="str">
        <f>IF(E39="","",IF(COUNTIFS(Table2[[#All],[De (Lote)]],'Input_APM (Zenith)'!F39)&gt;0,INDEX(Table2[[#All],[Para (Ticker Daniel)]],MATCH('Input_APM (Zenith)'!F39,Table2[[#All],[De (Lote)]],0)),'Input_APM (Zenith)'!F39))</f>
        <v>KOSPI2 12/10/26 C1000</v>
      </c>
      <c r="M39" s="214" t="str">
        <f t="shared" si="1"/>
        <v>EQTY.IntlUS.off</v>
      </c>
      <c r="N39" s="215">
        <f t="shared" si="2"/>
        <v>685255</v>
      </c>
      <c r="O39" s="215">
        <f t="shared" si="3"/>
        <v>685255</v>
      </c>
    </row>
    <row r="40" spans="5:15">
      <c r="E40" s="213" t="s">
        <v>317</v>
      </c>
      <c r="F40" s="213" t="s">
        <v>2063</v>
      </c>
      <c r="G40" s="213" t="s">
        <v>282</v>
      </c>
      <c r="H40" s="213">
        <v>120</v>
      </c>
      <c r="I40" s="213">
        <v>120</v>
      </c>
      <c r="K40" s="214" t="str">
        <f t="shared" si="0"/>
        <v>US Equity</v>
      </c>
      <c r="L40" s="214" t="str">
        <f>IF(E40="","",IF(COUNTIFS(Table2[[#All],[De (Lote)]],'Input_APM (Zenith)'!F40)&gt;0,INDEX(Table2[[#All],[Para (Ticker Daniel)]],MATCH('Input_APM (Zenith)'!F40,Table2[[#All],[De (Lote)]],0)),'Input_APM (Zenith)'!F40))</f>
        <v>LITE</v>
      </c>
      <c r="M40" s="214" t="str">
        <f t="shared" si="1"/>
        <v>EQTY.IntlUS.off</v>
      </c>
      <c r="N40" s="215">
        <f t="shared" si="2"/>
        <v>120</v>
      </c>
      <c r="O40" s="215">
        <f t="shared" si="3"/>
        <v>120</v>
      </c>
    </row>
    <row r="41" spans="5:15">
      <c r="E41" s="213" t="s">
        <v>319</v>
      </c>
      <c r="F41" s="213" t="s">
        <v>2304</v>
      </c>
      <c r="G41" s="213" t="s">
        <v>282</v>
      </c>
      <c r="H41" s="213">
        <v>4</v>
      </c>
      <c r="I41" s="213">
        <v>4</v>
      </c>
      <c r="K41" s="214" t="str">
        <f t="shared" si="0"/>
        <v>US Equity Options</v>
      </c>
      <c r="L41" s="214" t="str">
        <f>IF(E41="","",IF(COUNTIFS(Table2[[#All],[De (Lote)]],'Input_APM (Zenith)'!F41)&gt;0,INDEX(Table2[[#All],[Para (Ticker Daniel)]],MATCH('Input_APM (Zenith)'!F41,Table2[[#All],[De (Lote)]],0)),'Input_APM (Zenith)'!F41))</f>
        <v>LITE US 03/20/26 C420</v>
      </c>
      <c r="M41" s="214" t="str">
        <f t="shared" si="1"/>
        <v>EQTY.IntlUS.off</v>
      </c>
      <c r="N41" s="215">
        <f t="shared" si="2"/>
        <v>4</v>
      </c>
      <c r="O41" s="215">
        <f t="shared" si="3"/>
        <v>4</v>
      </c>
    </row>
    <row r="42" spans="5:15">
      <c r="E42" s="213" t="s">
        <v>317</v>
      </c>
      <c r="F42" s="213" t="s">
        <v>326</v>
      </c>
      <c r="G42" s="213" t="s">
        <v>282</v>
      </c>
      <c r="H42" s="213">
        <v>0</v>
      </c>
      <c r="I42" s="213">
        <v>93</v>
      </c>
      <c r="K42" s="214" t="str">
        <f t="shared" si="0"/>
        <v>US Equity</v>
      </c>
      <c r="L42" s="214" t="str">
        <f>IF(E42="","",IF(COUNTIFS(Table2[[#All],[De (Lote)]],'Input_APM (Zenith)'!F42)&gt;0,INDEX(Table2[[#All],[Para (Ticker Daniel)]],MATCH('Input_APM (Zenith)'!F42,Table2[[#All],[De (Lote)]],0)),'Input_APM (Zenith)'!F42))</f>
        <v>META</v>
      </c>
      <c r="M42" s="214" t="str">
        <f t="shared" si="1"/>
        <v>EQTY.IntlUS.off</v>
      </c>
      <c r="N42" s="215">
        <f t="shared" si="2"/>
        <v>0</v>
      </c>
      <c r="O42" s="215">
        <f t="shared" si="3"/>
        <v>93</v>
      </c>
    </row>
    <row r="43" spans="5:15">
      <c r="E43" s="213" t="s">
        <v>319</v>
      </c>
      <c r="F43" s="213" t="s">
        <v>2068</v>
      </c>
      <c r="G43" s="213" t="s">
        <v>282</v>
      </c>
      <c r="H43" s="213">
        <v>3</v>
      </c>
      <c r="I43" s="213">
        <v>3</v>
      </c>
      <c r="K43" s="214" t="str">
        <f t="shared" si="0"/>
        <v>US Equity Options</v>
      </c>
      <c r="L43" s="214" t="str">
        <f>IF(E43="","",IF(COUNTIFS(Table2[[#All],[De (Lote)]],'Input_APM (Zenith)'!F43)&gt;0,INDEX(Table2[[#All],[Para (Ticker Daniel)]],MATCH('Input_APM (Zenith)'!F43,Table2[[#All],[De (Lote)]],0)),'Input_APM (Zenith)'!F43))</f>
        <v>META US 04/17/26 C690</v>
      </c>
      <c r="M43" s="214" t="str">
        <f t="shared" si="1"/>
        <v>EQTY.IntlUS.off</v>
      </c>
      <c r="N43" s="215">
        <f t="shared" si="2"/>
        <v>3</v>
      </c>
      <c r="O43" s="215">
        <f t="shared" si="3"/>
        <v>3</v>
      </c>
    </row>
    <row r="44" spans="5:15">
      <c r="E44" s="213" t="s">
        <v>319</v>
      </c>
      <c r="F44" s="213" t="s">
        <v>2307</v>
      </c>
      <c r="G44" s="213" t="s">
        <v>282</v>
      </c>
      <c r="H44" s="213">
        <v>2</v>
      </c>
      <c r="I44" s="213">
        <v>2</v>
      </c>
      <c r="K44" s="214" t="str">
        <f t="shared" si="0"/>
        <v>US Equity Options</v>
      </c>
      <c r="L44" s="214" t="str">
        <f>IF(E44="","",IF(COUNTIFS(Table2[[#All],[De (Lote)]],'Input_APM (Zenith)'!F44)&gt;0,INDEX(Table2[[#All],[Para (Ticker Daniel)]],MATCH('Input_APM (Zenith)'!F44,Table2[[#All],[De (Lote)]],0)),'Input_APM (Zenith)'!F44))</f>
        <v>META US 07/17/26 C670</v>
      </c>
      <c r="M44" s="214" t="str">
        <f t="shared" si="1"/>
        <v>EQTY.IntlUS.off</v>
      </c>
      <c r="N44" s="215">
        <f t="shared" si="2"/>
        <v>2</v>
      </c>
      <c r="O44" s="215">
        <f t="shared" si="3"/>
        <v>2</v>
      </c>
    </row>
    <row r="45" spans="5:15">
      <c r="E45" s="213" t="s">
        <v>317</v>
      </c>
      <c r="F45" s="213" t="s">
        <v>138</v>
      </c>
      <c r="G45" s="213" t="s">
        <v>282</v>
      </c>
      <c r="H45" s="213">
        <v>-3</v>
      </c>
      <c r="I45" s="213">
        <v>-3</v>
      </c>
      <c r="K45" s="214" t="str">
        <f t="shared" si="0"/>
        <v>US Equity</v>
      </c>
      <c r="L45" s="214" t="str">
        <f>IF(E45="","",IF(COUNTIFS(Table2[[#All],[De (Lote)]],'Input_APM (Zenith)'!F45)&gt;0,INDEX(Table2[[#All],[Para (Ticker Daniel)]],MATCH('Input_APM (Zenith)'!F45,Table2[[#All],[De (Lote)]],0)),'Input_APM (Zenith)'!F45))</f>
        <v>MRVL</v>
      </c>
      <c r="M45" s="214" t="str">
        <f t="shared" si="1"/>
        <v>EQTY.IntlUS.off</v>
      </c>
      <c r="N45" s="215">
        <f t="shared" si="2"/>
        <v>-3</v>
      </c>
      <c r="O45" s="215">
        <f t="shared" si="3"/>
        <v>-3</v>
      </c>
    </row>
    <row r="46" spans="5:15">
      <c r="E46" s="213" t="s">
        <v>319</v>
      </c>
      <c r="F46" s="213" t="s">
        <v>2287</v>
      </c>
      <c r="G46" s="213" t="s">
        <v>282</v>
      </c>
      <c r="H46" s="213">
        <v>-9</v>
      </c>
      <c r="I46" s="213">
        <v>-9</v>
      </c>
      <c r="K46" s="214" t="str">
        <f t="shared" si="0"/>
        <v>US Equity Options</v>
      </c>
      <c r="L46" s="214" t="str">
        <f>IF(E46="","",IF(COUNTIFS(Table2[[#All],[De (Lote)]],'Input_APM (Zenith)'!F46)&gt;0,INDEX(Table2[[#All],[Para (Ticker Daniel)]],MATCH('Input_APM (Zenith)'!F46,Table2[[#All],[De (Lote)]],0)),'Input_APM (Zenith)'!F46))</f>
        <v>MRVL US 03/20/26 P70</v>
      </c>
      <c r="M46" s="214" t="str">
        <f t="shared" si="1"/>
        <v>EQTY.IntlUS.off</v>
      </c>
      <c r="N46" s="215">
        <f t="shared" si="2"/>
        <v>-9</v>
      </c>
      <c r="O46" s="215">
        <f t="shared" si="3"/>
        <v>-9</v>
      </c>
    </row>
    <row r="47" spans="5:15">
      <c r="E47" s="213" t="s">
        <v>319</v>
      </c>
      <c r="F47" s="213" t="s">
        <v>2098</v>
      </c>
      <c r="G47" s="213" t="s">
        <v>282</v>
      </c>
      <c r="H47" s="213">
        <v>-12</v>
      </c>
      <c r="I47" s="213">
        <v>-12</v>
      </c>
      <c r="K47" s="214" t="str">
        <f t="shared" si="0"/>
        <v>US Equity Options</v>
      </c>
      <c r="L47" s="214" t="str">
        <f>IF(E47="","",IF(COUNTIFS(Table2[[#All],[De (Lote)]],'Input_APM (Zenith)'!F47)&gt;0,INDEX(Table2[[#All],[Para (Ticker Daniel)]],MATCH('Input_APM (Zenith)'!F47,Table2[[#All],[De (Lote)]],0)),'Input_APM (Zenith)'!F47))</f>
        <v>MRVL US 03/20/26 P75</v>
      </c>
      <c r="M47" s="214" t="str">
        <f t="shared" si="1"/>
        <v>EQTY.IntlUS.off</v>
      </c>
      <c r="N47" s="215">
        <f t="shared" si="2"/>
        <v>-12</v>
      </c>
      <c r="O47" s="215">
        <f t="shared" si="3"/>
        <v>-12</v>
      </c>
    </row>
    <row r="48" spans="5:15">
      <c r="E48" s="213" t="s">
        <v>319</v>
      </c>
      <c r="F48" s="213" t="s">
        <v>2058</v>
      </c>
      <c r="G48" s="213" t="s">
        <v>282</v>
      </c>
      <c r="H48" s="213">
        <v>9</v>
      </c>
      <c r="I48" s="213">
        <v>9</v>
      </c>
      <c r="K48" s="214" t="str">
        <f t="shared" si="0"/>
        <v>US Equity Options</v>
      </c>
      <c r="L48" s="214" t="str">
        <f>IF(E48="","",IF(COUNTIFS(Table2[[#All],[De (Lote)]],'Input_APM (Zenith)'!F48)&gt;0,INDEX(Table2[[#All],[Para (Ticker Daniel)]],MATCH('Input_APM (Zenith)'!F48,Table2[[#All],[De (Lote)]],0)),'Input_APM (Zenith)'!F48))</f>
        <v>MRVL US 03/20/26 P80</v>
      </c>
      <c r="M48" s="214" t="str">
        <f t="shared" si="1"/>
        <v>EQTY.IntlUS.off</v>
      </c>
      <c r="N48" s="215">
        <f t="shared" si="2"/>
        <v>9</v>
      </c>
      <c r="O48" s="215">
        <f t="shared" si="3"/>
        <v>9</v>
      </c>
    </row>
    <row r="49" spans="5:15">
      <c r="E49" s="213" t="s">
        <v>319</v>
      </c>
      <c r="F49" s="213" t="s">
        <v>2097</v>
      </c>
      <c r="G49" s="213" t="s">
        <v>282</v>
      </c>
      <c r="H49" s="213">
        <v>14</v>
      </c>
      <c r="I49" s="213">
        <v>14</v>
      </c>
      <c r="K49" s="214" t="str">
        <f t="shared" si="0"/>
        <v>US Equity Options</v>
      </c>
      <c r="L49" s="214" t="str">
        <f>IF(E49="","",IF(COUNTIFS(Table2[[#All],[De (Lote)]],'Input_APM (Zenith)'!F49)&gt;0,INDEX(Table2[[#All],[Para (Ticker Daniel)]],MATCH('Input_APM (Zenith)'!F49,Table2[[#All],[De (Lote)]],0)),'Input_APM (Zenith)'!F49))</f>
        <v>MRVL US 03/20/26 P85</v>
      </c>
      <c r="M49" s="214" t="str">
        <f t="shared" si="1"/>
        <v>EQTY.IntlUS.off</v>
      </c>
      <c r="N49" s="215">
        <f t="shared" si="2"/>
        <v>14</v>
      </c>
      <c r="O49" s="215">
        <f t="shared" si="3"/>
        <v>14</v>
      </c>
    </row>
    <row r="50" spans="5:15">
      <c r="E50" s="213" t="s">
        <v>317</v>
      </c>
      <c r="F50" s="213" t="s">
        <v>90</v>
      </c>
      <c r="G50" s="213" t="s">
        <v>282</v>
      </c>
      <c r="H50" s="213">
        <v>165</v>
      </c>
      <c r="I50" s="213">
        <v>242</v>
      </c>
      <c r="K50" s="214" t="str">
        <f t="shared" si="0"/>
        <v>US Equity</v>
      </c>
      <c r="L50" s="214" t="str">
        <f>IF(E50="","",IF(COUNTIFS(Table2[[#All],[De (Lote)]],'Input_APM (Zenith)'!F50)&gt;0,INDEX(Table2[[#All],[Para (Ticker Daniel)]],MATCH('Input_APM (Zenith)'!F50,Table2[[#All],[De (Lote)]],0)),'Input_APM (Zenith)'!F50))</f>
        <v>MSFT</v>
      </c>
      <c r="M50" s="214" t="str">
        <f t="shared" si="1"/>
        <v>EQTY.IntlUS.off</v>
      </c>
      <c r="N50" s="215">
        <f t="shared" si="2"/>
        <v>165</v>
      </c>
      <c r="O50" s="215">
        <f t="shared" si="3"/>
        <v>242</v>
      </c>
    </row>
    <row r="51" spans="5:15">
      <c r="E51" s="213" t="s">
        <v>319</v>
      </c>
      <c r="F51" s="213" t="s">
        <v>2049</v>
      </c>
      <c r="G51" s="213" t="s">
        <v>282</v>
      </c>
      <c r="H51" s="213">
        <v>-4</v>
      </c>
      <c r="I51" s="213">
        <v>-4</v>
      </c>
      <c r="K51" s="214" t="str">
        <f t="shared" si="0"/>
        <v>US Equity Options</v>
      </c>
      <c r="L51" s="214" t="str">
        <f>IF(E51="","",IF(COUNTIFS(Table2[[#All],[De (Lote)]],'Input_APM (Zenith)'!F51)&gt;0,INDEX(Table2[[#All],[Para (Ticker Daniel)]],MATCH('Input_APM (Zenith)'!F51,Table2[[#All],[De (Lote)]],0)),'Input_APM (Zenith)'!F51))</f>
        <v>MSFT US 03/20/26 P465</v>
      </c>
      <c r="M51" s="214" t="str">
        <f t="shared" si="1"/>
        <v>EQTY.IntlUS.off</v>
      </c>
      <c r="N51" s="215">
        <f t="shared" si="2"/>
        <v>-4</v>
      </c>
      <c r="O51" s="215">
        <f t="shared" si="3"/>
        <v>-4</v>
      </c>
    </row>
    <row r="52" spans="5:15">
      <c r="E52" s="213" t="s">
        <v>319</v>
      </c>
      <c r="F52" s="213" t="s">
        <v>2309</v>
      </c>
      <c r="G52" s="213" t="s">
        <v>282</v>
      </c>
      <c r="H52" s="213">
        <v>0</v>
      </c>
      <c r="I52" s="213">
        <v>1</v>
      </c>
      <c r="K52" s="214" t="str">
        <f t="shared" si="0"/>
        <v>US Equity Options</v>
      </c>
      <c r="L52" s="214" t="str">
        <f>IF(E52="","",IF(COUNTIFS(Table2[[#All],[De (Lote)]],'Input_APM (Zenith)'!F52)&gt;0,INDEX(Table2[[#All],[Para (Ticker Daniel)]],MATCH('Input_APM (Zenith)'!F52,Table2[[#All],[De (Lote)]],0)),'Input_APM (Zenith)'!F52))</f>
        <v>MSFT US 07/17/26 C465</v>
      </c>
      <c r="M52" s="214" t="str">
        <f t="shared" si="1"/>
        <v>EQTY.IntlUS.off</v>
      </c>
      <c r="N52" s="215">
        <f t="shared" si="2"/>
        <v>0</v>
      </c>
      <c r="O52" s="215">
        <f t="shared" si="3"/>
        <v>1</v>
      </c>
    </row>
    <row r="53" spans="5:15">
      <c r="E53" s="213" t="s">
        <v>319</v>
      </c>
      <c r="F53" s="213" t="s">
        <v>2354</v>
      </c>
      <c r="G53" s="213" t="s">
        <v>282</v>
      </c>
      <c r="H53" s="213">
        <v>6</v>
      </c>
      <c r="I53" s="213">
        <v>5</v>
      </c>
      <c r="K53" s="214" t="str">
        <f t="shared" si="0"/>
        <v>US Equity Options</v>
      </c>
      <c r="L53" s="214" t="str">
        <f>IF(E53="","",IF(COUNTIFS(Table2[[#All],[De (Lote)]],'Input_APM (Zenith)'!F53)&gt;0,INDEX(Table2[[#All],[Para (Ticker Daniel)]],MATCH('Input_APM (Zenith)'!F53,Table2[[#All],[De (Lote)]],0)),'Input_APM (Zenith)'!F53))</f>
        <v>MSFT US 07/17/26 C475</v>
      </c>
      <c r="M53" s="214" t="str">
        <f t="shared" si="1"/>
        <v>EQTY.IntlUS.off</v>
      </c>
      <c r="N53" s="215">
        <f t="shared" si="2"/>
        <v>6</v>
      </c>
      <c r="O53" s="215">
        <f t="shared" si="3"/>
        <v>5</v>
      </c>
    </row>
    <row r="54" spans="5:15">
      <c r="E54" s="213" t="s">
        <v>317</v>
      </c>
      <c r="F54" s="213" t="s">
        <v>94</v>
      </c>
      <c r="G54" s="213" t="s">
        <v>282</v>
      </c>
      <c r="H54" s="213">
        <v>1486</v>
      </c>
      <c r="I54" s="213">
        <v>1486</v>
      </c>
      <c r="K54" s="214" t="str">
        <f t="shared" si="0"/>
        <v>US Equity</v>
      </c>
      <c r="L54" s="214" t="str">
        <f>IF(E54="","",IF(COUNTIFS(Table2[[#All],[De (Lote)]],'Input_APM (Zenith)'!F54)&gt;0,INDEX(Table2[[#All],[Para (Ticker Daniel)]],MATCH('Input_APM (Zenith)'!F54,Table2[[#All],[De (Lote)]],0)),'Input_APM (Zenith)'!F54))</f>
        <v>NVDA</v>
      </c>
      <c r="M54" s="214" t="str">
        <f t="shared" si="1"/>
        <v>EQTY.IntlUS.off</v>
      </c>
      <c r="N54" s="215">
        <f t="shared" si="2"/>
        <v>1486</v>
      </c>
      <c r="O54" s="215">
        <f t="shared" si="3"/>
        <v>1486</v>
      </c>
    </row>
    <row r="55" spans="5:15">
      <c r="E55" s="213" t="s">
        <v>318</v>
      </c>
      <c r="F55" s="213" t="s">
        <v>2311</v>
      </c>
      <c r="G55" s="213" t="s">
        <v>282</v>
      </c>
      <c r="H55" s="213">
        <v>-4830</v>
      </c>
      <c r="I55" s="213">
        <v>5310</v>
      </c>
      <c r="K55" s="214" t="str">
        <f t="shared" si="0"/>
        <v>Provisions and Costs</v>
      </c>
      <c r="L55" s="214" t="str">
        <f>IF(E55="","",IF(COUNTIFS(Table2[[#All],[De (Lote)]],'Input_APM (Zenith)'!F55)&gt;0,INDEX(Table2[[#All],[Para (Ticker Daniel)]],MATCH('Input_APM (Zenith)'!F55,Table2[[#All],[De (Lote)]],0)),'Input_APM (Zenith)'!F55))</f>
        <v>Provision CME USD_</v>
      </c>
      <c r="M55" s="214" t="str">
        <f t="shared" si="1"/>
        <v>EQTY.IntlUS.off</v>
      </c>
      <c r="N55" s="215">
        <f t="shared" si="2"/>
        <v>-4830</v>
      </c>
      <c r="O55" s="215">
        <f t="shared" si="3"/>
        <v>5310</v>
      </c>
    </row>
    <row r="56" spans="5:15">
      <c r="E56" s="213" t="s">
        <v>318</v>
      </c>
      <c r="F56" s="213" t="s">
        <v>336</v>
      </c>
      <c r="G56" s="213" t="s">
        <v>282</v>
      </c>
      <c r="H56" s="213">
        <v>0</v>
      </c>
      <c r="I56" s="213">
        <v>8552</v>
      </c>
      <c r="K56" s="214" t="str">
        <f t="shared" si="0"/>
        <v>Provisions and Costs</v>
      </c>
      <c r="L56" s="214" t="str">
        <f>IF(E56="","",IF(COUNTIFS(Table2[[#All],[De (Lote)]],'Input_APM (Zenith)'!F56)&gt;0,INDEX(Table2[[#All],[Para (Ticker Daniel)]],MATCH('Input_APM (Zenith)'!F56,Table2[[#All],[De (Lote)]],0)),'Input_APM (Zenith)'!F56))</f>
        <v>Provision ETF Options USD_</v>
      </c>
      <c r="M56" s="214" t="str">
        <f t="shared" si="1"/>
        <v>EQTY.IntlUS.off</v>
      </c>
      <c r="N56" s="215">
        <f t="shared" si="2"/>
        <v>0</v>
      </c>
      <c r="O56" s="215">
        <f t="shared" si="3"/>
        <v>8552</v>
      </c>
    </row>
    <row r="57" spans="5:15">
      <c r="E57" s="213" t="s">
        <v>318</v>
      </c>
      <c r="F57" s="213" t="s">
        <v>306</v>
      </c>
      <c r="G57" s="213" t="s">
        <v>282</v>
      </c>
      <c r="H57" s="213">
        <v>22059.64</v>
      </c>
      <c r="I57" s="213">
        <v>158524.81</v>
      </c>
      <c r="K57" s="214" t="str">
        <f t="shared" si="0"/>
        <v>Provisions and Costs</v>
      </c>
      <c r="L57" s="214" t="str">
        <f>IF(E57="","",IF(COUNTIFS(Table2[[#All],[De (Lote)]],'Input_APM (Zenith)'!F57)&gt;0,INDEX(Table2[[#All],[Para (Ticker Daniel)]],MATCH('Input_APM (Zenith)'!F57,Table2[[#All],[De (Lote)]],0)),'Input_APM (Zenith)'!F57))</f>
        <v>Provision ETF USD_</v>
      </c>
      <c r="M57" s="214" t="str">
        <f t="shared" si="1"/>
        <v>EQTY.IntlUS.off</v>
      </c>
      <c r="N57" s="215">
        <f t="shared" si="2"/>
        <v>22059.64</v>
      </c>
      <c r="O57" s="215">
        <f t="shared" si="3"/>
        <v>158524.81</v>
      </c>
    </row>
    <row r="58" spans="5:15">
      <c r="E58" s="213" t="s">
        <v>318</v>
      </c>
      <c r="F58" s="213" t="s">
        <v>2349</v>
      </c>
      <c r="G58" s="213" t="s">
        <v>282</v>
      </c>
      <c r="H58" s="213">
        <v>0</v>
      </c>
      <c r="I58" s="213">
        <v>-7833.15</v>
      </c>
      <c r="K58" s="214" t="str">
        <f t="shared" si="0"/>
        <v>Provisions and Costs</v>
      </c>
      <c r="L58" s="214" t="str">
        <f>IF(E58="","",IF(COUNTIFS(Table2[[#All],[De (Lote)]],'Input_APM (Zenith)'!F58)&gt;0,INDEX(Table2[[#All],[Para (Ticker Daniel)]],MATCH('Input_APM (Zenith)'!F58,Table2[[#All],[De (Lote)]],0)),'Input_APM (Zenith)'!F58))</f>
        <v>Provision Korea Exchange USD_</v>
      </c>
      <c r="M58" s="214" t="str">
        <f t="shared" si="1"/>
        <v>EQTY.IntlUS.off</v>
      </c>
      <c r="N58" s="215">
        <f t="shared" si="2"/>
        <v>0</v>
      </c>
      <c r="O58" s="215">
        <f t="shared" si="3"/>
        <v>-7833.15</v>
      </c>
    </row>
    <row r="59" spans="5:15">
      <c r="E59" s="213" t="s">
        <v>318</v>
      </c>
      <c r="F59" s="213" t="s">
        <v>337</v>
      </c>
      <c r="G59" s="213" t="s">
        <v>282</v>
      </c>
      <c r="H59" s="213">
        <v>3283</v>
      </c>
      <c r="I59" s="213">
        <v>-12572</v>
      </c>
      <c r="K59" s="214" t="str">
        <f t="shared" si="0"/>
        <v>Provisions and Costs</v>
      </c>
      <c r="L59" s="214" t="str">
        <f>IF(E59="","",IF(COUNTIFS(Table2[[#All],[De (Lote)]],'Input_APM (Zenith)'!F59)&gt;0,INDEX(Table2[[#All],[Para (Ticker Daniel)]],MATCH('Input_APM (Zenith)'!F59,Table2[[#All],[De (Lote)]],0)),'Input_APM (Zenith)'!F59))</f>
        <v>Provision US Equity Options USD_</v>
      </c>
      <c r="M59" s="214" t="str">
        <f t="shared" si="1"/>
        <v>EQTY.IntlUS.off</v>
      </c>
      <c r="N59" s="215">
        <f t="shared" si="2"/>
        <v>3283</v>
      </c>
      <c r="O59" s="215">
        <f t="shared" si="3"/>
        <v>-12572</v>
      </c>
    </row>
    <row r="60" spans="5:15">
      <c r="E60" s="213" t="s">
        <v>318</v>
      </c>
      <c r="F60" s="213" t="s">
        <v>307</v>
      </c>
      <c r="G60" s="213" t="s">
        <v>282</v>
      </c>
      <c r="H60" s="213">
        <v>-126649.27</v>
      </c>
      <c r="I60" s="213">
        <v>-137413.45000000001</v>
      </c>
      <c r="K60" s="214" t="str">
        <f t="shared" si="0"/>
        <v>Provisions and Costs</v>
      </c>
      <c r="L60" s="214" t="str">
        <f>IF(E60="","",IF(COUNTIFS(Table2[[#All],[De (Lote)]],'Input_APM (Zenith)'!F60)&gt;0,INDEX(Table2[[#All],[Para (Ticker Daniel)]],MATCH('Input_APM (Zenith)'!F60,Table2[[#All],[De (Lote)]],0)),'Input_APM (Zenith)'!F60))</f>
        <v>Provision US Equity USD_</v>
      </c>
      <c r="M60" s="214" t="str">
        <f t="shared" si="1"/>
        <v>EQTY.IntlUS.off</v>
      </c>
      <c r="N60" s="215">
        <f t="shared" si="2"/>
        <v>-126649.27</v>
      </c>
      <c r="O60" s="215">
        <f t="shared" si="3"/>
        <v>-137413.45000000001</v>
      </c>
    </row>
    <row r="61" spans="5:15">
      <c r="E61" s="213" t="s">
        <v>317</v>
      </c>
      <c r="F61" s="213" t="s">
        <v>2131</v>
      </c>
      <c r="G61" s="213" t="s">
        <v>282</v>
      </c>
      <c r="H61" s="213">
        <v>2028</v>
      </c>
      <c r="I61" s="213">
        <v>1733</v>
      </c>
      <c r="K61" s="214" t="str">
        <f t="shared" si="0"/>
        <v>US Equity</v>
      </c>
      <c r="L61" s="214" t="str">
        <f>IF(E61="","",IF(COUNTIFS(Table2[[#All],[De (Lote)]],'Input_APM (Zenith)'!F61)&gt;0,INDEX(Table2[[#All],[Para (Ticker Daniel)]],MATCH('Input_APM (Zenith)'!F61,Table2[[#All],[De (Lote)]],0)),'Input_APM (Zenith)'!F61))</f>
        <v>RIOT</v>
      </c>
      <c r="M61" s="214" t="str">
        <f t="shared" si="1"/>
        <v>EQTY.IntlUS.off</v>
      </c>
      <c r="N61" s="215">
        <f t="shared" si="2"/>
        <v>2028</v>
      </c>
      <c r="O61" s="215">
        <f t="shared" si="3"/>
        <v>1733</v>
      </c>
    </row>
    <row r="62" spans="5:15">
      <c r="E62" s="213" t="s">
        <v>320</v>
      </c>
      <c r="F62" s="213" t="s">
        <v>3</v>
      </c>
      <c r="G62" s="213" t="s">
        <v>282</v>
      </c>
      <c r="H62" s="213">
        <v>-799</v>
      </c>
      <c r="I62" s="213">
        <v>-799</v>
      </c>
      <c r="K62" s="214" t="str">
        <f t="shared" si="0"/>
        <v>ETF</v>
      </c>
      <c r="L62" s="214" t="str">
        <f>IF(E62="","",IF(COUNTIFS(Table2[[#All],[De (Lote)]],'Input_APM (Zenith)'!F62)&gt;0,INDEX(Table2[[#All],[Para (Ticker Daniel)]],MATCH('Input_APM (Zenith)'!F62,Table2[[#All],[De (Lote)]],0)),'Input_APM (Zenith)'!F62))</f>
        <v>RSP</v>
      </c>
      <c r="M62" s="214" t="str">
        <f t="shared" si="1"/>
        <v>EQTY.IntlUS.off</v>
      </c>
      <c r="N62" s="215">
        <f t="shared" si="2"/>
        <v>-799</v>
      </c>
      <c r="O62" s="215">
        <f t="shared" si="3"/>
        <v>-799</v>
      </c>
    </row>
    <row r="63" spans="5:15">
      <c r="E63" s="213" t="s">
        <v>319</v>
      </c>
      <c r="F63" s="213" t="s">
        <v>2300</v>
      </c>
      <c r="G63" s="213" t="s">
        <v>282</v>
      </c>
      <c r="H63" s="213">
        <v>0</v>
      </c>
      <c r="I63" s="213">
        <v>1</v>
      </c>
      <c r="K63" s="214" t="str">
        <f t="shared" si="0"/>
        <v>US Equity Options</v>
      </c>
      <c r="L63" s="214" t="str">
        <f>IF(E63="","",IF(COUNTIFS(Table2[[#All],[De (Lote)]],'Input_APM (Zenith)'!F63)&gt;0,INDEX(Table2[[#All],[Para (Ticker Daniel)]],MATCH('Input_APM (Zenith)'!F63,Table2[[#All],[De (Lote)]],0)),'Input_APM (Zenith)'!F63))</f>
        <v>SNDK US 02/20/26 C550</v>
      </c>
      <c r="M63" s="214" t="str">
        <f t="shared" si="1"/>
        <v>EQTY.IntlUS.off</v>
      </c>
      <c r="N63" s="215">
        <f t="shared" si="2"/>
        <v>0</v>
      </c>
      <c r="O63" s="215">
        <f t="shared" si="3"/>
        <v>1</v>
      </c>
    </row>
    <row r="64" spans="5:15">
      <c r="E64" s="213" t="s">
        <v>2133</v>
      </c>
      <c r="F64" s="213" t="s">
        <v>2312</v>
      </c>
      <c r="G64" s="213" t="s">
        <v>282</v>
      </c>
      <c r="H64" s="213">
        <v>57</v>
      </c>
      <c r="I64" s="213">
        <v>57</v>
      </c>
      <c r="K64" s="214" t="str">
        <f t="shared" si="0"/>
        <v>Equity Total Return Swap</v>
      </c>
      <c r="L64" s="214" t="str">
        <f>IF(E64="","",IF(COUNTIFS(Table2[[#All],[De (Lote)]],'Input_APM (Zenith)'!F64)&gt;0,INDEX(Table2[[#All],[Para (Ticker Daniel)]],MATCH('Input_APM (Zenith)'!F64,Table2[[#All],[De (Lote)]],0)),'Input_APM (Zenith)'!F64))</f>
        <v>SWAP 000660 KP 23JAN2026 25JAN2027 509.6192</v>
      </c>
      <c r="M64" s="214" t="str">
        <f t="shared" si="1"/>
        <v>EQTY.IntlUS.off</v>
      </c>
      <c r="N64" s="215">
        <f t="shared" si="2"/>
        <v>57</v>
      </c>
      <c r="O64" s="215">
        <f t="shared" si="3"/>
        <v>57</v>
      </c>
    </row>
    <row r="65" spans="5:15">
      <c r="E65" s="213" t="s">
        <v>2133</v>
      </c>
      <c r="F65" s="213" t="s">
        <v>2134</v>
      </c>
      <c r="G65" s="213" t="s">
        <v>282</v>
      </c>
      <c r="H65" s="213">
        <v>100</v>
      </c>
      <c r="I65" s="213">
        <v>100</v>
      </c>
      <c r="K65" s="214" t="str">
        <f t="shared" si="0"/>
        <v>Equity Total Return Swap</v>
      </c>
      <c r="L65" s="214" t="str">
        <f>IF(E65="","",IF(COUNTIFS(Table2[[#All],[De (Lote)]],'Input_APM (Zenith)'!F65)&gt;0,INDEX(Table2[[#All],[Para (Ticker Daniel)]],MATCH('Input_APM (Zenith)'!F65,Table2[[#All],[De (Lote)]],0)),'Input_APM (Zenith)'!F65))</f>
        <v>000660 KS</v>
      </c>
      <c r="M65" s="214" t="str">
        <f t="shared" si="1"/>
        <v>EQTY.IntlUS.off</v>
      </c>
      <c r="N65" s="215">
        <f t="shared" si="2"/>
        <v>100</v>
      </c>
      <c r="O65" s="215">
        <f t="shared" si="3"/>
        <v>100</v>
      </c>
    </row>
    <row r="66" spans="5:15">
      <c r="E66" s="213" t="s">
        <v>2133</v>
      </c>
      <c r="F66" s="213" t="s">
        <v>2350</v>
      </c>
      <c r="G66" s="213" t="s">
        <v>282</v>
      </c>
      <c r="H66" s="213">
        <v>56</v>
      </c>
      <c r="I66" s="213">
        <v>56</v>
      </c>
      <c r="K66" s="214" t="str">
        <f t="shared" si="0"/>
        <v>Equity Total Return Swap</v>
      </c>
      <c r="L66" s="214" t="str">
        <f>IF(E66="","",IF(COUNTIFS(Table2[[#All],[De (Lote)]],'Input_APM (Zenith)'!F66)&gt;0,INDEX(Table2[[#All],[Para (Ticker Daniel)]],MATCH('Input_APM (Zenith)'!F66,Table2[[#All],[De (Lote)]],0)),'Input_APM (Zenith)'!F66))</f>
        <v>SWAP 000660 KS 26JAN2026 26JAN2027 509.6192</v>
      </c>
      <c r="M66" s="214" t="str">
        <f t="shared" si="1"/>
        <v>EQTY.IntlUS.off</v>
      </c>
      <c r="N66" s="215">
        <f t="shared" si="2"/>
        <v>56</v>
      </c>
      <c r="O66" s="215">
        <f t="shared" si="3"/>
        <v>56</v>
      </c>
    </row>
    <row r="67" spans="5:15">
      <c r="E67" s="213" t="s">
        <v>39</v>
      </c>
      <c r="F67" s="213" t="s">
        <v>96</v>
      </c>
      <c r="G67" s="213" t="s">
        <v>282</v>
      </c>
      <c r="H67" s="213">
        <v>294</v>
      </c>
      <c r="I67" s="213">
        <v>294</v>
      </c>
      <c r="K67" s="214" t="str">
        <f t="shared" ref="K67:K130" si="4">IF(E67="","",E67)</f>
        <v>ADR</v>
      </c>
      <c r="L67" s="214" t="str">
        <f>IF(E67="","",IF(COUNTIFS(Table2[[#All],[De (Lote)]],'Input_APM (Zenith)'!F67)&gt;0,INDEX(Table2[[#All],[Para (Ticker Daniel)]],MATCH('Input_APM (Zenith)'!F67,Table2[[#All],[De (Lote)]],0)),'Input_APM (Zenith)'!F67))</f>
        <v>TSM</v>
      </c>
      <c r="M67" s="214" t="str">
        <f t="shared" ref="M67:M130" si="5">IF(E67="","",G67)</f>
        <v>EQTY.IntlUS.off</v>
      </c>
      <c r="N67" s="215">
        <f t="shared" ref="N67:N130" si="6">IF(E67="","",H67)</f>
        <v>294</v>
      </c>
      <c r="O67" s="215">
        <f t="shared" ref="O67:O130" si="7">IF(E67="","",I67)</f>
        <v>294</v>
      </c>
    </row>
    <row r="68" spans="5:15">
      <c r="E68" s="213" t="s">
        <v>327</v>
      </c>
      <c r="F68" s="213" t="s">
        <v>2228</v>
      </c>
      <c r="G68" s="213" t="s">
        <v>282</v>
      </c>
      <c r="H68" s="213">
        <v>97</v>
      </c>
      <c r="I68" s="213">
        <v>97</v>
      </c>
      <c r="K68" s="214" t="str">
        <f t="shared" si="4"/>
        <v>ADR Options</v>
      </c>
      <c r="L68" s="214" t="str">
        <f>IF(E68="","",IF(COUNTIFS(Table2[[#All],[De (Lote)]],'Input_APM (Zenith)'!F68)&gt;0,INDEX(Table2[[#All],[Para (Ticker Daniel)]],MATCH('Input_APM (Zenith)'!F68,Table2[[#All],[De (Lote)]],0)),'Input_APM (Zenith)'!F68))</f>
        <v>TSM US 06/18/26 C340</v>
      </c>
      <c r="M68" s="214" t="str">
        <f t="shared" si="5"/>
        <v>EQTY.IntlUS.off</v>
      </c>
      <c r="N68" s="215">
        <f t="shared" si="6"/>
        <v>97</v>
      </c>
      <c r="O68" s="215">
        <f t="shared" si="7"/>
        <v>97</v>
      </c>
    </row>
    <row r="69" spans="5:15">
      <c r="E69" s="213" t="s">
        <v>327</v>
      </c>
      <c r="F69" s="213" t="s">
        <v>2229</v>
      </c>
      <c r="G69" s="213" t="s">
        <v>282</v>
      </c>
      <c r="H69" s="213">
        <v>-88</v>
      </c>
      <c r="I69" s="213">
        <v>-88</v>
      </c>
      <c r="K69" s="214" t="str">
        <f t="shared" si="4"/>
        <v>ADR Options</v>
      </c>
      <c r="L69" s="214" t="str">
        <f>IF(E69="","",IF(COUNTIFS(Table2[[#All],[De (Lote)]],'Input_APM (Zenith)'!F69)&gt;0,INDEX(Table2[[#All],[Para (Ticker Daniel)]],MATCH('Input_APM (Zenith)'!F69,Table2[[#All],[De (Lote)]],0)),'Input_APM (Zenith)'!F69))</f>
        <v>TSM US 06/18/26 C380</v>
      </c>
      <c r="M69" s="214" t="str">
        <f t="shared" si="5"/>
        <v>EQTY.IntlUS.off</v>
      </c>
      <c r="N69" s="215">
        <f t="shared" si="6"/>
        <v>-88</v>
      </c>
      <c r="O69" s="215">
        <f t="shared" si="7"/>
        <v>-88</v>
      </c>
    </row>
    <row r="70" spans="5:15">
      <c r="E70" s="213" t="s">
        <v>320</v>
      </c>
      <c r="F70" s="213" t="s">
        <v>88</v>
      </c>
      <c r="G70" s="213" t="s">
        <v>282</v>
      </c>
      <c r="H70" s="213">
        <v>2885</v>
      </c>
      <c r="I70" s="213">
        <v>2885</v>
      </c>
      <c r="K70" s="214" t="str">
        <f t="shared" si="4"/>
        <v>ETF</v>
      </c>
      <c r="L70" s="214" t="str">
        <f>IF(E70="","",IF(COUNTIFS(Table2[[#All],[De (Lote)]],'Input_APM (Zenith)'!F70)&gt;0,INDEX(Table2[[#All],[Para (Ticker Daniel)]],MATCH('Input_APM (Zenith)'!F70,Table2[[#All],[De (Lote)]],0)),'Input_APM (Zenith)'!F70))</f>
        <v>XLF</v>
      </c>
      <c r="M70" s="214" t="str">
        <f t="shared" si="5"/>
        <v>EQTY.IntlUS.off</v>
      </c>
      <c r="N70" s="215">
        <f t="shared" si="6"/>
        <v>2885</v>
      </c>
      <c r="O70" s="215">
        <f t="shared" si="7"/>
        <v>2885</v>
      </c>
    </row>
    <row r="71" spans="5:15">
      <c r="E71" s="213" t="s">
        <v>320</v>
      </c>
      <c r="F71" s="213" t="s">
        <v>4</v>
      </c>
      <c r="G71" s="213" t="s">
        <v>282</v>
      </c>
      <c r="H71" s="213">
        <v>-1735</v>
      </c>
      <c r="I71" s="213">
        <v>-1735</v>
      </c>
      <c r="K71" s="214" t="str">
        <f t="shared" si="4"/>
        <v>ETF</v>
      </c>
      <c r="L71" s="214" t="str">
        <f>IF(E71="","",IF(COUNTIFS(Table2[[#All],[De (Lote)]],'Input_APM (Zenith)'!F71)&gt;0,INDEX(Table2[[#All],[Para (Ticker Daniel)]],MATCH('Input_APM (Zenith)'!F71,Table2[[#All],[De (Lote)]],0)),'Input_APM (Zenith)'!F71))</f>
        <v>XLP</v>
      </c>
      <c r="M71" s="214" t="str">
        <f t="shared" si="5"/>
        <v>EQTY.IntlUS.off</v>
      </c>
      <c r="N71" s="215">
        <f t="shared" si="6"/>
        <v>-1735</v>
      </c>
      <c r="O71" s="215">
        <f t="shared" si="7"/>
        <v>-1735</v>
      </c>
    </row>
    <row r="72" spans="5:15">
      <c r="K72" s="214" t="str">
        <f t="shared" si="4"/>
        <v/>
      </c>
      <c r="L72" s="214" t="str">
        <f>IF(E72="","",IF(COUNTIFS(Table2[[#All],[De (Lote)]],'Input_APM (Zenith)'!F72)&gt;0,INDEX(Table2[[#All],[Para (Ticker Daniel)]],MATCH('Input_APM (Zenith)'!F72,Table2[[#All],[De (Lote)]],0)),'Input_APM (Zenith)'!F72))</f>
        <v/>
      </c>
      <c r="M72" s="214" t="str">
        <f t="shared" si="5"/>
        <v/>
      </c>
      <c r="N72" s="215" t="str">
        <f t="shared" si="6"/>
        <v/>
      </c>
      <c r="O72" s="215" t="str">
        <f t="shared" si="7"/>
        <v/>
      </c>
    </row>
    <row r="73" spans="5:15">
      <c r="K73" s="214" t="str">
        <f t="shared" si="4"/>
        <v/>
      </c>
      <c r="L73" s="214" t="str">
        <f>IF(E73="","",IF(COUNTIFS(Table2[[#All],[De (Lote)]],'Input_APM (Zenith)'!F73)&gt;0,INDEX(Table2[[#All],[Para (Ticker Daniel)]],MATCH('Input_APM (Zenith)'!F73,Table2[[#All],[De (Lote)]],0)),'Input_APM (Zenith)'!F73))</f>
        <v/>
      </c>
      <c r="M73" s="214" t="str">
        <f t="shared" si="5"/>
        <v/>
      </c>
      <c r="N73" s="215" t="str">
        <f t="shared" si="6"/>
        <v/>
      </c>
      <c r="O73" s="215" t="str">
        <f t="shared" si="7"/>
        <v/>
      </c>
    </row>
    <row r="74" spans="5:15">
      <c r="K74" s="214" t="str">
        <f t="shared" si="4"/>
        <v/>
      </c>
      <c r="L74" s="214" t="str">
        <f>IF(E74="","",IF(COUNTIFS(Table2[[#All],[De (Lote)]],'Input_APM (Zenith)'!F74)&gt;0,INDEX(Table2[[#All],[Para (Ticker Daniel)]],MATCH('Input_APM (Zenith)'!F74,Table2[[#All],[De (Lote)]],0)),'Input_APM (Zenith)'!F74))</f>
        <v/>
      </c>
      <c r="M74" s="214" t="str">
        <f t="shared" si="5"/>
        <v/>
      </c>
      <c r="N74" s="215" t="str">
        <f t="shared" si="6"/>
        <v/>
      </c>
      <c r="O74" s="215" t="str">
        <f t="shared" si="7"/>
        <v/>
      </c>
    </row>
    <row r="75" spans="5:15">
      <c r="K75" s="214" t="str">
        <f t="shared" si="4"/>
        <v/>
      </c>
      <c r="L75" s="214" t="str">
        <f>IF(E75="","",IF(COUNTIFS(Table2[[#All],[De (Lote)]],'Input_APM (Zenith)'!F75)&gt;0,INDEX(Table2[[#All],[Para (Ticker Daniel)]],MATCH('Input_APM (Zenith)'!F75,Table2[[#All],[De (Lote)]],0)),'Input_APM (Zenith)'!F75))</f>
        <v/>
      </c>
      <c r="M75" s="214" t="str">
        <f t="shared" si="5"/>
        <v/>
      </c>
      <c r="N75" s="215" t="str">
        <f t="shared" si="6"/>
        <v/>
      </c>
      <c r="O75" s="215" t="str">
        <f t="shared" si="7"/>
        <v/>
      </c>
    </row>
    <row r="76" spans="5:15">
      <c r="K76" s="214" t="str">
        <f t="shared" si="4"/>
        <v/>
      </c>
      <c r="L76" s="214" t="str">
        <f>IF(E76="","",IF(COUNTIFS(Table2[[#All],[De (Lote)]],'Input_APM (Zenith)'!F76)&gt;0,INDEX(Table2[[#All],[Para (Ticker Daniel)]],MATCH('Input_APM (Zenith)'!F76,Table2[[#All],[De (Lote)]],0)),'Input_APM (Zenith)'!F76))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(Lote)]],'Input_APM (Zenith)'!F77)&gt;0,INDEX(Table2[[#All],[Para (Ticker Daniel)]],MATCH('Input_APM (Zenith)'!F77,Table2[[#All],[De (Lote)]],0)),'Input_APM (Zenith)'!F77))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(Lote)]],'Input_APM (Zenith)'!F78)&gt;0,INDEX(Table2[[#All],[Para (Ticker Daniel)]],MATCH('Input_APM (Zenith)'!F78,Table2[[#All],[De (Lote)]],0)),'Input_APM (Zenith)'!F78))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(Lote)]],'Input_APM (Zenith)'!F79)&gt;0,INDEX(Table2[[#All],[Para (Ticker Daniel)]],MATCH('Input_APM (Zenith)'!F79,Table2[[#All],[De (Lote)]],0)),'Input_APM (Zenith)'!F79))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H80" s="225"/>
      <c r="K80" s="214" t="str">
        <f t="shared" si="4"/>
        <v/>
      </c>
      <c r="L80" s="214" t="str">
        <f>IF(E80="","",IF(COUNTIFS(Table2[[#All],[De (Lote)]],'Input_APM (Zenith)'!F80)&gt;0,INDEX(Table2[[#All],[Para (Ticker Daniel)]],MATCH('Input_APM (Zenith)'!F80,Table2[[#All],[De (Lote)]],0)),'Input_APM (Zenith)'!F80))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H81" s="225"/>
      <c r="K81" s="214" t="str">
        <f t="shared" si="4"/>
        <v/>
      </c>
      <c r="L81" s="214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H82" s="225"/>
      <c r="K82" s="214" t="str">
        <f t="shared" si="4"/>
        <v/>
      </c>
      <c r="L82" s="214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H83" s="225"/>
      <c r="K83" s="214" t="str">
        <f t="shared" si="4"/>
        <v/>
      </c>
      <c r="L83" s="214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H84" s="225"/>
      <c r="K84" s="214" t="str">
        <f t="shared" si="4"/>
        <v/>
      </c>
      <c r="L84" s="214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K85" s="214" t="str">
        <f t="shared" si="4"/>
        <v/>
      </c>
      <c r="L85" s="214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K86" s="214" t="str">
        <f t="shared" si="4"/>
        <v/>
      </c>
      <c r="L86" s="214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K87" s="214" t="str">
        <f t="shared" si="4"/>
        <v/>
      </c>
      <c r="L87" s="214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K92" s="214" t="str">
        <f t="shared" si="4"/>
        <v/>
      </c>
      <c r="L92" s="214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H93" s="225"/>
      <c r="K93" s="214" t="str">
        <f t="shared" si="4"/>
        <v/>
      </c>
      <c r="L93" s="214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H94" s="225"/>
      <c r="K94" s="214" t="str">
        <f t="shared" si="4"/>
        <v/>
      </c>
      <c r="L94" s="214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K95" s="214" t="str">
        <f t="shared" si="4"/>
        <v/>
      </c>
      <c r="L95" s="214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156" si="12">IF(E149="","",E149)</f>
        <v/>
      </c>
      <c r="L149" s="214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14" t="str">
        <f t="shared" ref="M149:M156" si="13">IF(E149="","",G149)</f>
        <v/>
      </c>
      <c r="N149" s="215" t="str">
        <f t="shared" ref="N149:N156" si="14">IF(E149="","",H149)</f>
        <v/>
      </c>
      <c r="O149" s="215" t="str">
        <f t="shared" ref="O149:O156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>IF(E157="","",E157)</f>
        <v/>
      </c>
      <c r="L157" s="214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14" t="str">
        <f>IF(E157="","",G157)</f>
        <v/>
      </c>
      <c r="N157" s="215" t="str">
        <f>IF(E157="","",H157)</f>
        <v/>
      </c>
      <c r="O157" s="215" t="str">
        <f>IF(E157="","",I157)</f>
        <v/>
      </c>
    </row>
    <row r="158" spans="11:15">
      <c r="K158" s="214" t="str">
        <f>IF(E158="","",E158)</f>
        <v/>
      </c>
      <c r="L158" s="214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14" t="str">
        <f>IF(E158="","",G158)</f>
        <v/>
      </c>
      <c r="N158" s="215" t="str">
        <f>IF(E158="","",H158)</f>
        <v/>
      </c>
      <c r="O158" s="215" t="str">
        <f>IF(E158="","",I158)</f>
        <v/>
      </c>
    </row>
    <row r="159" spans="11:15">
      <c r="K159" s="214" t="str">
        <f>IF(E159="","",E159)</f>
        <v/>
      </c>
      <c r="L159" s="214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14" t="str">
        <f>IF(E159="","",G159)</f>
        <v/>
      </c>
      <c r="N159" s="215" t="str">
        <f>IF(E159="","",H159)</f>
        <v/>
      </c>
      <c r="O159" s="215" t="str">
        <f>IF(E159="","",I159)</f>
        <v/>
      </c>
    </row>
    <row r="160" spans="11:15">
      <c r="K160" s="214" t="str">
        <f>IF(E160="","",E160)</f>
        <v/>
      </c>
      <c r="L160" s="214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14" t="str">
        <f>IF(E160="","",G160)</f>
        <v/>
      </c>
      <c r="N160" s="215" t="str">
        <f>IF(E160="","",H160)</f>
        <v/>
      </c>
      <c r="O160" s="215" t="str">
        <f>IF(E160="","",I160)</f>
        <v/>
      </c>
    </row>
    <row r="161" spans="11:15">
      <c r="K161" s="214" t="str">
        <f>IF(E161="","",E161)</f>
        <v/>
      </c>
      <c r="L161" s="214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14" t="str">
        <f>IF(E161="","",G161)</f>
        <v/>
      </c>
      <c r="N161" s="215" t="str">
        <f>IF(E161="","",H161)</f>
        <v/>
      </c>
      <c r="O161" s="215" t="str">
        <f>IF(E161="","",I161)</f>
        <v/>
      </c>
    </row>
    <row r="162" spans="11:15">
      <c r="K162" s="214" t="str">
        <f t="shared" ref="K162:K183" si="16">IF(E162="","",E162)</f>
        <v/>
      </c>
      <c r="L162" s="214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14" t="str">
        <f t="shared" ref="M162:M183" si="17">IF(E162="","",G162)</f>
        <v/>
      </c>
      <c r="N162" s="215" t="str">
        <f t="shared" ref="N162:N183" si="18">IF(E162="","",H162)</f>
        <v/>
      </c>
      <c r="O162" s="215" t="str">
        <f t="shared" ref="O162:O183" si="19">IF(E162="","",I162)</f>
        <v/>
      </c>
    </row>
    <row r="163" spans="11:15">
      <c r="K163" s="214" t="str">
        <f t="shared" si="16"/>
        <v/>
      </c>
      <c r="L163" s="214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14" t="str">
        <f t="shared" si="17"/>
        <v/>
      </c>
      <c r="N163" s="215" t="str">
        <f t="shared" si="18"/>
        <v/>
      </c>
      <c r="O163" s="215" t="str">
        <f t="shared" si="19"/>
        <v/>
      </c>
    </row>
    <row r="164" spans="11:15">
      <c r="K164" s="214" t="str">
        <f t="shared" si="16"/>
        <v/>
      </c>
      <c r="L164" s="214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14" t="str">
        <f t="shared" si="17"/>
        <v/>
      </c>
      <c r="N164" s="215" t="str">
        <f t="shared" si="18"/>
        <v/>
      </c>
      <c r="O164" s="215" t="str">
        <f t="shared" si="19"/>
        <v/>
      </c>
    </row>
    <row r="165" spans="11:15">
      <c r="K165" s="214" t="str">
        <f t="shared" si="16"/>
        <v/>
      </c>
      <c r="L165" s="214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14" t="str">
        <f t="shared" si="17"/>
        <v/>
      </c>
      <c r="N165" s="215" t="str">
        <f t="shared" si="18"/>
        <v/>
      </c>
      <c r="O165" s="215" t="str">
        <f t="shared" si="19"/>
        <v/>
      </c>
    </row>
    <row r="166" spans="11:15">
      <c r="K166" s="214" t="str">
        <f t="shared" si="16"/>
        <v/>
      </c>
      <c r="L166" s="214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14" t="str">
        <f t="shared" si="17"/>
        <v/>
      </c>
      <c r="N166" s="215" t="str">
        <f t="shared" si="18"/>
        <v/>
      </c>
      <c r="O166" s="215" t="str">
        <f t="shared" si="19"/>
        <v/>
      </c>
    </row>
    <row r="167" spans="11:15">
      <c r="K167" s="214" t="str">
        <f t="shared" si="16"/>
        <v/>
      </c>
      <c r="L167" s="214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14" t="str">
        <f t="shared" si="17"/>
        <v/>
      </c>
      <c r="N167" s="215" t="str">
        <f t="shared" si="18"/>
        <v/>
      </c>
      <c r="O167" s="215" t="str">
        <f t="shared" si="19"/>
        <v/>
      </c>
    </row>
    <row r="168" spans="11:15">
      <c r="K168" s="214" t="str">
        <f t="shared" si="16"/>
        <v/>
      </c>
      <c r="L168" s="214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14" t="str">
        <f t="shared" si="17"/>
        <v/>
      </c>
      <c r="N168" s="215" t="str">
        <f t="shared" si="18"/>
        <v/>
      </c>
      <c r="O168" s="215" t="str">
        <f t="shared" si="19"/>
        <v/>
      </c>
    </row>
    <row r="169" spans="11:15">
      <c r="K169" s="214" t="str">
        <f t="shared" si="16"/>
        <v/>
      </c>
      <c r="L169" s="214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14" t="str">
        <f t="shared" si="17"/>
        <v/>
      </c>
      <c r="N169" s="215" t="str">
        <f t="shared" si="18"/>
        <v/>
      </c>
      <c r="O169" s="215" t="str">
        <f t="shared" si="19"/>
        <v/>
      </c>
    </row>
    <row r="170" spans="11:15">
      <c r="K170" s="214" t="str">
        <f t="shared" si="16"/>
        <v/>
      </c>
      <c r="L170" s="214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14" t="str">
        <f t="shared" si="17"/>
        <v/>
      </c>
      <c r="N170" s="215" t="str">
        <f t="shared" si="18"/>
        <v/>
      </c>
      <c r="O170" s="215" t="str">
        <f t="shared" si="19"/>
        <v/>
      </c>
    </row>
    <row r="171" spans="11:15">
      <c r="K171" s="214" t="str">
        <f t="shared" si="16"/>
        <v/>
      </c>
      <c r="L171" s="214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14" t="str">
        <f t="shared" si="17"/>
        <v/>
      </c>
      <c r="N171" s="215" t="str">
        <f t="shared" si="18"/>
        <v/>
      </c>
      <c r="O171" s="215" t="str">
        <f t="shared" si="19"/>
        <v/>
      </c>
    </row>
    <row r="172" spans="11:15">
      <c r="K172" s="214" t="str">
        <f t="shared" si="16"/>
        <v/>
      </c>
      <c r="L172" s="214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14" t="str">
        <f t="shared" si="17"/>
        <v/>
      </c>
      <c r="N172" s="215" t="str">
        <f t="shared" si="18"/>
        <v/>
      </c>
      <c r="O172" s="215" t="str">
        <f t="shared" si="19"/>
        <v/>
      </c>
    </row>
    <row r="173" spans="11:15">
      <c r="K173" s="214" t="str">
        <f t="shared" si="16"/>
        <v/>
      </c>
      <c r="L173" s="214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14" t="str">
        <f t="shared" si="17"/>
        <v/>
      </c>
      <c r="N173" s="215" t="str">
        <f t="shared" si="18"/>
        <v/>
      </c>
      <c r="O173" s="215" t="str">
        <f t="shared" si="19"/>
        <v/>
      </c>
    </row>
    <row r="174" spans="11:15">
      <c r="K174" s="214" t="str">
        <f t="shared" si="16"/>
        <v/>
      </c>
      <c r="L174" s="214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14" t="str">
        <f t="shared" si="17"/>
        <v/>
      </c>
      <c r="N174" s="215" t="str">
        <f t="shared" si="18"/>
        <v/>
      </c>
      <c r="O174" s="215" t="str">
        <f t="shared" si="19"/>
        <v/>
      </c>
    </row>
    <row r="175" spans="11:15">
      <c r="K175" s="214" t="str">
        <f t="shared" si="16"/>
        <v/>
      </c>
      <c r="L175" s="214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14" t="str">
        <f t="shared" si="17"/>
        <v/>
      </c>
      <c r="N175" s="215" t="str">
        <f t="shared" si="18"/>
        <v/>
      </c>
      <c r="O175" s="215" t="str">
        <f t="shared" si="19"/>
        <v/>
      </c>
    </row>
    <row r="176" spans="11:15">
      <c r="K176" s="214" t="str">
        <f t="shared" si="16"/>
        <v/>
      </c>
      <c r="L176" s="214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14" t="str">
        <f t="shared" si="17"/>
        <v/>
      </c>
      <c r="N176" s="215" t="str">
        <f t="shared" si="18"/>
        <v/>
      </c>
      <c r="O176" s="215" t="str">
        <f t="shared" si="19"/>
        <v/>
      </c>
    </row>
    <row r="177" spans="11:15">
      <c r="K177" s="214" t="str">
        <f t="shared" si="16"/>
        <v/>
      </c>
      <c r="L177" s="214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14" t="str">
        <f t="shared" si="17"/>
        <v/>
      </c>
      <c r="N177" s="215" t="str">
        <f t="shared" si="18"/>
        <v/>
      </c>
      <c r="O177" s="215" t="str">
        <f t="shared" si="19"/>
        <v/>
      </c>
    </row>
    <row r="178" spans="11:15">
      <c r="K178" s="214" t="str">
        <f t="shared" si="16"/>
        <v/>
      </c>
      <c r="L178" s="214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14" t="str">
        <f t="shared" si="17"/>
        <v/>
      </c>
      <c r="N178" s="215" t="str">
        <f t="shared" si="18"/>
        <v/>
      </c>
      <c r="O178" s="215" t="str">
        <f t="shared" si="19"/>
        <v/>
      </c>
    </row>
    <row r="179" spans="11:15">
      <c r="K179" s="214" t="str">
        <f t="shared" si="16"/>
        <v/>
      </c>
      <c r="L179" s="214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14" t="str">
        <f t="shared" si="17"/>
        <v/>
      </c>
      <c r="N179" s="215" t="str">
        <f t="shared" si="18"/>
        <v/>
      </c>
      <c r="O179" s="215" t="str">
        <f t="shared" si="19"/>
        <v/>
      </c>
    </row>
    <row r="180" spans="11:15">
      <c r="K180" s="214" t="str">
        <f t="shared" si="16"/>
        <v/>
      </c>
      <c r="L180" s="214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14" t="str">
        <f t="shared" si="17"/>
        <v/>
      </c>
      <c r="N180" s="215" t="str">
        <f t="shared" si="18"/>
        <v/>
      </c>
      <c r="O180" s="215" t="str">
        <f t="shared" si="19"/>
        <v/>
      </c>
    </row>
    <row r="181" spans="11:15">
      <c r="K181" s="214" t="str">
        <f t="shared" si="16"/>
        <v/>
      </c>
      <c r="L181" s="214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14" t="str">
        <f t="shared" si="17"/>
        <v/>
      </c>
      <c r="N181" s="215" t="str">
        <f t="shared" si="18"/>
        <v/>
      </c>
      <c r="O181" s="215" t="str">
        <f t="shared" si="19"/>
        <v/>
      </c>
    </row>
    <row r="182" spans="11:15">
      <c r="K182" s="214" t="str">
        <f t="shared" si="16"/>
        <v/>
      </c>
      <c r="L182" s="214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14" t="str">
        <f t="shared" si="17"/>
        <v/>
      </c>
      <c r="N182" s="215" t="str">
        <f t="shared" si="18"/>
        <v/>
      </c>
      <c r="O182" s="215" t="str">
        <f t="shared" si="19"/>
        <v/>
      </c>
    </row>
    <row r="183" spans="11:15">
      <c r="K183" s="214" t="str">
        <f t="shared" si="16"/>
        <v/>
      </c>
      <c r="L183" s="214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14" t="str">
        <f t="shared" si="17"/>
        <v/>
      </c>
      <c r="N183" s="215" t="str">
        <f t="shared" si="18"/>
        <v/>
      </c>
      <c r="O183" s="215" t="str">
        <f t="shared" si="19"/>
        <v/>
      </c>
    </row>
    <row r="184" spans="11:15">
      <c r="K184" s="214" t="str">
        <f>IF(E184="","",E184)</f>
        <v/>
      </c>
      <c r="L184" s="214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14" t="str">
        <f>IF(E184="","",G184)</f>
        <v/>
      </c>
      <c r="N184" s="215" t="str">
        <f>IF(E184="","",H184)</f>
        <v/>
      </c>
      <c r="O184" s="215" t="str">
        <f>IF(E184="","",I184)</f>
        <v/>
      </c>
    </row>
    <row r="185" spans="11:15">
      <c r="K185" s="214" t="str">
        <f>IF(E185="","",E185)</f>
        <v/>
      </c>
      <c r="L185" s="214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14" t="str">
        <f>IF(E185="","",G185)</f>
        <v/>
      </c>
      <c r="N185" s="215" t="str">
        <f>IF(E185="","",H185)</f>
        <v/>
      </c>
      <c r="O185" s="215" t="str">
        <f>IF(E185="","",I185)</f>
        <v/>
      </c>
    </row>
    <row r="186" spans="11:15">
      <c r="K186" s="214" t="str">
        <f>IF(E186="","",E186)</f>
        <v/>
      </c>
      <c r="L186" s="214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14" t="str">
        <f>IF(E186="","",G186)</f>
        <v/>
      </c>
      <c r="N186" s="215" t="str">
        <f>IF(E186="","",H186)</f>
        <v/>
      </c>
      <c r="O186" s="215" t="str">
        <f>IF(E186="","",I186)</f>
        <v/>
      </c>
    </row>
    <row r="187" spans="11:15">
      <c r="K187" s="214" t="str">
        <f>IF(E187="","",E187)</f>
        <v/>
      </c>
      <c r="L187" s="214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14" t="str">
        <f>IF(E187="","",G187)</f>
        <v/>
      </c>
      <c r="N187" s="215" t="str">
        <f>IF(E187="","",H187)</f>
        <v/>
      </c>
      <c r="O187" s="215" t="str">
        <f>IF(E187="","",I187)</f>
        <v/>
      </c>
    </row>
    <row r="188" spans="11:15">
      <c r="K188" s="214" t="str">
        <f t="shared" ref="K188:K199" si="20">IF(E188="","",E188)</f>
        <v/>
      </c>
      <c r="L188" s="214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14" t="str">
        <f t="shared" ref="M188:M199" si="21">IF(E188="","",G188)</f>
        <v/>
      </c>
      <c r="N188" s="215" t="str">
        <f t="shared" ref="N188:N199" si="22">IF(E188="","",H188)</f>
        <v/>
      </c>
      <c r="O188" s="215" t="str">
        <f t="shared" ref="O188:O199" si="23">IF(E188="","",I188)</f>
        <v/>
      </c>
    </row>
    <row r="189" spans="11:15">
      <c r="K189" s="214" t="str">
        <f t="shared" si="20"/>
        <v/>
      </c>
      <c r="L189" s="214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14" t="str">
        <f t="shared" si="21"/>
        <v/>
      </c>
      <c r="N189" s="215" t="str">
        <f t="shared" si="22"/>
        <v/>
      </c>
      <c r="O189" s="215" t="str">
        <f t="shared" si="23"/>
        <v/>
      </c>
    </row>
    <row r="190" spans="11:15">
      <c r="K190" s="214" t="str">
        <f t="shared" si="20"/>
        <v/>
      </c>
      <c r="L190" s="214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14" t="str">
        <f t="shared" si="21"/>
        <v/>
      </c>
      <c r="N190" s="215" t="str">
        <f t="shared" si="22"/>
        <v/>
      </c>
      <c r="O190" s="215" t="str">
        <f t="shared" si="23"/>
        <v/>
      </c>
    </row>
    <row r="191" spans="11:15">
      <c r="K191" s="214" t="str">
        <f t="shared" si="20"/>
        <v/>
      </c>
      <c r="L191" s="214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14" t="str">
        <f t="shared" si="21"/>
        <v/>
      </c>
      <c r="N191" s="215" t="str">
        <f t="shared" si="22"/>
        <v/>
      </c>
      <c r="O191" s="215" t="str">
        <f t="shared" si="23"/>
        <v/>
      </c>
    </row>
    <row r="192" spans="11:15">
      <c r="K192" s="214" t="str">
        <f t="shared" si="20"/>
        <v/>
      </c>
      <c r="L192" s="214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14" t="str">
        <f t="shared" si="21"/>
        <v/>
      </c>
      <c r="N192" s="215" t="str">
        <f t="shared" si="22"/>
        <v/>
      </c>
      <c r="O192" s="215" t="str">
        <f t="shared" si="23"/>
        <v/>
      </c>
    </row>
    <row r="193" spans="11:15">
      <c r="K193" s="214" t="str">
        <f t="shared" si="20"/>
        <v/>
      </c>
      <c r="L193" s="214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14" t="str">
        <f t="shared" si="21"/>
        <v/>
      </c>
      <c r="N193" s="215" t="str">
        <f t="shared" si="22"/>
        <v/>
      </c>
      <c r="O193" s="215" t="str">
        <f t="shared" si="23"/>
        <v/>
      </c>
    </row>
    <row r="194" spans="11:15">
      <c r="K194" s="214" t="str">
        <f t="shared" si="20"/>
        <v/>
      </c>
      <c r="L194" s="214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14" t="str">
        <f t="shared" si="21"/>
        <v/>
      </c>
      <c r="N194" s="215" t="str">
        <f t="shared" si="22"/>
        <v/>
      </c>
      <c r="O194" s="215" t="str">
        <f t="shared" si="23"/>
        <v/>
      </c>
    </row>
    <row r="195" spans="11:15">
      <c r="K195" s="214" t="str">
        <f t="shared" si="20"/>
        <v/>
      </c>
      <c r="L195" s="214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14" t="str">
        <f t="shared" si="21"/>
        <v/>
      </c>
      <c r="N195" s="215" t="str">
        <f t="shared" si="22"/>
        <v/>
      </c>
      <c r="O195" s="215" t="str">
        <f t="shared" si="23"/>
        <v/>
      </c>
    </row>
    <row r="196" spans="11:15">
      <c r="K196" s="214" t="str">
        <f t="shared" si="20"/>
        <v/>
      </c>
      <c r="L196" s="214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14" t="str">
        <f t="shared" si="21"/>
        <v/>
      </c>
      <c r="N196" s="215" t="str">
        <f t="shared" si="22"/>
        <v/>
      </c>
      <c r="O196" s="215" t="str">
        <f t="shared" si="23"/>
        <v/>
      </c>
    </row>
    <row r="197" spans="11:15">
      <c r="K197" s="214" t="str">
        <f t="shared" si="20"/>
        <v/>
      </c>
      <c r="L197" s="214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14" t="str">
        <f t="shared" si="21"/>
        <v/>
      </c>
      <c r="N197" s="215" t="str">
        <f t="shared" si="22"/>
        <v/>
      </c>
      <c r="O197" s="215" t="str">
        <f t="shared" si="23"/>
        <v/>
      </c>
    </row>
    <row r="198" spans="11:15">
      <c r="K198" s="214" t="str">
        <f t="shared" si="20"/>
        <v/>
      </c>
      <c r="L198" s="214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14" t="str">
        <f t="shared" si="21"/>
        <v/>
      </c>
      <c r="N198" s="215" t="str">
        <f t="shared" si="22"/>
        <v/>
      </c>
      <c r="O198" s="215" t="str">
        <f t="shared" si="23"/>
        <v/>
      </c>
    </row>
    <row r="199" spans="11:15">
      <c r="K199" s="214" t="str">
        <f t="shared" si="20"/>
        <v/>
      </c>
      <c r="L199" s="214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14" t="str">
        <f t="shared" si="21"/>
        <v/>
      </c>
      <c r="N199" s="215" t="str">
        <f t="shared" si="22"/>
        <v/>
      </c>
      <c r="O199" s="215" t="str">
        <f t="shared" si="23"/>
        <v/>
      </c>
    </row>
    <row r="200" spans="11:15">
      <c r="K200" s="214" t="str">
        <f t="shared" ref="K200:K212" si="24">IF(E200="","",E200)</f>
        <v/>
      </c>
      <c r="L200" s="214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14" t="str">
        <f t="shared" ref="M200:M212" si="25">IF(E200="","",G200)</f>
        <v/>
      </c>
      <c r="N200" s="215" t="str">
        <f t="shared" ref="N200:N212" si="26">IF(E200="","",H200)</f>
        <v/>
      </c>
      <c r="O200" s="215" t="str">
        <f t="shared" ref="O200:O212" si="27">IF(E200="","",I200)</f>
        <v/>
      </c>
    </row>
    <row r="201" spans="11:15">
      <c r="K201" s="214" t="str">
        <f t="shared" si="24"/>
        <v/>
      </c>
      <c r="L201" s="214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14" t="str">
        <f t="shared" si="25"/>
        <v/>
      </c>
      <c r="N201" s="215" t="str">
        <f t="shared" si="26"/>
        <v/>
      </c>
      <c r="O201" s="215" t="str">
        <f t="shared" si="27"/>
        <v/>
      </c>
    </row>
    <row r="202" spans="11:15">
      <c r="K202" s="214" t="str">
        <f t="shared" si="24"/>
        <v/>
      </c>
      <c r="L202" s="214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14" t="str">
        <f t="shared" si="25"/>
        <v/>
      </c>
      <c r="N202" s="215" t="str">
        <f t="shared" si="26"/>
        <v/>
      </c>
      <c r="O202" s="215" t="str">
        <f t="shared" si="27"/>
        <v/>
      </c>
    </row>
    <row r="203" spans="11:15">
      <c r="K203" s="214" t="str">
        <f t="shared" si="24"/>
        <v/>
      </c>
      <c r="L203" s="214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14" t="str">
        <f t="shared" si="25"/>
        <v/>
      </c>
      <c r="N203" s="215" t="str">
        <f t="shared" si="26"/>
        <v/>
      </c>
      <c r="O203" s="215" t="str">
        <f t="shared" si="27"/>
        <v/>
      </c>
    </row>
    <row r="204" spans="11:15">
      <c r="K204" s="214" t="str">
        <f t="shared" si="24"/>
        <v/>
      </c>
      <c r="L204" s="214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14" t="str">
        <f t="shared" si="25"/>
        <v/>
      </c>
      <c r="N204" s="215" t="str">
        <f t="shared" si="26"/>
        <v/>
      </c>
      <c r="O204" s="215" t="str">
        <f t="shared" si="27"/>
        <v/>
      </c>
    </row>
    <row r="205" spans="11:15">
      <c r="K205" s="214" t="str">
        <f t="shared" si="24"/>
        <v/>
      </c>
      <c r="L205" s="214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14" t="str">
        <f t="shared" si="25"/>
        <v/>
      </c>
      <c r="N205" s="215" t="str">
        <f t="shared" si="26"/>
        <v/>
      </c>
      <c r="O205" s="215" t="str">
        <f t="shared" si="27"/>
        <v/>
      </c>
    </row>
    <row r="206" spans="11:15">
      <c r="K206" s="214" t="str">
        <f t="shared" si="24"/>
        <v/>
      </c>
      <c r="L206" s="214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14" t="str">
        <f t="shared" si="25"/>
        <v/>
      </c>
      <c r="N206" s="215" t="str">
        <f t="shared" si="26"/>
        <v/>
      </c>
      <c r="O206" s="215" t="str">
        <f t="shared" si="27"/>
        <v/>
      </c>
    </row>
    <row r="207" spans="11:15">
      <c r="K207" s="214" t="str">
        <f t="shared" si="24"/>
        <v/>
      </c>
      <c r="L207" s="214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14" t="str">
        <f t="shared" si="25"/>
        <v/>
      </c>
      <c r="N207" s="215" t="str">
        <f t="shared" si="26"/>
        <v/>
      </c>
      <c r="O207" s="215" t="str">
        <f t="shared" si="27"/>
        <v/>
      </c>
    </row>
    <row r="208" spans="11:15">
      <c r="K208" s="214" t="str">
        <f t="shared" si="24"/>
        <v/>
      </c>
      <c r="L208" s="214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14" t="str">
        <f t="shared" si="25"/>
        <v/>
      </c>
      <c r="N208" s="215" t="str">
        <f t="shared" si="26"/>
        <v/>
      </c>
      <c r="O208" s="215" t="str">
        <f t="shared" si="27"/>
        <v/>
      </c>
    </row>
    <row r="209" spans="8:15">
      <c r="K209" s="214" t="str">
        <f t="shared" si="24"/>
        <v/>
      </c>
      <c r="L209" s="214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14" t="str">
        <f t="shared" si="25"/>
        <v/>
      </c>
      <c r="N209" s="215" t="str">
        <f t="shared" si="26"/>
        <v/>
      </c>
      <c r="O209" s="215" t="str">
        <f t="shared" si="27"/>
        <v/>
      </c>
    </row>
    <row r="210" spans="8:15">
      <c r="K210" s="214" t="str">
        <f t="shared" si="24"/>
        <v/>
      </c>
      <c r="L210" s="214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14" t="str">
        <f t="shared" si="25"/>
        <v/>
      </c>
      <c r="N210" s="215" t="str">
        <f t="shared" si="26"/>
        <v/>
      </c>
      <c r="O210" s="215" t="str">
        <f t="shared" si="27"/>
        <v/>
      </c>
    </row>
    <row r="211" spans="8:15">
      <c r="H211" s="225"/>
      <c r="K211" s="214" t="str">
        <f t="shared" si="24"/>
        <v/>
      </c>
      <c r="L211" s="214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14" t="str">
        <f t="shared" si="25"/>
        <v/>
      </c>
      <c r="N211" s="215" t="str">
        <f t="shared" si="26"/>
        <v/>
      </c>
      <c r="O211" s="215" t="str">
        <f t="shared" si="27"/>
        <v/>
      </c>
    </row>
    <row r="212" spans="8:15">
      <c r="H212" s="225"/>
      <c r="K212" s="214" t="str">
        <f t="shared" si="24"/>
        <v/>
      </c>
      <c r="L212" s="214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14" t="str">
        <f t="shared" si="25"/>
        <v/>
      </c>
      <c r="N212" s="215" t="str">
        <f t="shared" si="26"/>
        <v/>
      </c>
      <c r="O212" s="215" t="str">
        <f t="shared" si="27"/>
        <v/>
      </c>
    </row>
    <row r="213" spans="8:15">
      <c r="H213" s="225"/>
      <c r="K213" s="214" t="str">
        <f t="shared" ref="K213:K219" si="28">IF(E213="","",E213)</f>
        <v/>
      </c>
      <c r="L213" s="214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14" t="str">
        <f t="shared" ref="M213:M219" si="29">IF(E213="","",G213)</f>
        <v/>
      </c>
      <c r="N213" s="215" t="str">
        <f t="shared" ref="N213:N219" si="30">IF(E213="","",H213)</f>
        <v/>
      </c>
      <c r="O213" s="215" t="str">
        <f t="shared" ref="O213:O219" si="31">IF(E213="","",I213)</f>
        <v/>
      </c>
    </row>
    <row r="214" spans="8:15">
      <c r="H214" s="225"/>
      <c r="K214" s="214" t="str">
        <f t="shared" si="28"/>
        <v/>
      </c>
      <c r="L214" s="214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14" t="str">
        <f t="shared" si="29"/>
        <v/>
      </c>
      <c r="N214" s="215" t="str">
        <f t="shared" si="30"/>
        <v/>
      </c>
      <c r="O214" s="215" t="str">
        <f t="shared" si="31"/>
        <v/>
      </c>
    </row>
    <row r="215" spans="8:15">
      <c r="H215" s="225"/>
      <c r="K215" s="214" t="str">
        <f t="shared" si="28"/>
        <v/>
      </c>
      <c r="L215" s="214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14" t="str">
        <f t="shared" si="29"/>
        <v/>
      </c>
      <c r="N215" s="215" t="str">
        <f t="shared" si="30"/>
        <v/>
      </c>
      <c r="O215" s="215" t="str">
        <f t="shared" si="31"/>
        <v/>
      </c>
    </row>
    <row r="216" spans="8:15">
      <c r="H216" s="225"/>
      <c r="K216" s="214" t="str">
        <f t="shared" si="28"/>
        <v/>
      </c>
      <c r="L216" s="214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14" t="str">
        <f t="shared" si="29"/>
        <v/>
      </c>
      <c r="N216" s="215" t="str">
        <f t="shared" si="30"/>
        <v/>
      </c>
      <c r="O216" s="215" t="str">
        <f t="shared" si="31"/>
        <v/>
      </c>
    </row>
    <row r="217" spans="8:15">
      <c r="H217" s="225"/>
      <c r="K217" s="214" t="str">
        <f t="shared" si="28"/>
        <v/>
      </c>
      <c r="L217" s="214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14" t="str">
        <f t="shared" si="29"/>
        <v/>
      </c>
      <c r="N217" s="215" t="str">
        <f t="shared" si="30"/>
        <v/>
      </c>
      <c r="O217" s="215" t="str">
        <f t="shared" si="31"/>
        <v/>
      </c>
    </row>
    <row r="218" spans="8:15">
      <c r="H218" s="225"/>
      <c r="K218" s="214" t="str">
        <f t="shared" si="28"/>
        <v/>
      </c>
      <c r="L218" s="214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14" t="str">
        <f t="shared" si="29"/>
        <v/>
      </c>
      <c r="N218" s="215" t="str">
        <f t="shared" si="30"/>
        <v/>
      </c>
      <c r="O218" s="215" t="str">
        <f t="shared" si="31"/>
        <v/>
      </c>
    </row>
    <row r="219" spans="8:15">
      <c r="K219" s="214" t="str">
        <f t="shared" si="28"/>
        <v/>
      </c>
      <c r="L219" s="214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14" t="str">
        <f t="shared" si="29"/>
        <v/>
      </c>
      <c r="N219" s="215" t="str">
        <f t="shared" si="30"/>
        <v/>
      </c>
      <c r="O219" s="215" t="str">
        <f t="shared" si="31"/>
        <v/>
      </c>
    </row>
    <row r="220" spans="8:15">
      <c r="K220" s="214" t="str">
        <f>IF(E220="","",E220)</f>
        <v/>
      </c>
      <c r="L220" s="214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14" t="str">
        <f>IF(E220="","",G220)</f>
        <v/>
      </c>
      <c r="N220" s="215" t="str">
        <f>IF(E220="","",H220)</f>
        <v/>
      </c>
      <c r="O220" s="215" t="str">
        <f>IF(E220="","",I220)</f>
        <v/>
      </c>
    </row>
    <row r="221" spans="8:15">
      <c r="K221" s="214" t="str">
        <f>IF(E221="","",E221)</f>
        <v/>
      </c>
      <c r="L221" s="214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14" t="str">
        <f>IF(E221="","",G221)</f>
        <v/>
      </c>
      <c r="N221" s="215" t="str">
        <f>IF(E221="","",H221)</f>
        <v/>
      </c>
      <c r="O221" s="215" t="str">
        <f>IF(E221="","",I221)</f>
        <v/>
      </c>
    </row>
    <row r="222" spans="8:15">
      <c r="K222" s="214" t="str">
        <f t="shared" ref="K222:K261" si="32">IF(E222="","",E222)</f>
        <v/>
      </c>
      <c r="L222" s="214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14" t="str">
        <f t="shared" ref="M222:M261" si="33">IF(E222="","",G222)</f>
        <v/>
      </c>
      <c r="N222" s="215" t="str">
        <f t="shared" ref="N222:N261" si="34">IF(E222="","",H222)</f>
        <v/>
      </c>
      <c r="O222" s="215" t="str">
        <f t="shared" ref="O222:O261" si="35">IF(E222="","",I222)</f>
        <v/>
      </c>
    </row>
    <row r="223" spans="8:15">
      <c r="K223" s="214" t="str">
        <f t="shared" si="32"/>
        <v/>
      </c>
      <c r="L223" s="214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14" t="str">
        <f t="shared" si="33"/>
        <v/>
      </c>
      <c r="N223" s="215" t="str">
        <f t="shared" si="34"/>
        <v/>
      </c>
      <c r="O223" s="215" t="str">
        <f t="shared" si="35"/>
        <v/>
      </c>
    </row>
    <row r="224" spans="8:15">
      <c r="K224" s="214" t="str">
        <f t="shared" si="32"/>
        <v/>
      </c>
      <c r="L224" s="214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14" t="str">
        <f t="shared" si="33"/>
        <v/>
      </c>
      <c r="N224" s="215" t="str">
        <f t="shared" si="34"/>
        <v/>
      </c>
      <c r="O224" s="215" t="str">
        <f t="shared" si="35"/>
        <v/>
      </c>
    </row>
    <row r="225" spans="11:15">
      <c r="K225" s="214" t="str">
        <f t="shared" si="32"/>
        <v/>
      </c>
      <c r="L225" s="214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14" t="str">
        <f t="shared" si="33"/>
        <v/>
      </c>
      <c r="N225" s="215" t="str">
        <f t="shared" si="34"/>
        <v/>
      </c>
      <c r="O225" s="215" t="str">
        <f t="shared" si="35"/>
        <v/>
      </c>
    </row>
    <row r="226" spans="11:15">
      <c r="K226" s="214" t="str">
        <f t="shared" si="32"/>
        <v/>
      </c>
      <c r="L226" s="214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14" t="str">
        <f t="shared" si="33"/>
        <v/>
      </c>
      <c r="N226" s="215" t="str">
        <f t="shared" si="34"/>
        <v/>
      </c>
      <c r="O226" s="215" t="str">
        <f t="shared" si="35"/>
        <v/>
      </c>
    </row>
    <row r="227" spans="11:15">
      <c r="K227" s="214" t="str">
        <f t="shared" si="32"/>
        <v/>
      </c>
      <c r="L227" s="214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14" t="str">
        <f t="shared" si="33"/>
        <v/>
      </c>
      <c r="N227" s="215" t="str">
        <f t="shared" si="34"/>
        <v/>
      </c>
      <c r="O227" s="215" t="str">
        <f t="shared" si="35"/>
        <v/>
      </c>
    </row>
    <row r="228" spans="11:15">
      <c r="K228" s="214" t="str">
        <f t="shared" si="32"/>
        <v/>
      </c>
      <c r="L228" s="214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14" t="str">
        <f t="shared" si="33"/>
        <v/>
      </c>
      <c r="N228" s="215" t="str">
        <f t="shared" si="34"/>
        <v/>
      </c>
      <c r="O228" s="215" t="str">
        <f t="shared" si="35"/>
        <v/>
      </c>
    </row>
    <row r="229" spans="11:15">
      <c r="K229" s="214" t="str">
        <f t="shared" si="32"/>
        <v/>
      </c>
      <c r="L229" s="214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14" t="str">
        <f t="shared" si="33"/>
        <v/>
      </c>
      <c r="N229" s="215" t="str">
        <f t="shared" si="34"/>
        <v/>
      </c>
      <c r="O229" s="215" t="str">
        <f t="shared" si="35"/>
        <v/>
      </c>
    </row>
    <row r="230" spans="11:15">
      <c r="K230" s="214" t="str">
        <f t="shared" si="32"/>
        <v/>
      </c>
      <c r="L230" s="214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14" t="str">
        <f t="shared" si="33"/>
        <v/>
      </c>
      <c r="N230" s="215" t="str">
        <f t="shared" si="34"/>
        <v/>
      </c>
      <c r="O230" s="215" t="str">
        <f t="shared" si="35"/>
        <v/>
      </c>
    </row>
    <row r="231" spans="11:15">
      <c r="K231" s="214" t="str">
        <f t="shared" si="32"/>
        <v/>
      </c>
      <c r="L231" s="214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14" t="str">
        <f t="shared" si="33"/>
        <v/>
      </c>
      <c r="N231" s="215" t="str">
        <f t="shared" si="34"/>
        <v/>
      </c>
      <c r="O231" s="215" t="str">
        <f t="shared" si="35"/>
        <v/>
      </c>
    </row>
    <row r="232" spans="11:15">
      <c r="K232" s="214" t="str">
        <f t="shared" si="32"/>
        <v/>
      </c>
      <c r="L232" s="214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14" t="str">
        <f t="shared" si="33"/>
        <v/>
      </c>
      <c r="N232" s="215" t="str">
        <f t="shared" si="34"/>
        <v/>
      </c>
      <c r="O232" s="215" t="str">
        <f t="shared" si="35"/>
        <v/>
      </c>
    </row>
    <row r="233" spans="11:15">
      <c r="K233" s="214" t="str">
        <f t="shared" si="32"/>
        <v/>
      </c>
      <c r="L233" s="214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14" t="str">
        <f t="shared" si="33"/>
        <v/>
      </c>
      <c r="N233" s="215" t="str">
        <f t="shared" si="34"/>
        <v/>
      </c>
      <c r="O233" s="215" t="str">
        <f t="shared" si="35"/>
        <v/>
      </c>
    </row>
    <row r="234" spans="11:15">
      <c r="K234" s="214" t="str">
        <f t="shared" si="32"/>
        <v/>
      </c>
      <c r="L234" s="214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14" t="str">
        <f t="shared" si="33"/>
        <v/>
      </c>
      <c r="N234" s="215" t="str">
        <f t="shared" si="34"/>
        <v/>
      </c>
      <c r="O234" s="215" t="str">
        <f t="shared" si="35"/>
        <v/>
      </c>
    </row>
    <row r="235" spans="11:15">
      <c r="K235" s="214" t="str">
        <f t="shared" si="32"/>
        <v/>
      </c>
      <c r="L235" s="214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14" t="str">
        <f t="shared" si="33"/>
        <v/>
      </c>
      <c r="N235" s="215" t="str">
        <f t="shared" si="34"/>
        <v/>
      </c>
      <c r="O235" s="215" t="str">
        <f t="shared" si="35"/>
        <v/>
      </c>
    </row>
    <row r="236" spans="11:15">
      <c r="K236" s="214" t="str">
        <f t="shared" si="32"/>
        <v/>
      </c>
      <c r="L236" s="214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14" t="str">
        <f t="shared" si="33"/>
        <v/>
      </c>
      <c r="N236" s="215" t="str">
        <f t="shared" si="34"/>
        <v/>
      </c>
      <c r="O236" s="215" t="str">
        <f t="shared" si="35"/>
        <v/>
      </c>
    </row>
    <row r="237" spans="11:15">
      <c r="K237" s="214" t="str">
        <f t="shared" si="32"/>
        <v/>
      </c>
      <c r="L237" s="214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14" t="str">
        <f t="shared" si="33"/>
        <v/>
      </c>
      <c r="N237" s="215" t="str">
        <f t="shared" si="34"/>
        <v/>
      </c>
      <c r="O237" s="215" t="str">
        <f t="shared" si="35"/>
        <v/>
      </c>
    </row>
    <row r="238" spans="11:15">
      <c r="K238" s="214" t="str">
        <f t="shared" si="32"/>
        <v/>
      </c>
      <c r="L238" s="214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14" t="str">
        <f t="shared" si="33"/>
        <v/>
      </c>
      <c r="N238" s="215" t="str">
        <f t="shared" si="34"/>
        <v/>
      </c>
      <c r="O238" s="215" t="str">
        <f t="shared" si="35"/>
        <v/>
      </c>
    </row>
    <row r="239" spans="11:15">
      <c r="K239" s="214" t="str">
        <f t="shared" si="32"/>
        <v/>
      </c>
      <c r="L239" s="214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14" t="str">
        <f t="shared" si="33"/>
        <v/>
      </c>
      <c r="N239" s="215" t="str">
        <f t="shared" si="34"/>
        <v/>
      </c>
      <c r="O239" s="215" t="str">
        <f t="shared" si="35"/>
        <v/>
      </c>
    </row>
    <row r="240" spans="11:15">
      <c r="K240" s="214" t="str">
        <f t="shared" si="32"/>
        <v/>
      </c>
      <c r="L240" s="214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14" t="str">
        <f t="shared" si="33"/>
        <v/>
      </c>
      <c r="N240" s="215" t="str">
        <f t="shared" si="34"/>
        <v/>
      </c>
      <c r="O240" s="215" t="str">
        <f t="shared" si="35"/>
        <v/>
      </c>
    </row>
    <row r="241" spans="11:15">
      <c r="K241" s="214" t="str">
        <f t="shared" si="32"/>
        <v/>
      </c>
      <c r="L241" s="214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14" t="str">
        <f t="shared" si="33"/>
        <v/>
      </c>
      <c r="N241" s="215" t="str">
        <f t="shared" si="34"/>
        <v/>
      </c>
      <c r="O241" s="215" t="str">
        <f t="shared" si="35"/>
        <v/>
      </c>
    </row>
    <row r="242" spans="11:15">
      <c r="K242" s="214" t="str">
        <f t="shared" si="32"/>
        <v/>
      </c>
      <c r="L242" s="214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14" t="str">
        <f t="shared" si="33"/>
        <v/>
      </c>
      <c r="N242" s="215" t="str">
        <f t="shared" si="34"/>
        <v/>
      </c>
      <c r="O242" s="215" t="str">
        <f t="shared" si="35"/>
        <v/>
      </c>
    </row>
    <row r="243" spans="11:15">
      <c r="K243" s="214" t="str">
        <f t="shared" si="32"/>
        <v/>
      </c>
      <c r="L243" s="214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14" t="str">
        <f t="shared" si="33"/>
        <v/>
      </c>
      <c r="N243" s="215" t="str">
        <f t="shared" si="34"/>
        <v/>
      </c>
      <c r="O243" s="215" t="str">
        <f t="shared" si="35"/>
        <v/>
      </c>
    </row>
    <row r="244" spans="11:15">
      <c r="K244" s="214" t="str">
        <f t="shared" si="32"/>
        <v/>
      </c>
      <c r="L244" s="214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14" t="str">
        <f t="shared" si="33"/>
        <v/>
      </c>
      <c r="N244" s="215" t="str">
        <f t="shared" si="34"/>
        <v/>
      </c>
      <c r="O244" s="215" t="str">
        <f t="shared" si="35"/>
        <v/>
      </c>
    </row>
    <row r="245" spans="11:15">
      <c r="K245" s="214" t="str">
        <f t="shared" si="32"/>
        <v/>
      </c>
      <c r="L245" s="214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14" t="str">
        <f t="shared" si="33"/>
        <v/>
      </c>
      <c r="N245" s="215" t="str">
        <f t="shared" si="34"/>
        <v/>
      </c>
      <c r="O245" s="215" t="str">
        <f t="shared" si="35"/>
        <v/>
      </c>
    </row>
    <row r="246" spans="11:15">
      <c r="K246" s="214" t="str">
        <f t="shared" si="32"/>
        <v/>
      </c>
      <c r="L246" s="214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14" t="str">
        <f t="shared" si="33"/>
        <v/>
      </c>
      <c r="N246" s="215" t="str">
        <f t="shared" si="34"/>
        <v/>
      </c>
      <c r="O246" s="215" t="str">
        <f t="shared" si="35"/>
        <v/>
      </c>
    </row>
    <row r="247" spans="11:15">
      <c r="K247" s="214" t="str">
        <f t="shared" si="32"/>
        <v/>
      </c>
      <c r="L247" s="214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14" t="str">
        <f t="shared" si="33"/>
        <v/>
      </c>
      <c r="N247" s="215" t="str">
        <f t="shared" si="34"/>
        <v/>
      </c>
      <c r="O247" s="215" t="str">
        <f t="shared" si="35"/>
        <v/>
      </c>
    </row>
    <row r="248" spans="11:15">
      <c r="K248" s="214" t="str">
        <f t="shared" si="32"/>
        <v/>
      </c>
      <c r="L248" s="214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14" t="str">
        <f t="shared" si="33"/>
        <v/>
      </c>
      <c r="N248" s="215" t="str">
        <f t="shared" si="34"/>
        <v/>
      </c>
      <c r="O248" s="215" t="str">
        <f t="shared" si="35"/>
        <v/>
      </c>
    </row>
    <row r="249" spans="11:15">
      <c r="K249" s="214" t="str">
        <f t="shared" si="32"/>
        <v/>
      </c>
      <c r="L249" s="214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14" t="str">
        <f t="shared" si="33"/>
        <v/>
      </c>
      <c r="N249" s="215" t="str">
        <f t="shared" si="34"/>
        <v/>
      </c>
      <c r="O249" s="215" t="str">
        <f t="shared" si="35"/>
        <v/>
      </c>
    </row>
    <row r="250" spans="11:15">
      <c r="K250" s="214" t="str">
        <f t="shared" si="32"/>
        <v/>
      </c>
      <c r="L250" s="214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14" t="str">
        <f t="shared" si="33"/>
        <v/>
      </c>
      <c r="N250" s="215" t="str">
        <f t="shared" si="34"/>
        <v/>
      </c>
      <c r="O250" s="215" t="str">
        <f t="shared" si="35"/>
        <v/>
      </c>
    </row>
    <row r="251" spans="11:15">
      <c r="K251" s="214" t="str">
        <f t="shared" si="32"/>
        <v/>
      </c>
      <c r="L251" s="214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14" t="str">
        <f t="shared" si="33"/>
        <v/>
      </c>
      <c r="N251" s="215" t="str">
        <f t="shared" si="34"/>
        <v/>
      </c>
      <c r="O251" s="215" t="str">
        <f t="shared" si="35"/>
        <v/>
      </c>
    </row>
    <row r="252" spans="11:15">
      <c r="K252" s="214" t="str">
        <f t="shared" si="32"/>
        <v/>
      </c>
      <c r="L252" s="214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14" t="str">
        <f t="shared" si="33"/>
        <v/>
      </c>
      <c r="N252" s="215" t="str">
        <f t="shared" si="34"/>
        <v/>
      </c>
      <c r="O252" s="215" t="str">
        <f t="shared" si="35"/>
        <v/>
      </c>
    </row>
    <row r="253" spans="11:15">
      <c r="K253" s="214" t="str">
        <f t="shared" si="32"/>
        <v/>
      </c>
      <c r="L253" s="214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14" t="str">
        <f t="shared" si="33"/>
        <v/>
      </c>
      <c r="N253" s="215" t="str">
        <f t="shared" si="34"/>
        <v/>
      </c>
      <c r="O253" s="215" t="str">
        <f t="shared" si="35"/>
        <v/>
      </c>
    </row>
    <row r="254" spans="11:15">
      <c r="K254" s="214" t="str">
        <f t="shared" si="32"/>
        <v/>
      </c>
      <c r="L254" s="214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14" t="str">
        <f t="shared" si="33"/>
        <v/>
      </c>
      <c r="N254" s="215" t="str">
        <f t="shared" si="34"/>
        <v/>
      </c>
      <c r="O254" s="215" t="str">
        <f t="shared" si="35"/>
        <v/>
      </c>
    </row>
    <row r="255" spans="11:15">
      <c r="K255" s="214" t="str">
        <f t="shared" si="32"/>
        <v/>
      </c>
      <c r="L255" s="214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14" t="str">
        <f t="shared" si="33"/>
        <v/>
      </c>
      <c r="N255" s="215" t="str">
        <f t="shared" si="34"/>
        <v/>
      </c>
      <c r="O255" s="215" t="str">
        <f t="shared" si="35"/>
        <v/>
      </c>
    </row>
    <row r="256" spans="11:15">
      <c r="K256" s="214" t="str">
        <f t="shared" si="32"/>
        <v/>
      </c>
      <c r="L256" s="214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14" t="str">
        <f t="shared" si="33"/>
        <v/>
      </c>
      <c r="N256" s="215" t="str">
        <f t="shared" si="34"/>
        <v/>
      </c>
      <c r="O256" s="215" t="str">
        <f t="shared" si="35"/>
        <v/>
      </c>
    </row>
    <row r="257" spans="11:15">
      <c r="K257" s="214" t="str">
        <f t="shared" si="32"/>
        <v/>
      </c>
      <c r="L257" s="214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14" t="str">
        <f t="shared" si="33"/>
        <v/>
      </c>
      <c r="N257" s="215" t="str">
        <f t="shared" si="34"/>
        <v/>
      </c>
      <c r="O257" s="215" t="str">
        <f t="shared" si="35"/>
        <v/>
      </c>
    </row>
    <row r="258" spans="11:15">
      <c r="K258" s="214" t="str">
        <f t="shared" si="32"/>
        <v/>
      </c>
      <c r="L258" s="214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14" t="str">
        <f t="shared" si="33"/>
        <v/>
      </c>
      <c r="N258" s="215" t="str">
        <f t="shared" si="34"/>
        <v/>
      </c>
      <c r="O258" s="215" t="str">
        <f t="shared" si="35"/>
        <v/>
      </c>
    </row>
    <row r="259" spans="11:15">
      <c r="K259" s="214" t="str">
        <f t="shared" si="32"/>
        <v/>
      </c>
      <c r="L259" s="214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14" t="str">
        <f t="shared" si="33"/>
        <v/>
      </c>
      <c r="N259" s="215" t="str">
        <f t="shared" si="34"/>
        <v/>
      </c>
      <c r="O259" s="215" t="str">
        <f t="shared" si="35"/>
        <v/>
      </c>
    </row>
    <row r="260" spans="11:15">
      <c r="K260" s="214" t="str">
        <f t="shared" si="32"/>
        <v/>
      </c>
      <c r="L260" s="214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14" t="str">
        <f t="shared" si="33"/>
        <v/>
      </c>
      <c r="N260" s="215" t="str">
        <f t="shared" si="34"/>
        <v/>
      </c>
      <c r="O260" s="215" t="str">
        <f t="shared" si="35"/>
        <v/>
      </c>
    </row>
    <row r="261" spans="11:15">
      <c r="K261" s="214" t="str">
        <f t="shared" si="32"/>
        <v/>
      </c>
      <c r="L261" s="214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14" t="str">
        <f t="shared" si="33"/>
        <v/>
      </c>
      <c r="N261" s="215" t="str">
        <f t="shared" si="34"/>
        <v/>
      </c>
      <c r="O261" s="215" t="str">
        <f t="shared" si="35"/>
        <v/>
      </c>
    </row>
    <row r="262" spans="11:15">
      <c r="K262" s="214" t="str">
        <f t="shared" ref="K262:K267" si="36">IF(E262="","",E262)</f>
        <v/>
      </c>
      <c r="L262" s="214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14" t="str">
        <f t="shared" ref="M262:M267" si="37">IF(E262="","",G262)</f>
        <v/>
      </c>
      <c r="N262" s="215" t="str">
        <f t="shared" ref="N262:N267" si="38">IF(E262="","",H262)</f>
        <v/>
      </c>
      <c r="O262" s="215" t="str">
        <f t="shared" ref="O262:O267" si="39">IF(E262="","",I262)</f>
        <v/>
      </c>
    </row>
    <row r="263" spans="11:15">
      <c r="K263" s="214" t="str">
        <f t="shared" si="36"/>
        <v/>
      </c>
      <c r="L263" s="214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14" t="str">
        <f t="shared" si="37"/>
        <v/>
      </c>
      <c r="N263" s="215" t="str">
        <f t="shared" si="38"/>
        <v/>
      </c>
      <c r="O263" s="215" t="str">
        <f t="shared" si="39"/>
        <v/>
      </c>
    </row>
    <row r="264" spans="11:15">
      <c r="K264" s="214" t="str">
        <f t="shared" si="36"/>
        <v/>
      </c>
      <c r="L264" s="214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14" t="str">
        <f t="shared" si="37"/>
        <v/>
      </c>
      <c r="N264" s="215" t="str">
        <f t="shared" si="38"/>
        <v/>
      </c>
      <c r="O264" s="215" t="str">
        <f t="shared" si="39"/>
        <v/>
      </c>
    </row>
    <row r="265" spans="11:15">
      <c r="K265" s="214" t="str">
        <f t="shared" si="36"/>
        <v/>
      </c>
      <c r="L265" s="214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14" t="str">
        <f t="shared" si="37"/>
        <v/>
      </c>
      <c r="N265" s="215" t="str">
        <f t="shared" si="38"/>
        <v/>
      </c>
      <c r="O265" s="215" t="str">
        <f t="shared" si="39"/>
        <v/>
      </c>
    </row>
    <row r="266" spans="11:15">
      <c r="K266" s="214" t="str">
        <f t="shared" si="36"/>
        <v/>
      </c>
      <c r="L266" s="214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14" t="str">
        <f t="shared" si="37"/>
        <v/>
      </c>
      <c r="N266" s="215" t="str">
        <f t="shared" si="38"/>
        <v/>
      </c>
      <c r="O266" s="215" t="str">
        <f t="shared" si="39"/>
        <v/>
      </c>
    </row>
    <row r="267" spans="11:15">
      <c r="K267" s="214" t="str">
        <f t="shared" si="36"/>
        <v/>
      </c>
      <c r="L267" s="214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14" t="str">
        <f t="shared" si="37"/>
        <v/>
      </c>
      <c r="N267" s="215" t="str">
        <f t="shared" si="38"/>
        <v/>
      </c>
      <c r="O267" s="215" t="str">
        <f t="shared" si="39"/>
        <v/>
      </c>
    </row>
    <row r="268" spans="11:15">
      <c r="K268" s="214" t="str">
        <f t="shared" ref="K268:K293" si="40">IF(E268="","",E268)</f>
        <v/>
      </c>
      <c r="L268" s="214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14" t="str">
        <f t="shared" ref="M268:M293" si="41">IF(E268="","",G268)</f>
        <v/>
      </c>
      <c r="N268" s="215" t="str">
        <f t="shared" ref="N268:N293" si="42">IF(E268="","",H268)</f>
        <v/>
      </c>
      <c r="O268" s="215" t="str">
        <f t="shared" ref="O268:O293" si="43">IF(E268="","",I268)</f>
        <v/>
      </c>
    </row>
    <row r="269" spans="11:15">
      <c r="K269" s="214" t="str">
        <f t="shared" si="40"/>
        <v/>
      </c>
      <c r="L269" s="214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14" t="str">
        <f t="shared" si="41"/>
        <v/>
      </c>
      <c r="N269" s="215" t="str">
        <f t="shared" si="42"/>
        <v/>
      </c>
      <c r="O269" s="215" t="str">
        <f t="shared" si="43"/>
        <v/>
      </c>
    </row>
    <row r="270" spans="11:15">
      <c r="K270" s="214" t="str">
        <f t="shared" si="40"/>
        <v/>
      </c>
      <c r="L270" s="214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14" t="str">
        <f t="shared" si="41"/>
        <v/>
      </c>
      <c r="N270" s="215" t="str">
        <f t="shared" si="42"/>
        <v/>
      </c>
      <c r="O270" s="215" t="str">
        <f t="shared" si="43"/>
        <v/>
      </c>
    </row>
    <row r="271" spans="11:15">
      <c r="K271" s="214" t="str">
        <f t="shared" si="40"/>
        <v/>
      </c>
      <c r="L271" s="214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14" t="str">
        <f t="shared" si="41"/>
        <v/>
      </c>
      <c r="N271" s="215" t="str">
        <f t="shared" si="42"/>
        <v/>
      </c>
      <c r="O271" s="215" t="str">
        <f t="shared" si="43"/>
        <v/>
      </c>
    </row>
    <row r="272" spans="11:15">
      <c r="K272" s="214" t="str">
        <f t="shared" si="40"/>
        <v/>
      </c>
      <c r="L272" s="214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14" t="str">
        <f t="shared" si="41"/>
        <v/>
      </c>
      <c r="N272" s="215" t="str">
        <f t="shared" si="42"/>
        <v/>
      </c>
      <c r="O272" s="215" t="str">
        <f t="shared" si="43"/>
        <v/>
      </c>
    </row>
    <row r="273" spans="11:15">
      <c r="K273" s="214" t="str">
        <f t="shared" si="40"/>
        <v/>
      </c>
      <c r="L273" s="214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14" t="str">
        <f t="shared" si="41"/>
        <v/>
      </c>
      <c r="N273" s="215" t="str">
        <f t="shared" si="42"/>
        <v/>
      </c>
      <c r="O273" s="215" t="str">
        <f t="shared" si="43"/>
        <v/>
      </c>
    </row>
    <row r="274" spans="11:15">
      <c r="K274" s="214" t="str">
        <f t="shared" si="40"/>
        <v/>
      </c>
      <c r="L274" s="214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14" t="str">
        <f t="shared" si="41"/>
        <v/>
      </c>
      <c r="N274" s="215" t="str">
        <f t="shared" si="42"/>
        <v/>
      </c>
      <c r="O274" s="215" t="str">
        <f t="shared" si="43"/>
        <v/>
      </c>
    </row>
    <row r="275" spans="11:15">
      <c r="K275" s="214" t="str">
        <f t="shared" si="40"/>
        <v/>
      </c>
      <c r="L275" s="214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14" t="str">
        <f t="shared" si="41"/>
        <v/>
      </c>
      <c r="N275" s="215" t="str">
        <f t="shared" si="42"/>
        <v/>
      </c>
      <c r="O275" s="215" t="str">
        <f t="shared" si="43"/>
        <v/>
      </c>
    </row>
    <row r="276" spans="11:15">
      <c r="K276" s="214" t="str">
        <f t="shared" si="40"/>
        <v/>
      </c>
      <c r="L276" s="214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14" t="str">
        <f t="shared" si="41"/>
        <v/>
      </c>
      <c r="N276" s="215" t="str">
        <f t="shared" si="42"/>
        <v/>
      </c>
      <c r="O276" s="215" t="str">
        <f t="shared" si="43"/>
        <v/>
      </c>
    </row>
    <row r="277" spans="11:15">
      <c r="K277" s="214" t="str">
        <f t="shared" si="40"/>
        <v/>
      </c>
      <c r="L277" s="214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14" t="str">
        <f t="shared" si="41"/>
        <v/>
      </c>
      <c r="N277" s="215" t="str">
        <f t="shared" si="42"/>
        <v/>
      </c>
      <c r="O277" s="215" t="str">
        <f t="shared" si="43"/>
        <v/>
      </c>
    </row>
    <row r="278" spans="11:15">
      <c r="K278" s="214" t="str">
        <f t="shared" si="40"/>
        <v/>
      </c>
      <c r="L278" s="214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14" t="str">
        <f t="shared" si="41"/>
        <v/>
      </c>
      <c r="N278" s="215" t="str">
        <f t="shared" si="42"/>
        <v/>
      </c>
      <c r="O278" s="215" t="str">
        <f t="shared" si="43"/>
        <v/>
      </c>
    </row>
    <row r="279" spans="11:15">
      <c r="K279" s="214" t="str">
        <f t="shared" si="40"/>
        <v/>
      </c>
      <c r="L279" s="214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14" t="str">
        <f t="shared" si="41"/>
        <v/>
      </c>
      <c r="N279" s="215" t="str">
        <f t="shared" si="42"/>
        <v/>
      </c>
      <c r="O279" s="215" t="str">
        <f t="shared" si="43"/>
        <v/>
      </c>
    </row>
    <row r="280" spans="11:15">
      <c r="K280" s="214" t="str">
        <f t="shared" si="40"/>
        <v/>
      </c>
      <c r="L280" s="214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14" t="str">
        <f t="shared" si="41"/>
        <v/>
      </c>
      <c r="N280" s="215" t="str">
        <f t="shared" si="42"/>
        <v/>
      </c>
      <c r="O280" s="215" t="str">
        <f t="shared" si="43"/>
        <v/>
      </c>
    </row>
    <row r="281" spans="11:15">
      <c r="K281" s="214" t="str">
        <f t="shared" si="40"/>
        <v/>
      </c>
      <c r="L281" s="214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14" t="str">
        <f t="shared" si="41"/>
        <v/>
      </c>
      <c r="N281" s="215" t="str">
        <f t="shared" si="42"/>
        <v/>
      </c>
      <c r="O281" s="215" t="str">
        <f t="shared" si="43"/>
        <v/>
      </c>
    </row>
    <row r="282" spans="11:15">
      <c r="K282" s="214" t="str">
        <f t="shared" si="40"/>
        <v/>
      </c>
      <c r="L282" s="214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14" t="str">
        <f t="shared" si="41"/>
        <v/>
      </c>
      <c r="N282" s="215" t="str">
        <f t="shared" si="42"/>
        <v/>
      </c>
      <c r="O282" s="215" t="str">
        <f t="shared" si="43"/>
        <v/>
      </c>
    </row>
    <row r="283" spans="11:15">
      <c r="K283" s="214" t="str">
        <f t="shared" si="40"/>
        <v/>
      </c>
      <c r="L283" s="214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14" t="str">
        <f t="shared" si="41"/>
        <v/>
      </c>
      <c r="N283" s="215" t="str">
        <f t="shared" si="42"/>
        <v/>
      </c>
      <c r="O283" s="215" t="str">
        <f t="shared" si="43"/>
        <v/>
      </c>
    </row>
    <row r="284" spans="11:15">
      <c r="K284" s="214" t="str">
        <f t="shared" si="40"/>
        <v/>
      </c>
      <c r="L284" s="214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14" t="str">
        <f t="shared" si="41"/>
        <v/>
      </c>
      <c r="N284" s="215" t="str">
        <f t="shared" si="42"/>
        <v/>
      </c>
      <c r="O284" s="215" t="str">
        <f t="shared" si="43"/>
        <v/>
      </c>
    </row>
    <row r="285" spans="11:15">
      <c r="K285" s="214" t="str">
        <f t="shared" si="40"/>
        <v/>
      </c>
      <c r="L285" s="214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14" t="str">
        <f t="shared" si="41"/>
        <v/>
      </c>
      <c r="N285" s="215" t="str">
        <f t="shared" si="42"/>
        <v/>
      </c>
      <c r="O285" s="215" t="str">
        <f t="shared" si="43"/>
        <v/>
      </c>
    </row>
    <row r="286" spans="11:15">
      <c r="K286" s="214" t="str">
        <f t="shared" si="40"/>
        <v/>
      </c>
      <c r="L286" s="214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14" t="str">
        <f t="shared" si="41"/>
        <v/>
      </c>
      <c r="N286" s="215" t="str">
        <f t="shared" si="42"/>
        <v/>
      </c>
      <c r="O286" s="215" t="str">
        <f t="shared" si="43"/>
        <v/>
      </c>
    </row>
    <row r="287" spans="11:15">
      <c r="K287" s="214" t="str">
        <f t="shared" si="40"/>
        <v/>
      </c>
      <c r="L287" s="214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14" t="str">
        <f t="shared" si="41"/>
        <v/>
      </c>
      <c r="N287" s="215" t="str">
        <f t="shared" si="42"/>
        <v/>
      </c>
      <c r="O287" s="215" t="str">
        <f t="shared" si="43"/>
        <v/>
      </c>
    </row>
    <row r="288" spans="11:15">
      <c r="K288" s="214" t="str">
        <f t="shared" si="40"/>
        <v/>
      </c>
      <c r="L288" s="214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14" t="str">
        <f t="shared" si="41"/>
        <v/>
      </c>
      <c r="N288" s="215" t="str">
        <f t="shared" si="42"/>
        <v/>
      </c>
      <c r="O288" s="215" t="str">
        <f t="shared" si="43"/>
        <v/>
      </c>
    </row>
    <row r="289" spans="11:15">
      <c r="K289" s="214" t="str">
        <f t="shared" si="40"/>
        <v/>
      </c>
      <c r="L289" s="214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14" t="str">
        <f t="shared" si="41"/>
        <v/>
      </c>
      <c r="N289" s="215" t="str">
        <f t="shared" si="42"/>
        <v/>
      </c>
      <c r="O289" s="215" t="str">
        <f t="shared" si="43"/>
        <v/>
      </c>
    </row>
    <row r="290" spans="11:15">
      <c r="K290" s="214" t="str">
        <f t="shared" si="40"/>
        <v/>
      </c>
      <c r="L290" s="214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14" t="str">
        <f t="shared" si="41"/>
        <v/>
      </c>
      <c r="N290" s="215" t="str">
        <f t="shared" si="42"/>
        <v/>
      </c>
      <c r="O290" s="215" t="str">
        <f t="shared" si="43"/>
        <v/>
      </c>
    </row>
    <row r="291" spans="11:15">
      <c r="K291" s="214" t="str">
        <f t="shared" si="40"/>
        <v/>
      </c>
      <c r="L291" s="214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14" t="str">
        <f t="shared" si="41"/>
        <v/>
      </c>
      <c r="N291" s="215" t="str">
        <f t="shared" si="42"/>
        <v/>
      </c>
      <c r="O291" s="215" t="str">
        <f t="shared" si="43"/>
        <v/>
      </c>
    </row>
    <row r="292" spans="11:15">
      <c r="K292" s="214" t="str">
        <f t="shared" si="40"/>
        <v/>
      </c>
      <c r="L292" s="214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14" t="str">
        <f t="shared" si="41"/>
        <v/>
      </c>
      <c r="N292" s="215" t="str">
        <f t="shared" si="42"/>
        <v/>
      </c>
      <c r="O292" s="215" t="str">
        <f t="shared" si="43"/>
        <v/>
      </c>
    </row>
    <row r="293" spans="11:15">
      <c r="K293" s="214" t="str">
        <f t="shared" si="40"/>
        <v/>
      </c>
      <c r="L293" s="214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14" t="str">
        <f t="shared" si="41"/>
        <v/>
      </c>
      <c r="N293" s="215" t="str">
        <f t="shared" si="42"/>
        <v/>
      </c>
      <c r="O293" s="215" t="str">
        <f t="shared" si="43"/>
        <v/>
      </c>
    </row>
    <row r="294" spans="11:15">
      <c r="K294" s="214" t="str">
        <f t="shared" ref="K294:K357" si="44">IF(E294="","",E294)</f>
        <v/>
      </c>
      <c r="L294" s="214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14" t="str">
        <f t="shared" ref="M294:M357" si="45">IF(E294="","",G294)</f>
        <v/>
      </c>
      <c r="N294" s="215" t="str">
        <f t="shared" ref="N294:N357" si="46">IF(E294="","",H294)</f>
        <v/>
      </c>
      <c r="O294" s="215" t="str">
        <f t="shared" ref="O294:O357" si="47">IF(E294="","",I294)</f>
        <v/>
      </c>
    </row>
    <row r="295" spans="11:15">
      <c r="K295" s="214" t="str">
        <f t="shared" si="44"/>
        <v/>
      </c>
      <c r="L295" s="214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14" t="str">
        <f t="shared" si="45"/>
        <v/>
      </c>
      <c r="N295" s="215" t="str">
        <f t="shared" si="46"/>
        <v/>
      </c>
      <c r="O295" s="215" t="str">
        <f t="shared" si="47"/>
        <v/>
      </c>
    </row>
    <row r="296" spans="11:15">
      <c r="K296" s="214" t="str">
        <f t="shared" si="44"/>
        <v/>
      </c>
      <c r="L296" s="214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14" t="str">
        <f t="shared" si="45"/>
        <v/>
      </c>
      <c r="N296" s="215" t="str">
        <f t="shared" si="46"/>
        <v/>
      </c>
      <c r="O296" s="215" t="str">
        <f t="shared" si="47"/>
        <v/>
      </c>
    </row>
    <row r="297" spans="11:15">
      <c r="K297" s="214" t="str">
        <f t="shared" si="44"/>
        <v/>
      </c>
      <c r="L297" s="214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14" t="str">
        <f t="shared" si="45"/>
        <v/>
      </c>
      <c r="N297" s="215" t="str">
        <f t="shared" si="46"/>
        <v/>
      </c>
      <c r="O297" s="215" t="str">
        <f t="shared" si="47"/>
        <v/>
      </c>
    </row>
    <row r="298" spans="11:15">
      <c r="K298" s="214" t="str">
        <f t="shared" si="44"/>
        <v/>
      </c>
      <c r="L298" s="214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14" t="str">
        <f t="shared" si="45"/>
        <v/>
      </c>
      <c r="N298" s="215" t="str">
        <f t="shared" si="46"/>
        <v/>
      </c>
      <c r="O298" s="215" t="str">
        <f t="shared" si="47"/>
        <v/>
      </c>
    </row>
    <row r="299" spans="11:15">
      <c r="K299" s="214" t="str">
        <f t="shared" si="44"/>
        <v/>
      </c>
      <c r="L299" s="214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14" t="str">
        <f t="shared" si="45"/>
        <v/>
      </c>
      <c r="N299" s="215" t="str">
        <f t="shared" si="46"/>
        <v/>
      </c>
      <c r="O299" s="215" t="str">
        <f t="shared" si="47"/>
        <v/>
      </c>
    </row>
    <row r="300" spans="11:15">
      <c r="K300" s="214" t="str">
        <f t="shared" si="44"/>
        <v/>
      </c>
      <c r="L300" s="214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14" t="str">
        <f t="shared" si="45"/>
        <v/>
      </c>
      <c r="N300" s="215" t="str">
        <f t="shared" si="46"/>
        <v/>
      </c>
      <c r="O300" s="215" t="str">
        <f t="shared" si="47"/>
        <v/>
      </c>
    </row>
    <row r="301" spans="11:15">
      <c r="K301" s="214" t="str">
        <f t="shared" si="44"/>
        <v/>
      </c>
      <c r="L301" s="214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14" t="str">
        <f t="shared" si="45"/>
        <v/>
      </c>
      <c r="N301" s="215" t="str">
        <f t="shared" si="46"/>
        <v/>
      </c>
      <c r="O301" s="215" t="str">
        <f t="shared" si="47"/>
        <v/>
      </c>
    </row>
    <row r="302" spans="11:15">
      <c r="K302" s="214" t="str">
        <f t="shared" si="44"/>
        <v/>
      </c>
      <c r="L302" s="214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14" t="str">
        <f t="shared" si="45"/>
        <v/>
      </c>
      <c r="N302" s="215" t="str">
        <f t="shared" si="46"/>
        <v/>
      </c>
      <c r="O302" s="215" t="str">
        <f t="shared" si="47"/>
        <v/>
      </c>
    </row>
    <row r="303" spans="11:15">
      <c r="K303" s="214" t="str">
        <f t="shared" si="44"/>
        <v/>
      </c>
      <c r="L303" s="214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14" t="str">
        <f t="shared" si="45"/>
        <v/>
      </c>
      <c r="N303" s="215" t="str">
        <f t="shared" si="46"/>
        <v/>
      </c>
      <c r="O303" s="215" t="str">
        <f t="shared" si="47"/>
        <v/>
      </c>
    </row>
    <row r="304" spans="11:15">
      <c r="K304" s="214" t="str">
        <f t="shared" si="44"/>
        <v/>
      </c>
      <c r="L304" s="214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14" t="str">
        <f t="shared" si="45"/>
        <v/>
      </c>
      <c r="N304" s="215" t="str">
        <f t="shared" si="46"/>
        <v/>
      </c>
      <c r="O304" s="215" t="str">
        <f t="shared" si="47"/>
        <v/>
      </c>
    </row>
    <row r="305" spans="11:15">
      <c r="K305" s="214" t="str">
        <f t="shared" si="44"/>
        <v/>
      </c>
      <c r="L305" s="214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14" t="str">
        <f t="shared" si="45"/>
        <v/>
      </c>
      <c r="N305" s="215" t="str">
        <f t="shared" si="46"/>
        <v/>
      </c>
      <c r="O305" s="215" t="str">
        <f t="shared" si="47"/>
        <v/>
      </c>
    </row>
    <row r="306" spans="11:15">
      <c r="K306" s="214" t="str">
        <f t="shared" si="44"/>
        <v/>
      </c>
      <c r="L306" s="214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14" t="str">
        <f t="shared" si="45"/>
        <v/>
      </c>
      <c r="N306" s="215" t="str">
        <f t="shared" si="46"/>
        <v/>
      </c>
      <c r="O306" s="215" t="str">
        <f t="shared" si="47"/>
        <v/>
      </c>
    </row>
    <row r="307" spans="11:15">
      <c r="K307" s="214" t="str">
        <f t="shared" si="44"/>
        <v/>
      </c>
      <c r="L307" s="214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14" t="str">
        <f t="shared" si="45"/>
        <v/>
      </c>
      <c r="N307" s="215" t="str">
        <f t="shared" si="46"/>
        <v/>
      </c>
      <c r="O307" s="215" t="str">
        <f t="shared" si="47"/>
        <v/>
      </c>
    </row>
    <row r="308" spans="11:15">
      <c r="K308" s="214" t="str">
        <f t="shared" si="44"/>
        <v/>
      </c>
      <c r="L308" s="214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14" t="str">
        <f t="shared" si="45"/>
        <v/>
      </c>
      <c r="N308" s="215" t="str">
        <f t="shared" si="46"/>
        <v/>
      </c>
      <c r="O308" s="215" t="str">
        <f t="shared" si="47"/>
        <v/>
      </c>
    </row>
    <row r="309" spans="11:15">
      <c r="K309" s="214" t="str">
        <f t="shared" si="44"/>
        <v/>
      </c>
      <c r="L309" s="214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14" t="str">
        <f t="shared" si="45"/>
        <v/>
      </c>
      <c r="N309" s="215" t="str">
        <f t="shared" si="46"/>
        <v/>
      </c>
      <c r="O309" s="215" t="str">
        <f t="shared" si="47"/>
        <v/>
      </c>
    </row>
    <row r="310" spans="11:15">
      <c r="K310" s="214" t="str">
        <f t="shared" si="44"/>
        <v/>
      </c>
      <c r="L310" s="214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14" t="str">
        <f t="shared" si="45"/>
        <v/>
      </c>
      <c r="N310" s="215" t="str">
        <f t="shared" si="46"/>
        <v/>
      </c>
      <c r="O310" s="215" t="str">
        <f t="shared" si="47"/>
        <v/>
      </c>
    </row>
    <row r="311" spans="11:15">
      <c r="K311" s="214" t="str">
        <f t="shared" si="44"/>
        <v/>
      </c>
      <c r="L311" s="214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14" t="str">
        <f t="shared" si="45"/>
        <v/>
      </c>
      <c r="N311" s="215" t="str">
        <f t="shared" si="46"/>
        <v/>
      </c>
      <c r="O311" s="215" t="str">
        <f t="shared" si="47"/>
        <v/>
      </c>
    </row>
    <row r="312" spans="11:15">
      <c r="K312" s="214" t="str">
        <f t="shared" si="44"/>
        <v/>
      </c>
      <c r="L312" s="214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14" t="str">
        <f t="shared" si="45"/>
        <v/>
      </c>
      <c r="N312" s="215" t="str">
        <f t="shared" si="46"/>
        <v/>
      </c>
      <c r="O312" s="215" t="str">
        <f t="shared" si="47"/>
        <v/>
      </c>
    </row>
    <row r="313" spans="11:15">
      <c r="K313" s="214" t="str">
        <f t="shared" si="44"/>
        <v/>
      </c>
      <c r="L313" s="214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14" t="str">
        <f t="shared" si="45"/>
        <v/>
      </c>
      <c r="N313" s="215" t="str">
        <f t="shared" si="46"/>
        <v/>
      </c>
      <c r="O313" s="215" t="str">
        <f t="shared" si="47"/>
        <v/>
      </c>
    </row>
    <row r="314" spans="11:15">
      <c r="K314" s="214" t="str">
        <f t="shared" si="44"/>
        <v/>
      </c>
      <c r="L314" s="214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14" t="str">
        <f t="shared" si="45"/>
        <v/>
      </c>
      <c r="N314" s="215" t="str">
        <f t="shared" si="46"/>
        <v/>
      </c>
      <c r="O314" s="215" t="str">
        <f t="shared" si="47"/>
        <v/>
      </c>
    </row>
    <row r="315" spans="11:15">
      <c r="K315" s="214" t="str">
        <f t="shared" si="44"/>
        <v/>
      </c>
      <c r="L315" s="214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14" t="str">
        <f t="shared" si="45"/>
        <v/>
      </c>
      <c r="N315" s="215" t="str">
        <f t="shared" si="46"/>
        <v/>
      </c>
      <c r="O315" s="215" t="str">
        <f t="shared" si="47"/>
        <v/>
      </c>
    </row>
    <row r="316" spans="11:15">
      <c r="K316" s="214" t="str">
        <f t="shared" si="44"/>
        <v/>
      </c>
      <c r="L316" s="214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14" t="str">
        <f t="shared" si="45"/>
        <v/>
      </c>
      <c r="N316" s="215" t="str">
        <f t="shared" si="46"/>
        <v/>
      </c>
      <c r="O316" s="215" t="str">
        <f t="shared" si="47"/>
        <v/>
      </c>
    </row>
    <row r="317" spans="11:15">
      <c r="K317" s="214" t="str">
        <f t="shared" si="44"/>
        <v/>
      </c>
      <c r="L317" s="214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14" t="str">
        <f t="shared" si="45"/>
        <v/>
      </c>
      <c r="N317" s="215" t="str">
        <f t="shared" si="46"/>
        <v/>
      </c>
      <c r="O317" s="215" t="str">
        <f t="shared" si="47"/>
        <v/>
      </c>
    </row>
    <row r="318" spans="11:15">
      <c r="K318" s="214" t="str">
        <f t="shared" si="44"/>
        <v/>
      </c>
      <c r="L318" s="214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14" t="str">
        <f t="shared" si="45"/>
        <v/>
      </c>
      <c r="N318" s="215" t="str">
        <f t="shared" si="46"/>
        <v/>
      </c>
      <c r="O318" s="215" t="str">
        <f t="shared" si="47"/>
        <v/>
      </c>
    </row>
    <row r="319" spans="11:15">
      <c r="K319" s="214" t="str">
        <f t="shared" si="44"/>
        <v/>
      </c>
      <c r="L319" s="214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14" t="str">
        <f t="shared" si="45"/>
        <v/>
      </c>
      <c r="N319" s="215" t="str">
        <f t="shared" si="46"/>
        <v/>
      </c>
      <c r="O319" s="215" t="str">
        <f t="shared" si="47"/>
        <v/>
      </c>
    </row>
    <row r="320" spans="11:15">
      <c r="K320" s="214" t="str">
        <f t="shared" si="44"/>
        <v/>
      </c>
      <c r="L320" s="214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14" t="str">
        <f t="shared" si="45"/>
        <v/>
      </c>
      <c r="N320" s="215" t="str">
        <f t="shared" si="46"/>
        <v/>
      </c>
      <c r="O320" s="215" t="str">
        <f t="shared" si="47"/>
        <v/>
      </c>
    </row>
    <row r="321" spans="11:15">
      <c r="K321" s="214" t="str">
        <f t="shared" si="44"/>
        <v/>
      </c>
      <c r="L321" s="214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14" t="str">
        <f t="shared" si="45"/>
        <v/>
      </c>
      <c r="N321" s="215" t="str">
        <f t="shared" si="46"/>
        <v/>
      </c>
      <c r="O321" s="215" t="str">
        <f t="shared" si="47"/>
        <v/>
      </c>
    </row>
    <row r="322" spans="11:15">
      <c r="K322" s="214" t="str">
        <f t="shared" si="44"/>
        <v/>
      </c>
      <c r="L322" s="214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14" t="str">
        <f t="shared" si="45"/>
        <v/>
      </c>
      <c r="N322" s="215" t="str">
        <f t="shared" si="46"/>
        <v/>
      </c>
      <c r="O322" s="215" t="str">
        <f t="shared" si="47"/>
        <v/>
      </c>
    </row>
    <row r="323" spans="11:15">
      <c r="K323" s="214" t="str">
        <f t="shared" si="44"/>
        <v/>
      </c>
      <c r="L323" s="214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14" t="str">
        <f t="shared" si="45"/>
        <v/>
      </c>
      <c r="N323" s="215" t="str">
        <f t="shared" si="46"/>
        <v/>
      </c>
      <c r="O323" s="215" t="str">
        <f t="shared" si="47"/>
        <v/>
      </c>
    </row>
    <row r="324" spans="11:15">
      <c r="K324" s="214" t="str">
        <f t="shared" si="44"/>
        <v/>
      </c>
      <c r="L324" s="214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14" t="str">
        <f t="shared" si="45"/>
        <v/>
      </c>
      <c r="N324" s="215" t="str">
        <f t="shared" si="46"/>
        <v/>
      </c>
      <c r="O324" s="215" t="str">
        <f t="shared" si="47"/>
        <v/>
      </c>
    </row>
    <row r="325" spans="11:15">
      <c r="K325" s="214" t="str">
        <f t="shared" si="44"/>
        <v/>
      </c>
      <c r="L325" s="214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14" t="str">
        <f t="shared" si="45"/>
        <v/>
      </c>
      <c r="N325" s="215" t="str">
        <f t="shared" si="46"/>
        <v/>
      </c>
      <c r="O325" s="215" t="str">
        <f t="shared" si="47"/>
        <v/>
      </c>
    </row>
    <row r="326" spans="11:15">
      <c r="K326" s="214" t="str">
        <f t="shared" si="44"/>
        <v/>
      </c>
      <c r="L326" s="214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14" t="str">
        <f t="shared" si="45"/>
        <v/>
      </c>
      <c r="N326" s="215" t="str">
        <f t="shared" si="46"/>
        <v/>
      </c>
      <c r="O326" s="215" t="str">
        <f t="shared" si="47"/>
        <v/>
      </c>
    </row>
    <row r="327" spans="11:15">
      <c r="K327" s="214" t="str">
        <f t="shared" si="44"/>
        <v/>
      </c>
      <c r="L327" s="214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14" t="str">
        <f t="shared" si="45"/>
        <v/>
      </c>
      <c r="N327" s="215" t="str">
        <f t="shared" si="46"/>
        <v/>
      </c>
      <c r="O327" s="215" t="str">
        <f t="shared" si="47"/>
        <v/>
      </c>
    </row>
    <row r="328" spans="11:15">
      <c r="K328" s="214" t="str">
        <f t="shared" si="44"/>
        <v/>
      </c>
      <c r="L328" s="214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14" t="str">
        <f t="shared" si="45"/>
        <v/>
      </c>
      <c r="N328" s="215" t="str">
        <f t="shared" si="46"/>
        <v/>
      </c>
      <c r="O328" s="215" t="str">
        <f t="shared" si="47"/>
        <v/>
      </c>
    </row>
    <row r="329" spans="11:15">
      <c r="K329" s="214" t="str">
        <f t="shared" si="44"/>
        <v/>
      </c>
      <c r="L329" s="214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14" t="str">
        <f t="shared" si="45"/>
        <v/>
      </c>
      <c r="N329" s="215" t="str">
        <f t="shared" si="46"/>
        <v/>
      </c>
      <c r="O329" s="215" t="str">
        <f t="shared" si="47"/>
        <v/>
      </c>
    </row>
    <row r="330" spans="11:15">
      <c r="K330" s="214" t="str">
        <f t="shared" si="44"/>
        <v/>
      </c>
      <c r="L330" s="214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14" t="str">
        <f t="shared" si="45"/>
        <v/>
      </c>
      <c r="N330" s="215" t="str">
        <f t="shared" si="46"/>
        <v/>
      </c>
      <c r="O330" s="215" t="str">
        <f t="shared" si="47"/>
        <v/>
      </c>
    </row>
    <row r="331" spans="11:15">
      <c r="K331" s="214" t="str">
        <f t="shared" si="44"/>
        <v/>
      </c>
      <c r="L331" s="214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14" t="str">
        <f t="shared" si="45"/>
        <v/>
      </c>
      <c r="N331" s="215" t="str">
        <f t="shared" si="46"/>
        <v/>
      </c>
      <c r="O331" s="215" t="str">
        <f t="shared" si="47"/>
        <v/>
      </c>
    </row>
    <row r="332" spans="11:15">
      <c r="K332" s="214" t="str">
        <f t="shared" si="44"/>
        <v/>
      </c>
      <c r="L332" s="214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14" t="str">
        <f t="shared" si="45"/>
        <v/>
      </c>
      <c r="N332" s="215" t="str">
        <f t="shared" si="46"/>
        <v/>
      </c>
      <c r="O332" s="215" t="str">
        <f t="shared" si="47"/>
        <v/>
      </c>
    </row>
    <row r="333" spans="11:15">
      <c r="K333" s="214" t="str">
        <f t="shared" si="44"/>
        <v/>
      </c>
      <c r="L333" s="214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14" t="str">
        <f t="shared" si="45"/>
        <v/>
      </c>
      <c r="N333" s="215" t="str">
        <f t="shared" si="46"/>
        <v/>
      </c>
      <c r="O333" s="215" t="str">
        <f t="shared" si="47"/>
        <v/>
      </c>
    </row>
    <row r="334" spans="11:15">
      <c r="K334" s="214" t="str">
        <f t="shared" si="44"/>
        <v/>
      </c>
      <c r="L334" s="214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14" t="str">
        <f t="shared" si="45"/>
        <v/>
      </c>
      <c r="N334" s="215" t="str">
        <f t="shared" si="46"/>
        <v/>
      </c>
      <c r="O334" s="215" t="str">
        <f t="shared" si="47"/>
        <v/>
      </c>
    </row>
    <row r="335" spans="11:15">
      <c r="K335" s="214" t="str">
        <f t="shared" si="44"/>
        <v/>
      </c>
      <c r="L335" s="214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14" t="str">
        <f t="shared" si="45"/>
        <v/>
      </c>
      <c r="N335" s="215" t="str">
        <f t="shared" si="46"/>
        <v/>
      </c>
      <c r="O335" s="215" t="str">
        <f t="shared" si="47"/>
        <v/>
      </c>
    </row>
    <row r="336" spans="11:15">
      <c r="K336" s="214" t="str">
        <f t="shared" si="44"/>
        <v/>
      </c>
      <c r="L336" s="214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14" t="str">
        <f t="shared" si="45"/>
        <v/>
      </c>
      <c r="N336" s="215" t="str">
        <f t="shared" si="46"/>
        <v/>
      </c>
      <c r="O336" s="215" t="str">
        <f t="shared" si="47"/>
        <v/>
      </c>
    </row>
    <row r="337" spans="11:15">
      <c r="K337" s="214" t="str">
        <f t="shared" si="44"/>
        <v/>
      </c>
      <c r="L337" s="214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14" t="str">
        <f t="shared" si="45"/>
        <v/>
      </c>
      <c r="N337" s="215" t="str">
        <f t="shared" si="46"/>
        <v/>
      </c>
      <c r="O337" s="215" t="str">
        <f t="shared" si="47"/>
        <v/>
      </c>
    </row>
    <row r="338" spans="11:15">
      <c r="K338" s="214" t="str">
        <f t="shared" si="44"/>
        <v/>
      </c>
      <c r="L338" s="214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14" t="str">
        <f t="shared" si="45"/>
        <v/>
      </c>
      <c r="N338" s="215" t="str">
        <f t="shared" si="46"/>
        <v/>
      </c>
      <c r="O338" s="215" t="str">
        <f t="shared" si="47"/>
        <v/>
      </c>
    </row>
    <row r="339" spans="11:15">
      <c r="K339" s="214" t="str">
        <f t="shared" si="44"/>
        <v/>
      </c>
      <c r="L339" s="214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14" t="str">
        <f t="shared" si="45"/>
        <v/>
      </c>
      <c r="N339" s="215" t="str">
        <f t="shared" si="46"/>
        <v/>
      </c>
      <c r="O339" s="215" t="str">
        <f t="shared" si="47"/>
        <v/>
      </c>
    </row>
    <row r="340" spans="11:15">
      <c r="K340" s="214" t="str">
        <f t="shared" si="44"/>
        <v/>
      </c>
      <c r="L340" s="214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14" t="str">
        <f t="shared" si="45"/>
        <v/>
      </c>
      <c r="N340" s="215" t="str">
        <f t="shared" si="46"/>
        <v/>
      </c>
      <c r="O340" s="215" t="str">
        <f t="shared" si="47"/>
        <v/>
      </c>
    </row>
    <row r="341" spans="11:15">
      <c r="K341" s="214" t="str">
        <f t="shared" si="44"/>
        <v/>
      </c>
      <c r="L341" s="214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14" t="str">
        <f t="shared" si="45"/>
        <v/>
      </c>
      <c r="N341" s="215" t="str">
        <f t="shared" si="46"/>
        <v/>
      </c>
      <c r="O341" s="215" t="str">
        <f t="shared" si="47"/>
        <v/>
      </c>
    </row>
    <row r="342" spans="11:15">
      <c r="K342" s="214" t="str">
        <f t="shared" si="44"/>
        <v/>
      </c>
      <c r="L342" s="214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14" t="str">
        <f t="shared" si="45"/>
        <v/>
      </c>
      <c r="N342" s="215" t="str">
        <f t="shared" si="46"/>
        <v/>
      </c>
      <c r="O342" s="215" t="str">
        <f t="shared" si="47"/>
        <v/>
      </c>
    </row>
    <row r="343" spans="11:15">
      <c r="K343" s="214" t="str">
        <f t="shared" si="44"/>
        <v/>
      </c>
      <c r="L343" s="214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14" t="str">
        <f t="shared" si="45"/>
        <v/>
      </c>
      <c r="N343" s="215" t="str">
        <f t="shared" si="46"/>
        <v/>
      </c>
      <c r="O343" s="215" t="str">
        <f t="shared" si="47"/>
        <v/>
      </c>
    </row>
    <row r="344" spans="11:15">
      <c r="K344" s="214" t="str">
        <f t="shared" si="44"/>
        <v/>
      </c>
      <c r="L344" s="214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14" t="str">
        <f t="shared" si="45"/>
        <v/>
      </c>
      <c r="N344" s="215" t="str">
        <f t="shared" si="46"/>
        <v/>
      </c>
      <c r="O344" s="215" t="str">
        <f t="shared" si="47"/>
        <v/>
      </c>
    </row>
    <row r="345" spans="11:15">
      <c r="K345" s="214" t="str">
        <f t="shared" si="44"/>
        <v/>
      </c>
      <c r="L345" s="214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14" t="str">
        <f t="shared" si="45"/>
        <v/>
      </c>
      <c r="N345" s="215" t="str">
        <f t="shared" si="46"/>
        <v/>
      </c>
      <c r="O345" s="215" t="str">
        <f t="shared" si="47"/>
        <v/>
      </c>
    </row>
    <row r="346" spans="11:15">
      <c r="K346" s="214" t="str">
        <f t="shared" si="44"/>
        <v/>
      </c>
      <c r="L346" s="214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14" t="str">
        <f t="shared" si="45"/>
        <v/>
      </c>
      <c r="N346" s="215" t="str">
        <f t="shared" si="46"/>
        <v/>
      </c>
      <c r="O346" s="215" t="str">
        <f t="shared" si="47"/>
        <v/>
      </c>
    </row>
    <row r="347" spans="11:15">
      <c r="K347" s="214" t="str">
        <f t="shared" si="44"/>
        <v/>
      </c>
      <c r="L347" s="214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14" t="str">
        <f t="shared" si="45"/>
        <v/>
      </c>
      <c r="N347" s="215" t="str">
        <f t="shared" si="46"/>
        <v/>
      </c>
      <c r="O347" s="215" t="str">
        <f t="shared" si="47"/>
        <v/>
      </c>
    </row>
    <row r="348" spans="11:15">
      <c r="K348" s="214" t="str">
        <f t="shared" si="44"/>
        <v/>
      </c>
      <c r="L348" s="214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14" t="str">
        <f t="shared" si="45"/>
        <v/>
      </c>
      <c r="N348" s="215" t="str">
        <f t="shared" si="46"/>
        <v/>
      </c>
      <c r="O348" s="215" t="str">
        <f t="shared" si="47"/>
        <v/>
      </c>
    </row>
    <row r="349" spans="11:15">
      <c r="K349" s="214" t="str">
        <f t="shared" si="44"/>
        <v/>
      </c>
      <c r="L349" s="214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14" t="str">
        <f t="shared" si="45"/>
        <v/>
      </c>
      <c r="N349" s="215" t="str">
        <f t="shared" si="46"/>
        <v/>
      </c>
      <c r="O349" s="215" t="str">
        <f t="shared" si="47"/>
        <v/>
      </c>
    </row>
    <row r="350" spans="11:15">
      <c r="K350" s="214" t="str">
        <f t="shared" si="44"/>
        <v/>
      </c>
      <c r="L350" s="214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14" t="str">
        <f t="shared" si="45"/>
        <v/>
      </c>
      <c r="N350" s="215" t="str">
        <f t="shared" si="46"/>
        <v/>
      </c>
      <c r="O350" s="215" t="str">
        <f t="shared" si="47"/>
        <v/>
      </c>
    </row>
    <row r="351" spans="11:15">
      <c r="K351" s="214" t="str">
        <f t="shared" si="44"/>
        <v/>
      </c>
      <c r="L351" s="214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14" t="str">
        <f t="shared" si="45"/>
        <v/>
      </c>
      <c r="N351" s="215" t="str">
        <f t="shared" si="46"/>
        <v/>
      </c>
      <c r="O351" s="215" t="str">
        <f t="shared" si="47"/>
        <v/>
      </c>
    </row>
    <row r="352" spans="11:15">
      <c r="K352" s="214" t="str">
        <f t="shared" si="44"/>
        <v/>
      </c>
      <c r="L352" s="214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14" t="str">
        <f t="shared" si="45"/>
        <v/>
      </c>
      <c r="N352" s="215" t="str">
        <f t="shared" si="46"/>
        <v/>
      </c>
      <c r="O352" s="215" t="str">
        <f t="shared" si="47"/>
        <v/>
      </c>
    </row>
    <row r="353" spans="8:15">
      <c r="K353" s="214" t="str">
        <f t="shared" si="44"/>
        <v/>
      </c>
      <c r="L353" s="214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14" t="str">
        <f t="shared" si="45"/>
        <v/>
      </c>
      <c r="N353" s="215" t="str">
        <f t="shared" si="46"/>
        <v/>
      </c>
      <c r="O353" s="215" t="str">
        <f t="shared" si="47"/>
        <v/>
      </c>
    </row>
    <row r="354" spans="8:15">
      <c r="K354" s="214" t="str">
        <f t="shared" si="44"/>
        <v/>
      </c>
      <c r="L354" s="214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14" t="str">
        <f t="shared" si="45"/>
        <v/>
      </c>
      <c r="N354" s="215" t="str">
        <f t="shared" si="46"/>
        <v/>
      </c>
      <c r="O354" s="215" t="str">
        <f t="shared" si="47"/>
        <v/>
      </c>
    </row>
    <row r="355" spans="8:15">
      <c r="K355" s="214" t="str">
        <f t="shared" si="44"/>
        <v/>
      </c>
      <c r="L355" s="214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14" t="str">
        <f t="shared" si="45"/>
        <v/>
      </c>
      <c r="N355" s="215" t="str">
        <f t="shared" si="46"/>
        <v/>
      </c>
      <c r="O355" s="215" t="str">
        <f t="shared" si="47"/>
        <v/>
      </c>
    </row>
    <row r="356" spans="8:15">
      <c r="K356" s="214" t="str">
        <f t="shared" si="44"/>
        <v/>
      </c>
      <c r="L356" s="214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14" t="str">
        <f t="shared" si="45"/>
        <v/>
      </c>
      <c r="N356" s="215" t="str">
        <f t="shared" si="46"/>
        <v/>
      </c>
      <c r="O356" s="215" t="str">
        <f t="shared" si="47"/>
        <v/>
      </c>
    </row>
    <row r="357" spans="8:15">
      <c r="K357" s="214" t="str">
        <f t="shared" si="44"/>
        <v/>
      </c>
      <c r="L357" s="214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14" t="str">
        <f t="shared" si="45"/>
        <v/>
      </c>
      <c r="N357" s="215" t="str">
        <f t="shared" si="46"/>
        <v/>
      </c>
      <c r="O357" s="215" t="str">
        <f t="shared" si="47"/>
        <v/>
      </c>
    </row>
    <row r="358" spans="8:15">
      <c r="K358" s="214" t="str">
        <f t="shared" ref="K358:K421" si="48">IF(E358="","",E358)</f>
        <v/>
      </c>
      <c r="L358" s="214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14" t="str">
        <f t="shared" ref="M358:M421" si="49">IF(E358="","",G358)</f>
        <v/>
      </c>
      <c r="N358" s="215" t="str">
        <f t="shared" ref="N358:N421" si="50">IF(E358="","",H358)</f>
        <v/>
      </c>
      <c r="O358" s="215" t="str">
        <f t="shared" ref="O358:O421" si="51">IF(E358="","",I358)</f>
        <v/>
      </c>
    </row>
    <row r="359" spans="8:15">
      <c r="K359" s="214" t="str">
        <f t="shared" si="48"/>
        <v/>
      </c>
      <c r="L359" s="214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14" t="str">
        <f t="shared" si="49"/>
        <v/>
      </c>
      <c r="N359" s="215" t="str">
        <f t="shared" si="50"/>
        <v/>
      </c>
      <c r="O359" s="215" t="str">
        <f t="shared" si="51"/>
        <v/>
      </c>
    </row>
    <row r="360" spans="8:15">
      <c r="K360" s="214" t="str">
        <f t="shared" si="48"/>
        <v/>
      </c>
      <c r="L360" s="214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14" t="str">
        <f t="shared" si="49"/>
        <v/>
      </c>
      <c r="N360" s="215" t="str">
        <f t="shared" si="50"/>
        <v/>
      </c>
      <c r="O360" s="215" t="str">
        <f t="shared" si="51"/>
        <v/>
      </c>
    </row>
    <row r="361" spans="8:15">
      <c r="K361" s="214" t="str">
        <f t="shared" si="48"/>
        <v/>
      </c>
      <c r="L361" s="214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14" t="str">
        <f t="shared" si="49"/>
        <v/>
      </c>
      <c r="N361" s="215" t="str">
        <f t="shared" si="50"/>
        <v/>
      </c>
      <c r="O361" s="215" t="str">
        <f t="shared" si="51"/>
        <v/>
      </c>
    </row>
    <row r="362" spans="8:15">
      <c r="K362" s="214" t="str">
        <f t="shared" si="48"/>
        <v/>
      </c>
      <c r="L362" s="214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14" t="str">
        <f t="shared" si="49"/>
        <v/>
      </c>
      <c r="N362" s="215" t="str">
        <f t="shared" si="50"/>
        <v/>
      </c>
      <c r="O362" s="215" t="str">
        <f t="shared" si="51"/>
        <v/>
      </c>
    </row>
    <row r="363" spans="8:15">
      <c r="K363" s="214" t="str">
        <f t="shared" si="48"/>
        <v/>
      </c>
      <c r="L363" s="214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14" t="str">
        <f t="shared" si="49"/>
        <v/>
      </c>
      <c r="N363" s="215" t="str">
        <f t="shared" si="50"/>
        <v/>
      </c>
      <c r="O363" s="215" t="str">
        <f t="shared" si="51"/>
        <v/>
      </c>
    </row>
    <row r="364" spans="8:15">
      <c r="K364" s="214" t="str">
        <f t="shared" si="48"/>
        <v/>
      </c>
      <c r="L364" s="214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14" t="str">
        <f t="shared" si="49"/>
        <v/>
      </c>
      <c r="N364" s="215" t="str">
        <f t="shared" si="50"/>
        <v/>
      </c>
      <c r="O364" s="215" t="str">
        <f t="shared" si="51"/>
        <v/>
      </c>
    </row>
    <row r="365" spans="8:15">
      <c r="K365" s="214" t="str">
        <f t="shared" si="48"/>
        <v/>
      </c>
      <c r="L365" s="214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14" t="str">
        <f t="shared" si="49"/>
        <v/>
      </c>
      <c r="N365" s="215" t="str">
        <f t="shared" si="50"/>
        <v/>
      </c>
      <c r="O365" s="215" t="str">
        <f t="shared" si="51"/>
        <v/>
      </c>
    </row>
    <row r="366" spans="8:15">
      <c r="K366" s="214" t="str">
        <f t="shared" si="48"/>
        <v/>
      </c>
      <c r="L366" s="214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14" t="str">
        <f t="shared" si="49"/>
        <v/>
      </c>
      <c r="N366" s="215" t="str">
        <f t="shared" si="50"/>
        <v/>
      </c>
      <c r="O366" s="215" t="str">
        <f t="shared" si="51"/>
        <v/>
      </c>
    </row>
    <row r="367" spans="8:15">
      <c r="H367" s="225"/>
      <c r="K367" s="214" t="str">
        <f t="shared" si="48"/>
        <v/>
      </c>
      <c r="L367" s="214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14" t="str">
        <f t="shared" si="49"/>
        <v/>
      </c>
      <c r="N367" s="215" t="str">
        <f t="shared" si="50"/>
        <v/>
      </c>
      <c r="O367" s="215" t="str">
        <f t="shared" si="51"/>
        <v/>
      </c>
    </row>
    <row r="368" spans="8:15">
      <c r="H368" s="225"/>
      <c r="K368" s="214" t="str">
        <f t="shared" si="48"/>
        <v/>
      </c>
      <c r="L368" s="214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14" t="str">
        <f t="shared" si="49"/>
        <v/>
      </c>
      <c r="N368" s="215" t="str">
        <f t="shared" si="50"/>
        <v/>
      </c>
      <c r="O368" s="215" t="str">
        <f t="shared" si="51"/>
        <v/>
      </c>
    </row>
    <row r="369" spans="11:15">
      <c r="K369" s="214" t="str">
        <f t="shared" si="48"/>
        <v/>
      </c>
      <c r="L369" s="214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14" t="str">
        <f t="shared" si="49"/>
        <v/>
      </c>
      <c r="N369" s="215" t="str">
        <f t="shared" si="50"/>
        <v/>
      </c>
      <c r="O369" s="215" t="str">
        <f t="shared" si="51"/>
        <v/>
      </c>
    </row>
    <row r="370" spans="11:15">
      <c r="K370" s="214" t="str">
        <f t="shared" si="48"/>
        <v/>
      </c>
      <c r="L370" s="214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14" t="str">
        <f t="shared" si="49"/>
        <v/>
      </c>
      <c r="N370" s="215" t="str">
        <f t="shared" si="50"/>
        <v/>
      </c>
      <c r="O370" s="215" t="str">
        <f t="shared" si="51"/>
        <v/>
      </c>
    </row>
    <row r="371" spans="11:15">
      <c r="K371" s="214" t="str">
        <f t="shared" si="48"/>
        <v/>
      </c>
      <c r="L371" s="214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14" t="str">
        <f t="shared" si="49"/>
        <v/>
      </c>
      <c r="N371" s="215" t="str">
        <f t="shared" si="50"/>
        <v/>
      </c>
      <c r="O371" s="215" t="str">
        <f t="shared" si="51"/>
        <v/>
      </c>
    </row>
    <row r="372" spans="11:15">
      <c r="K372" s="214" t="str">
        <f t="shared" si="48"/>
        <v/>
      </c>
      <c r="L372" s="214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14" t="str">
        <f t="shared" si="49"/>
        <v/>
      </c>
      <c r="N372" s="215" t="str">
        <f t="shared" si="50"/>
        <v/>
      </c>
      <c r="O372" s="215" t="str">
        <f t="shared" si="51"/>
        <v/>
      </c>
    </row>
    <row r="373" spans="11:15">
      <c r="K373" s="214" t="str">
        <f t="shared" si="48"/>
        <v/>
      </c>
      <c r="L373" s="214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14" t="str">
        <f t="shared" si="49"/>
        <v/>
      </c>
      <c r="N373" s="215" t="str">
        <f t="shared" si="50"/>
        <v/>
      </c>
      <c r="O373" s="215" t="str">
        <f t="shared" si="51"/>
        <v/>
      </c>
    </row>
    <row r="374" spans="11:15">
      <c r="K374" s="214" t="str">
        <f t="shared" si="48"/>
        <v/>
      </c>
      <c r="L374" s="214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14" t="str">
        <f t="shared" si="49"/>
        <v/>
      </c>
      <c r="N374" s="215" t="str">
        <f t="shared" si="50"/>
        <v/>
      </c>
      <c r="O374" s="215" t="str">
        <f t="shared" si="51"/>
        <v/>
      </c>
    </row>
    <row r="375" spans="11:15">
      <c r="K375" s="214" t="str">
        <f t="shared" si="48"/>
        <v/>
      </c>
      <c r="L375" s="214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14" t="str">
        <f t="shared" si="49"/>
        <v/>
      </c>
      <c r="N375" s="215" t="str">
        <f t="shared" si="50"/>
        <v/>
      </c>
      <c r="O375" s="215" t="str">
        <f t="shared" si="51"/>
        <v/>
      </c>
    </row>
    <row r="376" spans="11:15">
      <c r="K376" s="214" t="str">
        <f t="shared" si="48"/>
        <v/>
      </c>
      <c r="L376" s="214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14" t="str">
        <f t="shared" si="49"/>
        <v/>
      </c>
      <c r="N376" s="215" t="str">
        <f t="shared" si="50"/>
        <v/>
      </c>
      <c r="O376" s="215" t="str">
        <f t="shared" si="51"/>
        <v/>
      </c>
    </row>
    <row r="377" spans="11:15">
      <c r="K377" s="214" t="str">
        <f t="shared" si="48"/>
        <v/>
      </c>
      <c r="L377" s="214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14" t="str">
        <f t="shared" si="49"/>
        <v/>
      </c>
      <c r="N377" s="215" t="str">
        <f t="shared" si="50"/>
        <v/>
      </c>
      <c r="O377" s="215" t="str">
        <f t="shared" si="51"/>
        <v/>
      </c>
    </row>
    <row r="378" spans="11:15">
      <c r="K378" s="214" t="str">
        <f t="shared" si="48"/>
        <v/>
      </c>
      <c r="L378" s="214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14" t="str">
        <f t="shared" si="49"/>
        <v/>
      </c>
      <c r="N378" s="215" t="str">
        <f t="shared" si="50"/>
        <v/>
      </c>
      <c r="O378" s="215" t="str">
        <f t="shared" si="51"/>
        <v/>
      </c>
    </row>
    <row r="379" spans="11:15">
      <c r="K379" s="214" t="str">
        <f t="shared" si="48"/>
        <v/>
      </c>
      <c r="L379" s="214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14" t="str">
        <f t="shared" si="49"/>
        <v/>
      </c>
      <c r="N379" s="215" t="str">
        <f t="shared" si="50"/>
        <v/>
      </c>
      <c r="O379" s="215" t="str">
        <f t="shared" si="51"/>
        <v/>
      </c>
    </row>
    <row r="380" spans="11:15">
      <c r="K380" s="214" t="str">
        <f t="shared" si="48"/>
        <v/>
      </c>
      <c r="L380" s="214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14" t="str">
        <f t="shared" si="49"/>
        <v/>
      </c>
      <c r="N380" s="215" t="str">
        <f t="shared" si="50"/>
        <v/>
      </c>
      <c r="O380" s="215" t="str">
        <f t="shared" si="51"/>
        <v/>
      </c>
    </row>
    <row r="381" spans="11:15">
      <c r="K381" s="214" t="str">
        <f t="shared" si="48"/>
        <v/>
      </c>
      <c r="L381" s="214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14" t="str">
        <f t="shared" si="49"/>
        <v/>
      </c>
      <c r="N381" s="215" t="str">
        <f t="shared" si="50"/>
        <v/>
      </c>
      <c r="O381" s="215" t="str">
        <f t="shared" si="51"/>
        <v/>
      </c>
    </row>
    <row r="382" spans="11:15">
      <c r="K382" s="214" t="str">
        <f t="shared" si="48"/>
        <v/>
      </c>
      <c r="L382" s="214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14" t="str">
        <f t="shared" si="49"/>
        <v/>
      </c>
      <c r="N382" s="215" t="str">
        <f t="shared" si="50"/>
        <v/>
      </c>
      <c r="O382" s="215" t="str">
        <f t="shared" si="51"/>
        <v/>
      </c>
    </row>
    <row r="383" spans="11:15">
      <c r="K383" s="214" t="str">
        <f t="shared" si="48"/>
        <v/>
      </c>
      <c r="L383" s="214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14" t="str">
        <f t="shared" si="49"/>
        <v/>
      </c>
      <c r="N383" s="215" t="str">
        <f t="shared" si="50"/>
        <v/>
      </c>
      <c r="O383" s="215" t="str">
        <f t="shared" si="51"/>
        <v/>
      </c>
    </row>
    <row r="384" spans="11:15">
      <c r="K384" s="214" t="str">
        <f t="shared" si="48"/>
        <v/>
      </c>
      <c r="L384" s="214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14" t="str">
        <f t="shared" si="49"/>
        <v/>
      </c>
      <c r="N384" s="215" t="str">
        <f t="shared" si="50"/>
        <v/>
      </c>
      <c r="O384" s="215" t="str">
        <f t="shared" si="51"/>
        <v/>
      </c>
    </row>
    <row r="385" spans="8:15">
      <c r="K385" s="214" t="str">
        <f t="shared" si="48"/>
        <v/>
      </c>
      <c r="L385" s="214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14" t="str">
        <f t="shared" si="49"/>
        <v/>
      </c>
      <c r="N385" s="215" t="str">
        <f t="shared" si="50"/>
        <v/>
      </c>
      <c r="O385" s="215" t="str">
        <f t="shared" si="51"/>
        <v/>
      </c>
    </row>
    <row r="386" spans="8:15">
      <c r="K386" s="214" t="str">
        <f t="shared" si="48"/>
        <v/>
      </c>
      <c r="L386" s="214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14" t="str">
        <f t="shared" si="49"/>
        <v/>
      </c>
      <c r="N386" s="215" t="str">
        <f t="shared" si="50"/>
        <v/>
      </c>
      <c r="O386" s="215" t="str">
        <f t="shared" si="51"/>
        <v/>
      </c>
    </row>
    <row r="387" spans="8:15">
      <c r="H387" s="225"/>
      <c r="K387" s="214" t="str">
        <f t="shared" si="48"/>
        <v/>
      </c>
      <c r="L387" s="214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14" t="str">
        <f t="shared" si="49"/>
        <v/>
      </c>
      <c r="N387" s="215" t="str">
        <f t="shared" si="50"/>
        <v/>
      </c>
      <c r="O387" s="215" t="str">
        <f t="shared" si="51"/>
        <v/>
      </c>
    </row>
    <row r="388" spans="8:15">
      <c r="H388" s="225"/>
      <c r="K388" s="214" t="str">
        <f t="shared" si="48"/>
        <v/>
      </c>
      <c r="L388" s="214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14" t="str">
        <f t="shared" si="49"/>
        <v/>
      </c>
      <c r="N388" s="215" t="str">
        <f t="shared" si="50"/>
        <v/>
      </c>
      <c r="O388" s="215" t="str">
        <f t="shared" si="51"/>
        <v/>
      </c>
    </row>
    <row r="389" spans="8:15">
      <c r="H389" s="225"/>
      <c r="K389" s="214" t="str">
        <f t="shared" si="48"/>
        <v/>
      </c>
      <c r="L389" s="214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14" t="str">
        <f t="shared" si="49"/>
        <v/>
      </c>
      <c r="N389" s="215" t="str">
        <f t="shared" si="50"/>
        <v/>
      </c>
      <c r="O389" s="215" t="str">
        <f t="shared" si="51"/>
        <v/>
      </c>
    </row>
    <row r="390" spans="8:15">
      <c r="H390" s="225"/>
      <c r="K390" s="214" t="str">
        <f t="shared" si="48"/>
        <v/>
      </c>
      <c r="L390" s="214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14" t="str">
        <f t="shared" si="49"/>
        <v/>
      </c>
      <c r="N390" s="215" t="str">
        <f t="shared" si="50"/>
        <v/>
      </c>
      <c r="O390" s="215" t="str">
        <f t="shared" si="51"/>
        <v/>
      </c>
    </row>
    <row r="391" spans="8:15">
      <c r="H391" s="225"/>
      <c r="K391" s="214" t="str">
        <f t="shared" si="48"/>
        <v/>
      </c>
      <c r="L391" s="214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14" t="str">
        <f t="shared" si="49"/>
        <v/>
      </c>
      <c r="N391" s="215" t="str">
        <f t="shared" si="50"/>
        <v/>
      </c>
      <c r="O391" s="215" t="str">
        <f t="shared" si="51"/>
        <v/>
      </c>
    </row>
    <row r="392" spans="8:15">
      <c r="K392" s="214" t="str">
        <f t="shared" si="48"/>
        <v/>
      </c>
      <c r="L392" s="214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14" t="str">
        <f t="shared" si="49"/>
        <v/>
      </c>
      <c r="N392" s="215" t="str">
        <f t="shared" si="50"/>
        <v/>
      </c>
      <c r="O392" s="215" t="str">
        <f t="shared" si="51"/>
        <v/>
      </c>
    </row>
    <row r="393" spans="8:15">
      <c r="K393" s="214" t="str">
        <f t="shared" si="48"/>
        <v/>
      </c>
      <c r="L393" s="214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14" t="str">
        <f t="shared" si="49"/>
        <v/>
      </c>
      <c r="N393" s="215" t="str">
        <f t="shared" si="50"/>
        <v/>
      </c>
      <c r="O393" s="215" t="str">
        <f t="shared" si="51"/>
        <v/>
      </c>
    </row>
    <row r="394" spans="8:15">
      <c r="K394" s="214" t="str">
        <f t="shared" si="48"/>
        <v/>
      </c>
      <c r="L394" s="214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14" t="str">
        <f t="shared" si="49"/>
        <v/>
      </c>
      <c r="N394" s="215" t="str">
        <f t="shared" si="50"/>
        <v/>
      </c>
      <c r="O394" s="215" t="str">
        <f t="shared" si="51"/>
        <v/>
      </c>
    </row>
    <row r="395" spans="8:15">
      <c r="H395" s="225"/>
      <c r="K395" s="214" t="str">
        <f t="shared" si="48"/>
        <v/>
      </c>
      <c r="L395" s="214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14" t="str">
        <f t="shared" si="49"/>
        <v/>
      </c>
      <c r="N395" s="215" t="str">
        <f t="shared" si="50"/>
        <v/>
      </c>
      <c r="O395" s="215" t="str">
        <f t="shared" si="51"/>
        <v/>
      </c>
    </row>
    <row r="396" spans="8:15">
      <c r="K396" s="214" t="str">
        <f t="shared" si="48"/>
        <v/>
      </c>
      <c r="L396" s="214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14" t="str">
        <f t="shared" si="49"/>
        <v/>
      </c>
      <c r="N396" s="215" t="str">
        <f t="shared" si="50"/>
        <v/>
      </c>
      <c r="O396" s="215" t="str">
        <f t="shared" si="51"/>
        <v/>
      </c>
    </row>
    <row r="397" spans="8:15">
      <c r="K397" s="214" t="str">
        <f t="shared" si="48"/>
        <v/>
      </c>
      <c r="L397" s="214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14" t="str">
        <f t="shared" si="49"/>
        <v/>
      </c>
      <c r="N397" s="215" t="str">
        <f t="shared" si="50"/>
        <v/>
      </c>
      <c r="O397" s="215" t="str">
        <f t="shared" si="51"/>
        <v/>
      </c>
    </row>
    <row r="398" spans="8:15">
      <c r="K398" s="214" t="str">
        <f t="shared" si="48"/>
        <v/>
      </c>
      <c r="L398" s="214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14" t="str">
        <f t="shared" si="49"/>
        <v/>
      </c>
      <c r="N398" s="215" t="str">
        <f t="shared" si="50"/>
        <v/>
      </c>
      <c r="O398" s="215" t="str">
        <f t="shared" si="51"/>
        <v/>
      </c>
    </row>
    <row r="399" spans="8:15">
      <c r="K399" s="214" t="str">
        <f t="shared" si="48"/>
        <v/>
      </c>
      <c r="L399" s="214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14" t="str">
        <f t="shared" si="49"/>
        <v/>
      </c>
      <c r="N399" s="215" t="str">
        <f t="shared" si="50"/>
        <v/>
      </c>
      <c r="O399" s="215" t="str">
        <f t="shared" si="51"/>
        <v/>
      </c>
    </row>
    <row r="400" spans="8:15">
      <c r="K400" s="214" t="str">
        <f t="shared" si="48"/>
        <v/>
      </c>
      <c r="L400" s="214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14" t="str">
        <f t="shared" si="49"/>
        <v/>
      </c>
      <c r="N400" s="215" t="str">
        <f t="shared" si="50"/>
        <v/>
      </c>
      <c r="O400" s="215" t="str">
        <f t="shared" si="51"/>
        <v/>
      </c>
    </row>
    <row r="401" spans="11:15">
      <c r="K401" s="214" t="str">
        <f t="shared" si="48"/>
        <v/>
      </c>
      <c r="L401" s="214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14" t="str">
        <f t="shared" si="49"/>
        <v/>
      </c>
      <c r="N401" s="215" t="str">
        <f t="shared" si="50"/>
        <v/>
      </c>
      <c r="O401" s="215" t="str">
        <f t="shared" si="51"/>
        <v/>
      </c>
    </row>
    <row r="402" spans="11:15">
      <c r="K402" s="214" t="str">
        <f t="shared" si="48"/>
        <v/>
      </c>
      <c r="L402" s="214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14" t="str">
        <f t="shared" si="49"/>
        <v/>
      </c>
      <c r="N402" s="215" t="str">
        <f t="shared" si="50"/>
        <v/>
      </c>
      <c r="O402" s="215" t="str">
        <f t="shared" si="51"/>
        <v/>
      </c>
    </row>
    <row r="403" spans="11:15">
      <c r="K403" s="214" t="str">
        <f t="shared" si="48"/>
        <v/>
      </c>
      <c r="L403" s="214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14" t="str">
        <f t="shared" si="49"/>
        <v/>
      </c>
      <c r="N403" s="215" t="str">
        <f t="shared" si="50"/>
        <v/>
      </c>
      <c r="O403" s="215" t="str">
        <f t="shared" si="51"/>
        <v/>
      </c>
    </row>
    <row r="404" spans="11:15">
      <c r="K404" s="214" t="str">
        <f t="shared" si="48"/>
        <v/>
      </c>
      <c r="L404" s="214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14" t="str">
        <f t="shared" si="49"/>
        <v/>
      </c>
      <c r="N404" s="215" t="str">
        <f t="shared" si="50"/>
        <v/>
      </c>
      <c r="O404" s="215" t="str">
        <f t="shared" si="51"/>
        <v/>
      </c>
    </row>
    <row r="405" spans="11:15">
      <c r="K405" s="214" t="str">
        <f t="shared" si="48"/>
        <v/>
      </c>
      <c r="L405" s="214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14" t="str">
        <f t="shared" si="49"/>
        <v/>
      </c>
      <c r="N405" s="215" t="str">
        <f t="shared" si="50"/>
        <v/>
      </c>
      <c r="O405" s="215" t="str">
        <f t="shared" si="51"/>
        <v/>
      </c>
    </row>
    <row r="406" spans="11:15">
      <c r="K406" s="214" t="str">
        <f t="shared" si="48"/>
        <v/>
      </c>
      <c r="L406" s="214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14" t="str">
        <f t="shared" si="49"/>
        <v/>
      </c>
      <c r="N406" s="215" t="str">
        <f t="shared" si="50"/>
        <v/>
      </c>
      <c r="O406" s="215" t="str">
        <f t="shared" si="51"/>
        <v/>
      </c>
    </row>
    <row r="407" spans="11:15">
      <c r="K407" s="214" t="str">
        <f t="shared" si="48"/>
        <v/>
      </c>
      <c r="L407" s="214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14" t="str">
        <f t="shared" si="49"/>
        <v/>
      </c>
      <c r="N407" s="215" t="str">
        <f t="shared" si="50"/>
        <v/>
      </c>
      <c r="O407" s="215" t="str">
        <f t="shared" si="51"/>
        <v/>
      </c>
    </row>
    <row r="408" spans="11:15">
      <c r="K408" s="214" t="str">
        <f t="shared" si="48"/>
        <v/>
      </c>
      <c r="L408" s="214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14" t="str">
        <f t="shared" si="49"/>
        <v/>
      </c>
      <c r="N408" s="215" t="str">
        <f t="shared" si="50"/>
        <v/>
      </c>
      <c r="O408" s="215" t="str">
        <f t="shared" si="51"/>
        <v/>
      </c>
    </row>
    <row r="409" spans="11:15">
      <c r="K409" s="214" t="str">
        <f t="shared" si="48"/>
        <v/>
      </c>
      <c r="L409" s="214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14" t="str">
        <f t="shared" si="49"/>
        <v/>
      </c>
      <c r="N409" s="215" t="str">
        <f t="shared" si="50"/>
        <v/>
      </c>
      <c r="O409" s="215" t="str">
        <f t="shared" si="51"/>
        <v/>
      </c>
    </row>
    <row r="410" spans="11:15">
      <c r="K410" s="214" t="str">
        <f t="shared" si="48"/>
        <v/>
      </c>
      <c r="L410" s="214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14" t="str">
        <f t="shared" si="49"/>
        <v/>
      </c>
      <c r="N410" s="215" t="str">
        <f t="shared" si="50"/>
        <v/>
      </c>
      <c r="O410" s="215" t="str">
        <f t="shared" si="51"/>
        <v/>
      </c>
    </row>
    <row r="411" spans="11:15">
      <c r="K411" s="214" t="str">
        <f t="shared" si="48"/>
        <v/>
      </c>
      <c r="L411" s="214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14" t="str">
        <f t="shared" si="49"/>
        <v/>
      </c>
      <c r="N411" s="215" t="str">
        <f t="shared" si="50"/>
        <v/>
      </c>
      <c r="O411" s="215" t="str">
        <f t="shared" si="51"/>
        <v/>
      </c>
    </row>
    <row r="412" spans="11:15">
      <c r="K412" s="214" t="str">
        <f t="shared" si="48"/>
        <v/>
      </c>
      <c r="L412" s="214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14" t="str">
        <f t="shared" si="49"/>
        <v/>
      </c>
      <c r="N412" s="215" t="str">
        <f t="shared" si="50"/>
        <v/>
      </c>
      <c r="O412" s="215" t="str">
        <f t="shared" si="51"/>
        <v/>
      </c>
    </row>
    <row r="413" spans="11:15">
      <c r="K413" s="214" t="str">
        <f t="shared" si="48"/>
        <v/>
      </c>
      <c r="L413" s="214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14" t="str">
        <f t="shared" si="49"/>
        <v/>
      </c>
      <c r="N413" s="215" t="str">
        <f t="shared" si="50"/>
        <v/>
      </c>
      <c r="O413" s="215" t="str">
        <f t="shared" si="51"/>
        <v/>
      </c>
    </row>
    <row r="414" spans="11:15">
      <c r="K414" s="214" t="str">
        <f t="shared" si="48"/>
        <v/>
      </c>
      <c r="L414" s="214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14" t="str">
        <f t="shared" si="49"/>
        <v/>
      </c>
      <c r="N414" s="215" t="str">
        <f t="shared" si="50"/>
        <v/>
      </c>
      <c r="O414" s="215" t="str">
        <f t="shared" si="51"/>
        <v/>
      </c>
    </row>
    <row r="415" spans="11:15">
      <c r="K415" s="214" t="str">
        <f t="shared" si="48"/>
        <v/>
      </c>
      <c r="L415" s="214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14" t="str">
        <f t="shared" si="49"/>
        <v/>
      </c>
      <c r="N415" s="215" t="str">
        <f t="shared" si="50"/>
        <v/>
      </c>
      <c r="O415" s="215" t="str">
        <f t="shared" si="51"/>
        <v/>
      </c>
    </row>
    <row r="416" spans="11:15">
      <c r="K416" s="214" t="str">
        <f t="shared" si="48"/>
        <v/>
      </c>
      <c r="L416" s="214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14" t="str">
        <f t="shared" si="49"/>
        <v/>
      </c>
      <c r="N416" s="215" t="str">
        <f t="shared" si="50"/>
        <v/>
      </c>
      <c r="O416" s="215" t="str">
        <f t="shared" si="51"/>
        <v/>
      </c>
    </row>
    <row r="417" spans="11:15">
      <c r="K417" s="214" t="str">
        <f t="shared" si="48"/>
        <v/>
      </c>
      <c r="L417" s="214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14" t="str">
        <f t="shared" si="49"/>
        <v/>
      </c>
      <c r="N417" s="215" t="str">
        <f t="shared" si="50"/>
        <v/>
      </c>
      <c r="O417" s="215" t="str">
        <f t="shared" si="51"/>
        <v/>
      </c>
    </row>
    <row r="418" spans="11:15">
      <c r="K418" s="214" t="str">
        <f t="shared" si="48"/>
        <v/>
      </c>
      <c r="L418" s="214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14" t="str">
        <f t="shared" si="49"/>
        <v/>
      </c>
      <c r="N418" s="215" t="str">
        <f t="shared" si="50"/>
        <v/>
      </c>
      <c r="O418" s="215" t="str">
        <f t="shared" si="51"/>
        <v/>
      </c>
    </row>
    <row r="419" spans="11:15">
      <c r="K419" s="214" t="str">
        <f t="shared" si="48"/>
        <v/>
      </c>
      <c r="L419" s="214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14" t="str">
        <f t="shared" si="49"/>
        <v/>
      </c>
      <c r="N419" s="215" t="str">
        <f t="shared" si="50"/>
        <v/>
      </c>
      <c r="O419" s="215" t="str">
        <f t="shared" si="51"/>
        <v/>
      </c>
    </row>
    <row r="420" spans="11:15">
      <c r="K420" s="214" t="str">
        <f t="shared" si="48"/>
        <v/>
      </c>
      <c r="L420" s="214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14" t="str">
        <f t="shared" si="49"/>
        <v/>
      </c>
      <c r="N420" s="215" t="str">
        <f t="shared" si="50"/>
        <v/>
      </c>
      <c r="O420" s="215" t="str">
        <f t="shared" si="51"/>
        <v/>
      </c>
    </row>
    <row r="421" spans="11:15">
      <c r="K421" s="214" t="str">
        <f t="shared" si="48"/>
        <v/>
      </c>
      <c r="L421" s="214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14" t="str">
        <f t="shared" si="49"/>
        <v/>
      </c>
      <c r="N421" s="215" t="str">
        <f t="shared" si="50"/>
        <v/>
      </c>
      <c r="O421" s="215" t="str">
        <f t="shared" si="51"/>
        <v/>
      </c>
    </row>
    <row r="422" spans="11:15">
      <c r="K422" s="214" t="str">
        <f t="shared" ref="K422:K485" si="52">IF(E422="","",E422)</f>
        <v/>
      </c>
      <c r="L422" s="214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14" t="str">
        <f t="shared" ref="M422:M485" si="53">IF(E422="","",G422)</f>
        <v/>
      </c>
      <c r="N422" s="215" t="str">
        <f t="shared" ref="N422:N485" si="54">IF(E422="","",H422)</f>
        <v/>
      </c>
      <c r="O422" s="215" t="str">
        <f t="shared" ref="O422:O485" si="55">IF(E422="","",I422)</f>
        <v/>
      </c>
    </row>
    <row r="423" spans="11:15">
      <c r="K423" s="214" t="str">
        <f t="shared" si="52"/>
        <v/>
      </c>
      <c r="L423" s="214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14" t="str">
        <f t="shared" si="53"/>
        <v/>
      </c>
      <c r="N423" s="215" t="str">
        <f t="shared" si="54"/>
        <v/>
      </c>
      <c r="O423" s="215" t="str">
        <f t="shared" si="55"/>
        <v/>
      </c>
    </row>
    <row r="424" spans="11:15">
      <c r="K424" s="214" t="str">
        <f t="shared" si="52"/>
        <v/>
      </c>
      <c r="L424" s="214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14" t="str">
        <f t="shared" si="53"/>
        <v/>
      </c>
      <c r="N424" s="215" t="str">
        <f t="shared" si="54"/>
        <v/>
      </c>
      <c r="O424" s="215" t="str">
        <f t="shared" si="55"/>
        <v/>
      </c>
    </row>
    <row r="425" spans="11:15">
      <c r="K425" s="214" t="str">
        <f t="shared" si="52"/>
        <v/>
      </c>
      <c r="L425" s="214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14" t="str">
        <f t="shared" si="53"/>
        <v/>
      </c>
      <c r="N425" s="215" t="str">
        <f t="shared" si="54"/>
        <v/>
      </c>
      <c r="O425" s="215" t="str">
        <f t="shared" si="55"/>
        <v/>
      </c>
    </row>
    <row r="426" spans="11:15">
      <c r="K426" s="214" t="str">
        <f t="shared" si="52"/>
        <v/>
      </c>
      <c r="L426" s="214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14" t="str">
        <f t="shared" si="53"/>
        <v/>
      </c>
      <c r="N426" s="215" t="str">
        <f t="shared" si="54"/>
        <v/>
      </c>
      <c r="O426" s="215" t="str">
        <f t="shared" si="55"/>
        <v/>
      </c>
    </row>
    <row r="427" spans="11:15">
      <c r="K427" s="214" t="str">
        <f t="shared" si="52"/>
        <v/>
      </c>
      <c r="L427" s="214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14" t="str">
        <f t="shared" si="53"/>
        <v/>
      </c>
      <c r="N427" s="215" t="str">
        <f t="shared" si="54"/>
        <v/>
      </c>
      <c r="O427" s="215" t="str">
        <f t="shared" si="55"/>
        <v/>
      </c>
    </row>
    <row r="428" spans="11:15">
      <c r="K428" s="214" t="str">
        <f t="shared" si="52"/>
        <v/>
      </c>
      <c r="L428" s="214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14" t="str">
        <f t="shared" si="53"/>
        <v/>
      </c>
      <c r="N428" s="215" t="str">
        <f t="shared" si="54"/>
        <v/>
      </c>
      <c r="O428" s="215" t="str">
        <f t="shared" si="55"/>
        <v/>
      </c>
    </row>
    <row r="429" spans="11:15">
      <c r="K429" s="214" t="str">
        <f t="shared" si="52"/>
        <v/>
      </c>
      <c r="L429" s="214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14" t="str">
        <f t="shared" si="53"/>
        <v/>
      </c>
      <c r="N429" s="215" t="str">
        <f t="shared" si="54"/>
        <v/>
      </c>
      <c r="O429" s="215" t="str">
        <f t="shared" si="55"/>
        <v/>
      </c>
    </row>
    <row r="430" spans="11:15">
      <c r="K430" s="214" t="str">
        <f t="shared" si="52"/>
        <v/>
      </c>
      <c r="L430" s="214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14" t="str">
        <f t="shared" si="53"/>
        <v/>
      </c>
      <c r="N430" s="215" t="str">
        <f t="shared" si="54"/>
        <v/>
      </c>
      <c r="O430" s="215" t="str">
        <f t="shared" si="55"/>
        <v/>
      </c>
    </row>
    <row r="431" spans="11:15">
      <c r="K431" s="214" t="str">
        <f t="shared" si="52"/>
        <v/>
      </c>
      <c r="L431" s="214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14" t="str">
        <f t="shared" si="53"/>
        <v/>
      </c>
      <c r="N431" s="215" t="str">
        <f t="shared" si="54"/>
        <v/>
      </c>
      <c r="O431" s="215" t="str">
        <f t="shared" si="55"/>
        <v/>
      </c>
    </row>
    <row r="432" spans="11:15">
      <c r="K432" s="214" t="str">
        <f t="shared" si="52"/>
        <v/>
      </c>
      <c r="L432" s="214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14" t="str">
        <f t="shared" si="53"/>
        <v/>
      </c>
      <c r="N432" s="215" t="str">
        <f t="shared" si="54"/>
        <v/>
      </c>
      <c r="O432" s="215" t="str">
        <f t="shared" si="55"/>
        <v/>
      </c>
    </row>
    <row r="433" spans="11:15">
      <c r="K433" s="214" t="str">
        <f t="shared" si="52"/>
        <v/>
      </c>
      <c r="L433" s="214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14" t="str">
        <f t="shared" si="53"/>
        <v/>
      </c>
      <c r="N433" s="215" t="str">
        <f t="shared" si="54"/>
        <v/>
      </c>
      <c r="O433" s="215" t="str">
        <f t="shared" si="55"/>
        <v/>
      </c>
    </row>
    <row r="434" spans="11:15">
      <c r="K434" s="214" t="str">
        <f t="shared" si="52"/>
        <v/>
      </c>
      <c r="L434" s="214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14" t="str">
        <f t="shared" si="53"/>
        <v/>
      </c>
      <c r="N434" s="215" t="str">
        <f t="shared" si="54"/>
        <v/>
      </c>
      <c r="O434" s="215" t="str">
        <f t="shared" si="55"/>
        <v/>
      </c>
    </row>
    <row r="435" spans="11:15">
      <c r="K435" s="214" t="str">
        <f t="shared" si="52"/>
        <v/>
      </c>
      <c r="L435" s="214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14" t="str">
        <f t="shared" si="53"/>
        <v/>
      </c>
      <c r="N435" s="215" t="str">
        <f t="shared" si="54"/>
        <v/>
      </c>
      <c r="O435" s="215" t="str">
        <f t="shared" si="55"/>
        <v/>
      </c>
    </row>
    <row r="436" spans="11:15">
      <c r="K436" s="214" t="str">
        <f t="shared" si="52"/>
        <v/>
      </c>
      <c r="L436" s="214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14" t="str">
        <f t="shared" si="53"/>
        <v/>
      </c>
      <c r="N436" s="215" t="str">
        <f t="shared" si="54"/>
        <v/>
      </c>
      <c r="O436" s="215" t="str">
        <f t="shared" si="55"/>
        <v/>
      </c>
    </row>
    <row r="437" spans="11:15">
      <c r="K437" s="214" t="str">
        <f t="shared" si="52"/>
        <v/>
      </c>
      <c r="L437" s="214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14" t="str">
        <f t="shared" si="53"/>
        <v/>
      </c>
      <c r="N437" s="215" t="str">
        <f t="shared" si="54"/>
        <v/>
      </c>
      <c r="O437" s="215" t="str">
        <f t="shared" si="55"/>
        <v/>
      </c>
    </row>
    <row r="438" spans="11:15">
      <c r="K438" s="214" t="str">
        <f t="shared" si="52"/>
        <v/>
      </c>
      <c r="L438" s="214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14" t="str">
        <f t="shared" si="53"/>
        <v/>
      </c>
      <c r="N438" s="215" t="str">
        <f t="shared" si="54"/>
        <v/>
      </c>
      <c r="O438" s="215" t="str">
        <f t="shared" si="55"/>
        <v/>
      </c>
    </row>
    <row r="439" spans="11:15">
      <c r="K439" s="214" t="str">
        <f t="shared" si="52"/>
        <v/>
      </c>
      <c r="L439" s="214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14" t="str">
        <f t="shared" si="53"/>
        <v/>
      </c>
      <c r="N439" s="215" t="str">
        <f t="shared" si="54"/>
        <v/>
      </c>
      <c r="O439" s="215" t="str">
        <f t="shared" si="55"/>
        <v/>
      </c>
    </row>
    <row r="440" spans="11:15">
      <c r="K440" s="214" t="str">
        <f t="shared" si="52"/>
        <v/>
      </c>
      <c r="L440" s="214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14" t="str">
        <f t="shared" si="53"/>
        <v/>
      </c>
      <c r="N440" s="215" t="str">
        <f t="shared" si="54"/>
        <v/>
      </c>
      <c r="O440" s="215" t="str">
        <f t="shared" si="55"/>
        <v/>
      </c>
    </row>
    <row r="441" spans="11:15">
      <c r="K441" s="214" t="str">
        <f t="shared" si="52"/>
        <v/>
      </c>
      <c r="L441" s="214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14" t="str">
        <f t="shared" si="53"/>
        <v/>
      </c>
      <c r="N441" s="215" t="str">
        <f t="shared" si="54"/>
        <v/>
      </c>
      <c r="O441" s="215" t="str">
        <f t="shared" si="55"/>
        <v/>
      </c>
    </row>
    <row r="442" spans="11:15">
      <c r="K442" s="214" t="str">
        <f t="shared" si="52"/>
        <v/>
      </c>
      <c r="L442" s="214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14" t="str">
        <f t="shared" si="53"/>
        <v/>
      </c>
      <c r="N442" s="215" t="str">
        <f t="shared" si="54"/>
        <v/>
      </c>
      <c r="O442" s="215" t="str">
        <f t="shared" si="55"/>
        <v/>
      </c>
    </row>
    <row r="443" spans="11:15">
      <c r="K443" s="214" t="str">
        <f t="shared" si="52"/>
        <v/>
      </c>
      <c r="L443" s="214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14" t="str">
        <f t="shared" si="53"/>
        <v/>
      </c>
      <c r="N443" s="215" t="str">
        <f t="shared" si="54"/>
        <v/>
      </c>
      <c r="O443" s="215" t="str">
        <f t="shared" si="55"/>
        <v/>
      </c>
    </row>
    <row r="444" spans="11:15">
      <c r="K444" s="214" t="str">
        <f t="shared" si="52"/>
        <v/>
      </c>
      <c r="L444" s="214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14" t="str">
        <f t="shared" si="53"/>
        <v/>
      </c>
      <c r="N444" s="215" t="str">
        <f t="shared" si="54"/>
        <v/>
      </c>
      <c r="O444" s="215" t="str">
        <f t="shared" si="55"/>
        <v/>
      </c>
    </row>
    <row r="445" spans="11:15">
      <c r="K445" s="214" t="str">
        <f t="shared" si="52"/>
        <v/>
      </c>
      <c r="L445" s="214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14" t="str">
        <f t="shared" si="53"/>
        <v/>
      </c>
      <c r="N445" s="215" t="str">
        <f t="shared" si="54"/>
        <v/>
      </c>
      <c r="O445" s="215" t="str">
        <f t="shared" si="55"/>
        <v/>
      </c>
    </row>
    <row r="446" spans="11:15">
      <c r="K446" s="214" t="str">
        <f t="shared" si="52"/>
        <v/>
      </c>
      <c r="L446" s="214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14" t="str">
        <f t="shared" si="53"/>
        <v/>
      </c>
      <c r="N446" s="215" t="str">
        <f t="shared" si="54"/>
        <v/>
      </c>
      <c r="O446" s="215" t="str">
        <f t="shared" si="55"/>
        <v/>
      </c>
    </row>
    <row r="447" spans="11:15">
      <c r="K447" s="214" t="str">
        <f t="shared" si="52"/>
        <v/>
      </c>
      <c r="L447" s="214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14" t="str">
        <f t="shared" si="53"/>
        <v/>
      </c>
      <c r="N447" s="215" t="str">
        <f t="shared" si="54"/>
        <v/>
      </c>
      <c r="O447" s="215" t="str">
        <f t="shared" si="55"/>
        <v/>
      </c>
    </row>
    <row r="448" spans="11:15">
      <c r="K448" s="214" t="str">
        <f t="shared" si="52"/>
        <v/>
      </c>
      <c r="L448" s="214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14" t="str">
        <f t="shared" si="53"/>
        <v/>
      </c>
      <c r="N448" s="215" t="str">
        <f t="shared" si="54"/>
        <v/>
      </c>
      <c r="O448" s="215" t="str">
        <f t="shared" si="55"/>
        <v/>
      </c>
    </row>
    <row r="449" spans="11:15">
      <c r="K449" s="214" t="str">
        <f t="shared" si="52"/>
        <v/>
      </c>
      <c r="L449" s="214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14" t="str">
        <f t="shared" si="53"/>
        <v/>
      </c>
      <c r="N449" s="215" t="str">
        <f t="shared" si="54"/>
        <v/>
      </c>
      <c r="O449" s="215" t="str">
        <f t="shared" si="55"/>
        <v/>
      </c>
    </row>
    <row r="450" spans="11:15">
      <c r="K450" s="214" t="str">
        <f t="shared" si="52"/>
        <v/>
      </c>
      <c r="L450" s="214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14" t="str">
        <f t="shared" si="53"/>
        <v/>
      </c>
      <c r="N450" s="215" t="str">
        <f t="shared" si="54"/>
        <v/>
      </c>
      <c r="O450" s="215" t="str">
        <f t="shared" si="55"/>
        <v/>
      </c>
    </row>
    <row r="451" spans="11:15">
      <c r="K451" s="214" t="str">
        <f t="shared" si="52"/>
        <v/>
      </c>
      <c r="L451" s="214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14" t="str">
        <f t="shared" si="53"/>
        <v/>
      </c>
      <c r="N451" s="215" t="str">
        <f t="shared" si="54"/>
        <v/>
      </c>
      <c r="O451" s="215" t="str">
        <f t="shared" si="55"/>
        <v/>
      </c>
    </row>
    <row r="452" spans="11:15">
      <c r="K452" s="214" t="str">
        <f t="shared" si="52"/>
        <v/>
      </c>
      <c r="L452" s="214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14" t="str">
        <f t="shared" si="53"/>
        <v/>
      </c>
      <c r="N452" s="215" t="str">
        <f t="shared" si="54"/>
        <v/>
      </c>
      <c r="O452" s="215" t="str">
        <f t="shared" si="55"/>
        <v/>
      </c>
    </row>
    <row r="453" spans="11:15">
      <c r="K453" s="214" t="str">
        <f t="shared" si="52"/>
        <v/>
      </c>
      <c r="L453" s="214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14" t="str">
        <f t="shared" si="53"/>
        <v/>
      </c>
      <c r="N453" s="215" t="str">
        <f t="shared" si="54"/>
        <v/>
      </c>
      <c r="O453" s="215" t="str">
        <f t="shared" si="55"/>
        <v/>
      </c>
    </row>
    <row r="454" spans="11:15">
      <c r="K454" s="214" t="str">
        <f t="shared" si="52"/>
        <v/>
      </c>
      <c r="L454" s="214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14" t="str">
        <f t="shared" si="53"/>
        <v/>
      </c>
      <c r="N454" s="215" t="str">
        <f t="shared" si="54"/>
        <v/>
      </c>
      <c r="O454" s="215" t="str">
        <f t="shared" si="55"/>
        <v/>
      </c>
    </row>
    <row r="455" spans="11:15">
      <c r="K455" s="214" t="str">
        <f t="shared" si="52"/>
        <v/>
      </c>
      <c r="L455" s="214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14" t="str">
        <f t="shared" si="53"/>
        <v/>
      </c>
      <c r="N455" s="215" t="str">
        <f t="shared" si="54"/>
        <v/>
      </c>
      <c r="O455" s="215" t="str">
        <f t="shared" si="55"/>
        <v/>
      </c>
    </row>
    <row r="456" spans="11:15">
      <c r="K456" s="214" t="str">
        <f t="shared" si="52"/>
        <v/>
      </c>
      <c r="L456" s="214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14" t="str">
        <f t="shared" si="53"/>
        <v/>
      </c>
      <c r="N456" s="215" t="str">
        <f t="shared" si="54"/>
        <v/>
      </c>
      <c r="O456" s="215" t="str">
        <f t="shared" si="55"/>
        <v/>
      </c>
    </row>
    <row r="457" spans="11:15">
      <c r="K457" s="214" t="str">
        <f t="shared" si="52"/>
        <v/>
      </c>
      <c r="L457" s="214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14" t="str">
        <f t="shared" si="53"/>
        <v/>
      </c>
      <c r="N457" s="215" t="str">
        <f t="shared" si="54"/>
        <v/>
      </c>
      <c r="O457" s="215" t="str">
        <f t="shared" si="55"/>
        <v/>
      </c>
    </row>
    <row r="458" spans="11:15">
      <c r="K458" s="214" t="str">
        <f t="shared" si="52"/>
        <v/>
      </c>
      <c r="L458" s="214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14" t="str">
        <f t="shared" si="53"/>
        <v/>
      </c>
      <c r="N458" s="215" t="str">
        <f t="shared" si="54"/>
        <v/>
      </c>
      <c r="O458" s="215" t="str">
        <f t="shared" si="55"/>
        <v/>
      </c>
    </row>
    <row r="459" spans="11:15">
      <c r="K459" s="214" t="str">
        <f t="shared" si="52"/>
        <v/>
      </c>
      <c r="L459" s="214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14" t="str">
        <f t="shared" si="53"/>
        <v/>
      </c>
      <c r="N459" s="215" t="str">
        <f t="shared" si="54"/>
        <v/>
      </c>
      <c r="O459" s="215" t="str">
        <f t="shared" si="55"/>
        <v/>
      </c>
    </row>
    <row r="460" spans="11:15">
      <c r="K460" s="214" t="str">
        <f t="shared" si="52"/>
        <v/>
      </c>
      <c r="L460" s="214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14" t="str">
        <f t="shared" si="53"/>
        <v/>
      </c>
      <c r="N460" s="215" t="str">
        <f t="shared" si="54"/>
        <v/>
      </c>
      <c r="O460" s="215" t="str">
        <f t="shared" si="55"/>
        <v/>
      </c>
    </row>
    <row r="461" spans="11:15">
      <c r="K461" s="214" t="str">
        <f t="shared" si="52"/>
        <v/>
      </c>
      <c r="L461" s="214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14" t="str">
        <f t="shared" si="53"/>
        <v/>
      </c>
      <c r="N461" s="215" t="str">
        <f t="shared" si="54"/>
        <v/>
      </c>
      <c r="O461" s="215" t="str">
        <f t="shared" si="55"/>
        <v/>
      </c>
    </row>
    <row r="462" spans="11:15">
      <c r="K462" s="214" t="str">
        <f t="shared" si="52"/>
        <v/>
      </c>
      <c r="L462" s="214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14" t="str">
        <f t="shared" si="53"/>
        <v/>
      </c>
      <c r="N462" s="215" t="str">
        <f t="shared" si="54"/>
        <v/>
      </c>
      <c r="O462" s="215" t="str">
        <f t="shared" si="55"/>
        <v/>
      </c>
    </row>
    <row r="463" spans="11:15">
      <c r="K463" s="214" t="str">
        <f t="shared" si="52"/>
        <v/>
      </c>
      <c r="L463" s="214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14" t="str">
        <f t="shared" si="53"/>
        <v/>
      </c>
      <c r="N463" s="215" t="str">
        <f t="shared" si="54"/>
        <v/>
      </c>
      <c r="O463" s="215" t="str">
        <f t="shared" si="55"/>
        <v/>
      </c>
    </row>
    <row r="464" spans="11:15">
      <c r="K464" s="214" t="str">
        <f t="shared" si="52"/>
        <v/>
      </c>
      <c r="L464" s="214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14" t="str">
        <f t="shared" si="53"/>
        <v/>
      </c>
      <c r="N464" s="215" t="str">
        <f t="shared" si="54"/>
        <v/>
      </c>
      <c r="O464" s="215" t="str">
        <f t="shared" si="55"/>
        <v/>
      </c>
    </row>
    <row r="465" spans="11:15">
      <c r="K465" s="214" t="str">
        <f t="shared" si="52"/>
        <v/>
      </c>
      <c r="L465" s="214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14" t="str">
        <f t="shared" si="53"/>
        <v/>
      </c>
      <c r="N465" s="215" t="str">
        <f t="shared" si="54"/>
        <v/>
      </c>
      <c r="O465" s="215" t="str">
        <f t="shared" si="55"/>
        <v/>
      </c>
    </row>
    <row r="466" spans="11:15">
      <c r="K466" s="214" t="str">
        <f t="shared" si="52"/>
        <v/>
      </c>
      <c r="L466" s="214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14" t="str">
        <f t="shared" si="53"/>
        <v/>
      </c>
      <c r="N466" s="215" t="str">
        <f t="shared" si="54"/>
        <v/>
      </c>
      <c r="O466" s="215" t="str">
        <f t="shared" si="55"/>
        <v/>
      </c>
    </row>
    <row r="467" spans="11:15">
      <c r="K467" s="214" t="str">
        <f t="shared" si="52"/>
        <v/>
      </c>
      <c r="L467" s="214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14" t="str">
        <f t="shared" si="53"/>
        <v/>
      </c>
      <c r="N467" s="215" t="str">
        <f t="shared" si="54"/>
        <v/>
      </c>
      <c r="O467" s="215" t="str">
        <f t="shared" si="55"/>
        <v/>
      </c>
    </row>
    <row r="468" spans="11:15">
      <c r="K468" s="214" t="str">
        <f t="shared" si="52"/>
        <v/>
      </c>
      <c r="L468" s="214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14" t="str">
        <f t="shared" si="53"/>
        <v/>
      </c>
      <c r="N468" s="215" t="str">
        <f t="shared" si="54"/>
        <v/>
      </c>
      <c r="O468" s="215" t="str">
        <f t="shared" si="55"/>
        <v/>
      </c>
    </row>
    <row r="469" spans="11:15">
      <c r="K469" s="214" t="str">
        <f t="shared" si="52"/>
        <v/>
      </c>
      <c r="L469" s="214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14" t="str">
        <f t="shared" si="53"/>
        <v/>
      </c>
      <c r="N469" s="215" t="str">
        <f t="shared" si="54"/>
        <v/>
      </c>
      <c r="O469" s="215" t="str">
        <f t="shared" si="55"/>
        <v/>
      </c>
    </row>
    <row r="470" spans="11:15">
      <c r="K470" s="214" t="str">
        <f t="shared" si="52"/>
        <v/>
      </c>
      <c r="L470" s="214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14" t="str">
        <f t="shared" si="53"/>
        <v/>
      </c>
      <c r="N470" s="215" t="str">
        <f t="shared" si="54"/>
        <v/>
      </c>
      <c r="O470" s="215" t="str">
        <f t="shared" si="55"/>
        <v/>
      </c>
    </row>
    <row r="471" spans="11:15">
      <c r="K471" s="214" t="str">
        <f t="shared" si="52"/>
        <v/>
      </c>
      <c r="L471" s="214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14" t="str">
        <f t="shared" si="53"/>
        <v/>
      </c>
      <c r="N471" s="215" t="str">
        <f t="shared" si="54"/>
        <v/>
      </c>
      <c r="O471" s="215" t="str">
        <f t="shared" si="55"/>
        <v/>
      </c>
    </row>
    <row r="472" spans="11:15">
      <c r="K472" s="214" t="str">
        <f t="shared" si="52"/>
        <v/>
      </c>
      <c r="L472" s="214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14" t="str">
        <f t="shared" si="53"/>
        <v/>
      </c>
      <c r="N472" s="215" t="str">
        <f t="shared" si="54"/>
        <v/>
      </c>
      <c r="O472" s="215" t="str">
        <f t="shared" si="55"/>
        <v/>
      </c>
    </row>
    <row r="473" spans="11:15">
      <c r="K473" s="214" t="str">
        <f t="shared" si="52"/>
        <v/>
      </c>
      <c r="L473" s="214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14" t="str">
        <f t="shared" si="53"/>
        <v/>
      </c>
      <c r="N473" s="215" t="str">
        <f t="shared" si="54"/>
        <v/>
      </c>
      <c r="O473" s="215" t="str">
        <f t="shared" si="55"/>
        <v/>
      </c>
    </row>
    <row r="474" spans="11:15">
      <c r="K474" s="214" t="str">
        <f t="shared" si="52"/>
        <v/>
      </c>
      <c r="L474" s="214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14" t="str">
        <f t="shared" si="53"/>
        <v/>
      </c>
      <c r="N474" s="215" t="str">
        <f t="shared" si="54"/>
        <v/>
      </c>
      <c r="O474" s="215" t="str">
        <f t="shared" si="55"/>
        <v/>
      </c>
    </row>
    <row r="475" spans="11:15">
      <c r="K475" s="214" t="str">
        <f t="shared" si="52"/>
        <v/>
      </c>
      <c r="L475" s="214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14" t="str">
        <f t="shared" si="53"/>
        <v/>
      </c>
      <c r="N475" s="215" t="str">
        <f t="shared" si="54"/>
        <v/>
      </c>
      <c r="O475" s="215" t="str">
        <f t="shared" si="55"/>
        <v/>
      </c>
    </row>
    <row r="476" spans="11:15">
      <c r="K476" s="214" t="str">
        <f t="shared" si="52"/>
        <v/>
      </c>
      <c r="L476" s="214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14" t="str">
        <f t="shared" si="53"/>
        <v/>
      </c>
      <c r="N476" s="215" t="str">
        <f t="shared" si="54"/>
        <v/>
      </c>
      <c r="O476" s="215" t="str">
        <f t="shared" si="55"/>
        <v/>
      </c>
    </row>
    <row r="477" spans="11:15">
      <c r="K477" s="214" t="str">
        <f t="shared" si="52"/>
        <v/>
      </c>
      <c r="L477" s="214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14" t="str">
        <f t="shared" si="53"/>
        <v/>
      </c>
      <c r="N477" s="215" t="str">
        <f t="shared" si="54"/>
        <v/>
      </c>
      <c r="O477" s="215" t="str">
        <f t="shared" si="55"/>
        <v/>
      </c>
    </row>
    <row r="478" spans="11:15">
      <c r="K478" s="214" t="str">
        <f t="shared" si="52"/>
        <v/>
      </c>
      <c r="L478" s="214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14" t="str">
        <f t="shared" si="53"/>
        <v/>
      </c>
      <c r="N478" s="215" t="str">
        <f t="shared" si="54"/>
        <v/>
      </c>
      <c r="O478" s="215" t="str">
        <f t="shared" si="55"/>
        <v/>
      </c>
    </row>
    <row r="479" spans="11:15">
      <c r="K479" s="214" t="str">
        <f t="shared" si="52"/>
        <v/>
      </c>
      <c r="L479" s="214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14" t="str">
        <f t="shared" si="53"/>
        <v/>
      </c>
      <c r="N479" s="215" t="str">
        <f t="shared" si="54"/>
        <v/>
      </c>
      <c r="O479" s="215" t="str">
        <f t="shared" si="55"/>
        <v/>
      </c>
    </row>
    <row r="480" spans="11:15">
      <c r="K480" s="214" t="str">
        <f t="shared" si="52"/>
        <v/>
      </c>
      <c r="L480" s="214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14" t="str">
        <f t="shared" si="53"/>
        <v/>
      </c>
      <c r="N480" s="215" t="str">
        <f t="shared" si="54"/>
        <v/>
      </c>
      <c r="O480" s="215" t="str">
        <f t="shared" si="55"/>
        <v/>
      </c>
    </row>
    <row r="481" spans="11:15">
      <c r="K481" s="214" t="str">
        <f t="shared" si="52"/>
        <v/>
      </c>
      <c r="L481" s="214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14" t="str">
        <f t="shared" si="53"/>
        <v/>
      </c>
      <c r="N481" s="215" t="str">
        <f t="shared" si="54"/>
        <v/>
      </c>
      <c r="O481" s="215" t="str">
        <f t="shared" si="55"/>
        <v/>
      </c>
    </row>
    <row r="482" spans="11:15">
      <c r="K482" s="214" t="str">
        <f t="shared" si="52"/>
        <v/>
      </c>
      <c r="L482" s="214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14" t="str">
        <f t="shared" si="53"/>
        <v/>
      </c>
      <c r="N482" s="215" t="str">
        <f t="shared" si="54"/>
        <v/>
      </c>
      <c r="O482" s="215" t="str">
        <f t="shared" si="55"/>
        <v/>
      </c>
    </row>
    <row r="483" spans="11:15">
      <c r="K483" s="214" t="str">
        <f t="shared" si="52"/>
        <v/>
      </c>
      <c r="L483" s="214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14" t="str">
        <f t="shared" si="53"/>
        <v/>
      </c>
      <c r="N483" s="215" t="str">
        <f t="shared" si="54"/>
        <v/>
      </c>
      <c r="O483" s="215" t="str">
        <f t="shared" si="55"/>
        <v/>
      </c>
    </row>
    <row r="484" spans="11:15">
      <c r="K484" s="214" t="str">
        <f t="shared" si="52"/>
        <v/>
      </c>
      <c r="L484" s="214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14" t="str">
        <f t="shared" si="53"/>
        <v/>
      </c>
      <c r="N484" s="215" t="str">
        <f t="shared" si="54"/>
        <v/>
      </c>
      <c r="O484" s="215" t="str">
        <f t="shared" si="55"/>
        <v/>
      </c>
    </row>
    <row r="485" spans="11:15">
      <c r="K485" s="214" t="str">
        <f t="shared" si="52"/>
        <v/>
      </c>
      <c r="L485" s="214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14" t="str">
        <f t="shared" si="53"/>
        <v/>
      </c>
      <c r="N485" s="215" t="str">
        <f t="shared" si="54"/>
        <v/>
      </c>
      <c r="O485" s="215" t="str">
        <f t="shared" si="55"/>
        <v/>
      </c>
    </row>
    <row r="486" spans="11:15">
      <c r="K486" s="214" t="str">
        <f t="shared" ref="K486:K512" si="56">IF(E486="","",E486)</f>
        <v/>
      </c>
      <c r="L486" s="214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14" t="str">
        <f t="shared" ref="M486:M512" si="57">IF(E486="","",G486)</f>
        <v/>
      </c>
      <c r="N486" s="215" t="str">
        <f t="shared" ref="N486:N512" si="58">IF(E486="","",H486)</f>
        <v/>
      </c>
      <c r="O486" s="215" t="str">
        <f t="shared" ref="O486:O512" si="59">IF(E486="","",I486)</f>
        <v/>
      </c>
    </row>
    <row r="487" spans="11:15">
      <c r="K487" s="214" t="str">
        <f t="shared" si="56"/>
        <v/>
      </c>
      <c r="L487" s="214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14" t="str">
        <f t="shared" si="57"/>
        <v/>
      </c>
      <c r="N487" s="215" t="str">
        <f t="shared" si="58"/>
        <v/>
      </c>
      <c r="O487" s="215" t="str">
        <f t="shared" si="59"/>
        <v/>
      </c>
    </row>
    <row r="488" spans="11:15">
      <c r="K488" s="214" t="str">
        <f t="shared" si="56"/>
        <v/>
      </c>
      <c r="L488" s="214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14" t="str">
        <f t="shared" si="57"/>
        <v/>
      </c>
      <c r="N488" s="215" t="str">
        <f t="shared" si="58"/>
        <v/>
      </c>
      <c r="O488" s="215" t="str">
        <f t="shared" si="59"/>
        <v/>
      </c>
    </row>
    <row r="489" spans="11:15">
      <c r="K489" s="214" t="str">
        <f t="shared" si="56"/>
        <v/>
      </c>
      <c r="L489" s="214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14" t="str">
        <f t="shared" si="57"/>
        <v/>
      </c>
      <c r="N489" s="215" t="str">
        <f t="shared" si="58"/>
        <v/>
      </c>
      <c r="O489" s="215" t="str">
        <f t="shared" si="59"/>
        <v/>
      </c>
    </row>
    <row r="490" spans="11:15">
      <c r="K490" s="214" t="str">
        <f t="shared" si="56"/>
        <v/>
      </c>
      <c r="L490" s="214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14" t="str">
        <f t="shared" si="57"/>
        <v/>
      </c>
      <c r="N490" s="215" t="str">
        <f t="shared" si="58"/>
        <v/>
      </c>
      <c r="O490" s="215" t="str">
        <f t="shared" si="59"/>
        <v/>
      </c>
    </row>
    <row r="491" spans="11:15">
      <c r="K491" s="214" t="str">
        <f t="shared" si="56"/>
        <v/>
      </c>
      <c r="L491" s="214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14" t="str">
        <f t="shared" si="57"/>
        <v/>
      </c>
      <c r="N491" s="215" t="str">
        <f t="shared" si="58"/>
        <v/>
      </c>
      <c r="O491" s="215" t="str">
        <f t="shared" si="59"/>
        <v/>
      </c>
    </row>
    <row r="492" spans="11:15">
      <c r="K492" s="214" t="str">
        <f t="shared" si="56"/>
        <v/>
      </c>
      <c r="L492" s="214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14" t="str">
        <f t="shared" si="57"/>
        <v/>
      </c>
      <c r="N492" s="215" t="str">
        <f t="shared" si="58"/>
        <v/>
      </c>
      <c r="O492" s="215" t="str">
        <f t="shared" si="59"/>
        <v/>
      </c>
    </row>
    <row r="493" spans="11:15">
      <c r="K493" s="214" t="str">
        <f t="shared" si="56"/>
        <v/>
      </c>
      <c r="L493" s="214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14" t="str">
        <f t="shared" si="57"/>
        <v/>
      </c>
      <c r="N493" s="215" t="str">
        <f t="shared" si="58"/>
        <v/>
      </c>
      <c r="O493" s="215" t="str">
        <f t="shared" si="59"/>
        <v/>
      </c>
    </row>
    <row r="494" spans="11:15">
      <c r="K494" s="214" t="str">
        <f t="shared" si="56"/>
        <v/>
      </c>
      <c r="L494" s="214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14" t="str">
        <f t="shared" si="57"/>
        <v/>
      </c>
      <c r="N494" s="215" t="str">
        <f t="shared" si="58"/>
        <v/>
      </c>
      <c r="O494" s="215" t="str">
        <f t="shared" si="59"/>
        <v/>
      </c>
    </row>
    <row r="495" spans="11:15">
      <c r="K495" s="214" t="str">
        <f t="shared" si="56"/>
        <v/>
      </c>
      <c r="L495" s="214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14" t="str">
        <f t="shared" si="57"/>
        <v/>
      </c>
      <c r="N495" s="215" t="str">
        <f t="shared" si="58"/>
        <v/>
      </c>
      <c r="O495" s="215" t="str">
        <f t="shared" si="59"/>
        <v/>
      </c>
    </row>
    <row r="496" spans="11:15">
      <c r="K496" s="214" t="str">
        <f t="shared" si="56"/>
        <v/>
      </c>
      <c r="L496" s="214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14" t="str">
        <f t="shared" si="57"/>
        <v/>
      </c>
      <c r="N496" s="215" t="str">
        <f t="shared" si="58"/>
        <v/>
      </c>
      <c r="O496" s="215" t="str">
        <f t="shared" si="59"/>
        <v/>
      </c>
    </row>
    <row r="497" spans="11:15">
      <c r="K497" s="214" t="str">
        <f t="shared" si="56"/>
        <v/>
      </c>
      <c r="L497" s="214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14" t="str">
        <f t="shared" si="57"/>
        <v/>
      </c>
      <c r="N497" s="215" t="str">
        <f t="shared" si="58"/>
        <v/>
      </c>
      <c r="O497" s="215" t="str">
        <f t="shared" si="59"/>
        <v/>
      </c>
    </row>
    <row r="498" spans="11:15">
      <c r="K498" s="214" t="str">
        <f t="shared" si="56"/>
        <v/>
      </c>
      <c r="L498" s="214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14" t="str">
        <f t="shared" si="57"/>
        <v/>
      </c>
      <c r="N498" s="215" t="str">
        <f t="shared" si="58"/>
        <v/>
      </c>
      <c r="O498" s="215" t="str">
        <f t="shared" si="59"/>
        <v/>
      </c>
    </row>
    <row r="499" spans="11:15">
      <c r="K499" s="214" t="str">
        <f t="shared" si="56"/>
        <v/>
      </c>
      <c r="L499" s="214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14" t="str">
        <f t="shared" si="57"/>
        <v/>
      </c>
      <c r="N499" s="215" t="str">
        <f t="shared" si="58"/>
        <v/>
      </c>
      <c r="O499" s="215" t="str">
        <f t="shared" si="59"/>
        <v/>
      </c>
    </row>
    <row r="500" spans="11:15">
      <c r="K500" s="214" t="str">
        <f t="shared" si="56"/>
        <v/>
      </c>
      <c r="L500" s="214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14" t="str">
        <f t="shared" si="57"/>
        <v/>
      </c>
      <c r="N500" s="215" t="str">
        <f t="shared" si="58"/>
        <v/>
      </c>
      <c r="O500" s="215" t="str">
        <f t="shared" si="59"/>
        <v/>
      </c>
    </row>
    <row r="501" spans="11:15">
      <c r="K501" s="214" t="str">
        <f t="shared" si="56"/>
        <v/>
      </c>
      <c r="L501" s="214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14" t="str">
        <f t="shared" si="57"/>
        <v/>
      </c>
      <c r="N501" s="215" t="str">
        <f t="shared" si="58"/>
        <v/>
      </c>
      <c r="O501" s="215" t="str">
        <f t="shared" si="59"/>
        <v/>
      </c>
    </row>
    <row r="502" spans="11:15">
      <c r="K502" s="214" t="str">
        <f t="shared" si="56"/>
        <v/>
      </c>
      <c r="L502" s="214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14" t="str">
        <f t="shared" si="57"/>
        <v/>
      </c>
      <c r="N502" s="215" t="str">
        <f t="shared" si="58"/>
        <v/>
      </c>
      <c r="O502" s="215" t="str">
        <f t="shared" si="59"/>
        <v/>
      </c>
    </row>
    <row r="503" spans="11:15">
      <c r="K503" s="214" t="str">
        <f t="shared" si="56"/>
        <v/>
      </c>
      <c r="L503" s="214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14" t="str">
        <f t="shared" si="57"/>
        <v/>
      </c>
      <c r="N503" s="215" t="str">
        <f t="shared" si="58"/>
        <v/>
      </c>
      <c r="O503" s="215" t="str">
        <f t="shared" si="59"/>
        <v/>
      </c>
    </row>
    <row r="504" spans="11:15">
      <c r="K504" s="214" t="str">
        <f t="shared" si="56"/>
        <v/>
      </c>
      <c r="L504" s="214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14" t="str">
        <f t="shared" si="57"/>
        <v/>
      </c>
      <c r="N504" s="215" t="str">
        <f t="shared" si="58"/>
        <v/>
      </c>
      <c r="O504" s="215" t="str">
        <f t="shared" si="59"/>
        <v/>
      </c>
    </row>
    <row r="505" spans="11:15">
      <c r="K505" s="214" t="str">
        <f t="shared" si="56"/>
        <v/>
      </c>
      <c r="L505" s="214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14" t="str">
        <f t="shared" si="57"/>
        <v/>
      </c>
      <c r="N505" s="215" t="str">
        <f t="shared" si="58"/>
        <v/>
      </c>
      <c r="O505" s="215" t="str">
        <f t="shared" si="59"/>
        <v/>
      </c>
    </row>
    <row r="506" spans="11:15">
      <c r="K506" s="214" t="str">
        <f t="shared" si="56"/>
        <v/>
      </c>
      <c r="L506" s="214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14" t="str">
        <f t="shared" si="57"/>
        <v/>
      </c>
      <c r="N506" s="215" t="str">
        <f t="shared" si="58"/>
        <v/>
      </c>
      <c r="O506" s="215" t="str">
        <f t="shared" si="59"/>
        <v/>
      </c>
    </row>
    <row r="507" spans="11:15">
      <c r="K507" s="214" t="str">
        <f t="shared" si="56"/>
        <v/>
      </c>
      <c r="L507" s="214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14" t="str">
        <f t="shared" si="57"/>
        <v/>
      </c>
      <c r="N507" s="215" t="str">
        <f t="shared" si="58"/>
        <v/>
      </c>
      <c r="O507" s="215" t="str">
        <f t="shared" si="59"/>
        <v/>
      </c>
    </row>
    <row r="508" spans="11:15">
      <c r="K508" s="214" t="str">
        <f t="shared" si="56"/>
        <v/>
      </c>
      <c r="L508" s="214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14" t="str">
        <f t="shared" si="57"/>
        <v/>
      </c>
      <c r="N508" s="215" t="str">
        <f t="shared" si="58"/>
        <v/>
      </c>
      <c r="O508" s="215" t="str">
        <f t="shared" si="59"/>
        <v/>
      </c>
    </row>
    <row r="509" spans="11:15">
      <c r="K509" s="214" t="str">
        <f t="shared" si="56"/>
        <v/>
      </c>
      <c r="L509" s="214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14" t="str">
        <f t="shared" si="57"/>
        <v/>
      </c>
      <c r="N509" s="215" t="str">
        <f t="shared" si="58"/>
        <v/>
      </c>
      <c r="O509" s="215" t="str">
        <f t="shared" si="59"/>
        <v/>
      </c>
    </row>
    <row r="510" spans="11:15">
      <c r="K510" s="214" t="str">
        <f t="shared" si="56"/>
        <v/>
      </c>
      <c r="L510" s="214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14" t="str">
        <f t="shared" si="57"/>
        <v/>
      </c>
      <c r="N510" s="215" t="str">
        <f t="shared" si="58"/>
        <v/>
      </c>
      <c r="O510" s="215" t="str">
        <f t="shared" si="59"/>
        <v/>
      </c>
    </row>
    <row r="511" spans="11:15">
      <c r="K511" s="214" t="str">
        <f t="shared" si="56"/>
        <v/>
      </c>
      <c r="L511" s="214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14" t="str">
        <f t="shared" si="57"/>
        <v/>
      </c>
      <c r="N511" s="215" t="str">
        <f t="shared" si="58"/>
        <v/>
      </c>
      <c r="O511" s="215" t="str">
        <f t="shared" si="59"/>
        <v/>
      </c>
    </row>
    <row r="512" spans="11:15">
      <c r="K512" s="214" t="str">
        <f t="shared" si="56"/>
        <v/>
      </c>
      <c r="L512" s="214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14" t="str">
        <f t="shared" si="57"/>
        <v/>
      </c>
      <c r="N512" s="215" t="str">
        <f t="shared" si="58"/>
        <v/>
      </c>
      <c r="O512" s="215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8" bestFit="1" customWidth="1"/>
    <col min="4" max="4" width="24.42578125" style="218" bestFit="1" customWidth="1"/>
    <col min="5" max="5" width="24.42578125" style="218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6" t="s">
        <v>292</v>
      </c>
      <c r="C4" s="216" t="s">
        <v>288</v>
      </c>
      <c r="D4" s="216" t="s">
        <v>289</v>
      </c>
      <c r="E4" s="216" t="s">
        <v>290</v>
      </c>
    </row>
    <row r="5" spans="2:5">
      <c r="B5" s="22" t="s">
        <v>328</v>
      </c>
      <c r="C5" s="217">
        <f>IF(B5="","",IF(OR(LEFT(B5,4)="Cash",LEFT(B5,4)="Prov"),0,SUMIFS('Input_APM (Zenith)'!N:N,'Input_APM (Zenith)'!L:L,'Check (Zenith)'!B5,'Input_APM (Zenith)'!M:M,'Check (Zenith)'!$C$1)))</f>
        <v>0</v>
      </c>
      <c r="D5" s="217">
        <f>IF(B5="","",IF(OR(LEFT(B5,4)="Cash",LEFT(B5,4)="Prov"),0,SUMIFS('Input_APM (Zenith)'!N:N,'Input_APM (Zenith)'!L:L,'Check (Zenith)'!B5,'Input_APM (Zenith)'!M:M,'Check (Zenith)'!$D$1)))</f>
        <v>0</v>
      </c>
      <c r="E5" s="217">
        <f>IF(B5="","",C5-D5)</f>
        <v>0</v>
      </c>
    </row>
    <row r="6" spans="2:5">
      <c r="B6" s="22" t="s">
        <v>329</v>
      </c>
      <c r="C6" s="217">
        <f>IF(B6="","",IF(OR(LEFT(B6,4)="Cash",LEFT(B6,4)="Prov"),0,SUMIFS('Input_APM (Zenith)'!N:N,'Input_APM (Zenith)'!L:L,'Check (Zenith)'!B6,'Input_APM (Zenith)'!M:M,'Check (Zenith)'!$C$1)))</f>
        <v>0</v>
      </c>
      <c r="D6" s="217">
        <f>IF(B6="","",IF(OR(LEFT(B6,4)="Cash",LEFT(B6,4)="Prov"),0,SUMIFS('Input_APM (Zenith)'!N:N,'Input_APM (Zenith)'!L:L,'Check (Zenith)'!B6,'Input_APM (Zenith)'!M:M,'Check (Zenith)'!$D$1)))</f>
        <v>0</v>
      </c>
      <c r="E6" s="217">
        <f t="shared" ref="E6:E69" si="0">IF(B6="","",C6-D6)</f>
        <v>0</v>
      </c>
    </row>
    <row r="7" spans="2:5">
      <c r="B7" s="22" t="s">
        <v>330</v>
      </c>
      <c r="C7" s="217">
        <f>IF(B7="","",IF(OR(LEFT(B7,4)="Cash",LEFT(B7,4)="Prov"),0,SUMIFS('Input_APM (Zenith)'!N:N,'Input_APM (Zenith)'!L:L,'Check (Zenith)'!B7,'Input_APM (Zenith)'!M:M,'Check (Zenith)'!$C$1)))</f>
        <v>0</v>
      </c>
      <c r="D7" s="217">
        <f>IF(B7="","",IF(OR(LEFT(B7,4)="Cash",LEFT(B7,4)="Prov"),0,SUMIFS('Input_APM (Zenith)'!N:N,'Input_APM (Zenith)'!L:L,'Check (Zenith)'!B7,'Input_APM (Zenith)'!M:M,'Check (Zenith)'!$D$1)))</f>
        <v>0</v>
      </c>
      <c r="E7" s="217">
        <f t="shared" si="0"/>
        <v>0</v>
      </c>
    </row>
    <row r="8" spans="2:5">
      <c r="B8" s="22" t="s">
        <v>331</v>
      </c>
      <c r="C8" s="217">
        <f>IF(B8="","",IF(OR(LEFT(B8,4)="Cash",LEFT(B8,4)="Prov"),0,SUMIFS('Input_APM (Zenith)'!N:N,'Input_APM (Zenith)'!L:L,'Check (Zenith)'!B8,'Input_APM (Zenith)'!M:M,'Check (Zenith)'!$C$1)))</f>
        <v>0</v>
      </c>
      <c r="D8" s="217">
        <f>IF(B8="","",IF(OR(LEFT(B8,4)="Cash",LEFT(B8,4)="Prov"),0,SUMIFS('Input_APM (Zenith)'!N:N,'Input_APM (Zenith)'!L:L,'Check (Zenith)'!B8,'Input_APM (Zenith)'!M:M,'Check (Zenith)'!$D$1)))</f>
        <v>0</v>
      </c>
      <c r="E8" s="217">
        <f t="shared" si="0"/>
        <v>0</v>
      </c>
    </row>
    <row r="9" spans="2:5">
      <c r="B9" s="22" t="s">
        <v>332</v>
      </c>
      <c r="C9" s="217">
        <f>IF(B9="","",IF(OR(LEFT(B9,4)="Cash",LEFT(B9,4)="Prov"),0,SUMIFS('Input_APM (Zenith)'!N:N,'Input_APM (Zenith)'!L:L,'Check (Zenith)'!B9,'Input_APM (Zenith)'!M:M,'Check (Zenith)'!$C$1)))</f>
        <v>0</v>
      </c>
      <c r="D9" s="217">
        <f>IF(B9="","",IF(OR(LEFT(B9,4)="Cash",LEFT(B9,4)="Prov"),0,SUMIFS('Input_APM (Zenith)'!N:N,'Input_APM (Zenith)'!L:L,'Check (Zenith)'!B9,'Input_APM (Zenith)'!M:M,'Check (Zenith)'!$D$1)))</f>
        <v>0</v>
      </c>
      <c r="E9" s="217">
        <f t="shared" si="0"/>
        <v>0</v>
      </c>
    </row>
    <row r="10" spans="2:5">
      <c r="B10" s="22" t="s">
        <v>295</v>
      </c>
      <c r="C10" s="217">
        <f>IF(B10="","",IF(OR(LEFT(B10,4)="Cash",LEFT(B10,4)="Prov"),0,SUMIFS('Input_APM (Zenith)'!N:N,'Input_APM (Zenith)'!L:L,'Check (Zenith)'!B10,'Input_APM (Zenith)'!M:M,'Check (Zenith)'!$C$1)))</f>
        <v>0</v>
      </c>
      <c r="D10" s="217">
        <f>IF(B10="","",IF(OR(LEFT(B10,4)="Cash",LEFT(B10,4)="Prov"),0,SUMIFS('Input_APM (Zenith)'!N:N,'Input_APM (Zenith)'!L:L,'Check (Zenith)'!B10,'Input_APM (Zenith)'!M:M,'Check (Zenith)'!$D$1)))</f>
        <v>0</v>
      </c>
      <c r="E10" s="217">
        <f t="shared" si="0"/>
        <v>0</v>
      </c>
    </row>
    <row r="11" spans="2:5">
      <c r="B11" s="22" t="s">
        <v>296</v>
      </c>
      <c r="C11" s="217">
        <f>IF(B11="","",IF(OR(LEFT(B11,4)="Cash",LEFT(B11,4)="Prov"),0,SUMIFS('Input_APM (Zenith)'!N:N,'Input_APM (Zenith)'!L:L,'Check (Zenith)'!B11,'Input_APM (Zenith)'!M:M,'Check (Zenith)'!$C$1)))</f>
        <v>0</v>
      </c>
      <c r="D11" s="217">
        <f>IF(B11="","",IF(OR(LEFT(B11,4)="Cash",LEFT(B11,4)="Prov"),0,SUMIFS('Input_APM (Zenith)'!N:N,'Input_APM (Zenith)'!L:L,'Check (Zenith)'!B11,'Input_APM (Zenith)'!M:M,'Check (Zenith)'!$D$1)))</f>
        <v>0</v>
      </c>
      <c r="E11" s="217">
        <f t="shared" si="0"/>
        <v>0</v>
      </c>
    </row>
    <row r="12" spans="2:5">
      <c r="B12" s="22" t="s">
        <v>297</v>
      </c>
      <c r="C12" s="217">
        <f>IF(B12="","",IF(OR(LEFT(B12,4)="Cash",LEFT(B12,4)="Prov"),0,SUMIFS('Input_APM (Zenith)'!N:N,'Input_APM (Zenith)'!L:L,'Check (Zenith)'!B12,'Input_APM (Zenith)'!M:M,'Check (Zenith)'!$C$1)))</f>
        <v>0</v>
      </c>
      <c r="D12" s="217">
        <f>IF(B12="","",IF(OR(LEFT(B12,4)="Cash",LEFT(B12,4)="Prov"),0,SUMIFS('Input_APM (Zenith)'!N:N,'Input_APM (Zenith)'!L:L,'Check (Zenith)'!B12,'Input_APM (Zenith)'!M:M,'Check (Zenith)'!$D$1)))</f>
        <v>0</v>
      </c>
      <c r="E12" s="217">
        <f t="shared" si="0"/>
        <v>0</v>
      </c>
    </row>
    <row r="13" spans="2:5">
      <c r="B13" s="22" t="s">
        <v>298</v>
      </c>
      <c r="C13" s="217">
        <f>IF(B13="","",IF(OR(LEFT(B13,4)="Cash",LEFT(B13,4)="Prov"),0,SUMIFS('Input_APM (Zenith)'!N:N,'Input_APM (Zenith)'!L:L,'Check (Zenith)'!B13,'Input_APM (Zenith)'!M:M,'Check (Zenith)'!$C$1)))</f>
        <v>0</v>
      </c>
      <c r="D13" s="217">
        <f>IF(B13="","",IF(OR(LEFT(B13,4)="Cash",LEFT(B13,4)="Prov"),0,SUMIFS('Input_APM (Zenith)'!N:N,'Input_APM (Zenith)'!L:L,'Check (Zenith)'!B13,'Input_APM (Zenith)'!M:M,'Check (Zenith)'!$D$1)))</f>
        <v>0</v>
      </c>
      <c r="E13" s="217">
        <f t="shared" si="0"/>
        <v>0</v>
      </c>
    </row>
    <row r="14" spans="2:5">
      <c r="B14" s="22" t="s">
        <v>299</v>
      </c>
      <c r="C14" s="217">
        <f>IF(B14="","",IF(OR(LEFT(B14,4)="Cash",LEFT(B14,4)="Prov"),0,SUMIFS('Input_APM (Zenith)'!N:N,'Input_APM (Zenith)'!L:L,'Check (Zenith)'!B14,'Input_APM (Zenith)'!M:M,'Check (Zenith)'!$C$1)))</f>
        <v>0</v>
      </c>
      <c r="D14" s="217">
        <f>IF(B14="","",IF(OR(LEFT(B14,4)="Cash",LEFT(B14,4)="Prov"),0,SUMIFS('Input_APM (Zenith)'!N:N,'Input_APM (Zenith)'!L:L,'Check (Zenith)'!B14,'Input_APM (Zenith)'!M:M,'Check (Zenith)'!$D$1)))</f>
        <v>0</v>
      </c>
      <c r="E14" s="217">
        <f t="shared" si="0"/>
        <v>0</v>
      </c>
    </row>
    <row r="15" spans="2:5">
      <c r="B15" s="22" t="s">
        <v>300</v>
      </c>
      <c r="C15" s="217">
        <f>IF(B15="","",IF(OR(LEFT(B15,4)="Cash",LEFT(B15,4)="Prov"),0,SUMIFS('Input_APM (Zenith)'!N:N,'Input_APM (Zenith)'!L:L,'Check (Zenith)'!B15,'Input_APM (Zenith)'!M:M,'Check (Zenith)'!$C$1)))</f>
        <v>0</v>
      </c>
      <c r="D15" s="217">
        <f>IF(B15="","",IF(OR(LEFT(B15,4)="Cash",LEFT(B15,4)="Prov"),0,SUMIFS('Input_APM (Zenith)'!N:N,'Input_APM (Zenith)'!L:L,'Check (Zenith)'!B15,'Input_APM (Zenith)'!M:M,'Check (Zenith)'!$D$1)))</f>
        <v>0</v>
      </c>
      <c r="E15" s="217">
        <f t="shared" si="0"/>
        <v>0</v>
      </c>
    </row>
    <row r="16" spans="2:5">
      <c r="B16" s="22" t="s">
        <v>301</v>
      </c>
      <c r="C16" s="217">
        <f>IF(B16="","",IF(OR(LEFT(B16,4)="Cash",LEFT(B16,4)="Prov"),0,SUMIFS('Input_APM (Zenith)'!N:N,'Input_APM (Zenith)'!L:L,'Check (Zenith)'!B16,'Input_APM (Zenith)'!M:M,'Check (Zenith)'!$C$1)))</f>
        <v>0</v>
      </c>
      <c r="D16" s="217">
        <f>IF(B16="","",IF(OR(LEFT(B16,4)="Cash",LEFT(B16,4)="Prov"),0,SUMIFS('Input_APM (Zenith)'!N:N,'Input_APM (Zenith)'!L:L,'Check (Zenith)'!B16,'Input_APM (Zenith)'!M:M,'Check (Zenith)'!$D$1)))</f>
        <v>0</v>
      </c>
      <c r="E16" s="217">
        <f t="shared" si="0"/>
        <v>0</v>
      </c>
    </row>
    <row r="17" spans="2:5">
      <c r="B17" s="22" t="s">
        <v>302</v>
      </c>
      <c r="C17" s="217">
        <f>IF(B17="","",IF(OR(LEFT(B17,4)="Cash",LEFT(B17,4)="Prov"),0,SUMIFS('Input_APM (Zenith)'!N:N,'Input_APM (Zenith)'!L:L,'Check (Zenith)'!B17,'Input_APM (Zenith)'!M:M,'Check (Zenith)'!$C$1)))</f>
        <v>0</v>
      </c>
      <c r="D17" s="217">
        <f>IF(B17="","",IF(OR(LEFT(B17,4)="Cash",LEFT(B17,4)="Prov"),0,SUMIFS('Input_APM (Zenith)'!N:N,'Input_APM (Zenith)'!L:L,'Check (Zenith)'!B17,'Input_APM (Zenith)'!M:M,'Check (Zenith)'!$D$1)))</f>
        <v>0</v>
      </c>
      <c r="E17" s="217">
        <f t="shared" si="0"/>
        <v>0</v>
      </c>
    </row>
    <row r="18" spans="2:5">
      <c r="B18" t="s">
        <v>333</v>
      </c>
      <c r="C18" s="217">
        <f>IF(B18="","",IF(OR(LEFT(B18,4)="Cash",LEFT(B18,4)="Prov"),0,SUMIFS('Input_APM (Zenith)'!N:N,'Input_APM (Zenith)'!L:L,'Check (Zenith)'!B18,'Input_APM (Zenith)'!M:M,'Check (Zenith)'!$C$1)))</f>
        <v>0</v>
      </c>
      <c r="D18" s="217">
        <f>IF(B18="","",IF(OR(LEFT(B18,4)="Cash",LEFT(B18,4)="Prov"),0,SUMIFS('Input_APM (Zenith)'!N:N,'Input_APM (Zenith)'!L:L,'Check (Zenith)'!B18,'Input_APM (Zenith)'!M:M,'Check (Zenith)'!$D$1)))</f>
        <v>0</v>
      </c>
      <c r="E18" s="217">
        <f t="shared" si="0"/>
        <v>0</v>
      </c>
    </row>
    <row r="19" spans="2:5">
      <c r="B19" s="22" t="s">
        <v>334</v>
      </c>
      <c r="C19" s="217">
        <f>IF(B19="","",IF(OR(LEFT(B19,4)="Cash",LEFT(B19,4)="Prov"),0,SUMIFS('Input_APM (Zenith)'!N:N,'Input_APM (Zenith)'!L:L,'Check (Zenith)'!B19,'Input_APM (Zenith)'!M:M,'Check (Zenith)'!$C$1)))</f>
        <v>0</v>
      </c>
      <c r="D19" s="217">
        <f>IF(B19="","",IF(OR(LEFT(B19,4)="Cash",LEFT(B19,4)="Prov"),0,SUMIFS('Input_APM (Zenith)'!N:N,'Input_APM (Zenith)'!L:L,'Check (Zenith)'!B19,'Input_APM (Zenith)'!M:M,'Check (Zenith)'!$D$1)))</f>
        <v>0</v>
      </c>
      <c r="E19" s="217">
        <f t="shared" si="0"/>
        <v>0</v>
      </c>
    </row>
    <row r="20" spans="2:5">
      <c r="B20" s="22" t="s">
        <v>235</v>
      </c>
      <c r="C20" s="217">
        <f>IF(B20="","",IF(OR(LEFT(B20,4)="Cash",LEFT(B20,4)="Prov"),0,SUMIFS('Input_APM (Zenith)'!N:N,'Input_APM (Zenith)'!L:L,'Check (Zenith)'!B20,'Input_APM (Zenith)'!M:M,'Check (Zenith)'!$C$1)))</f>
        <v>0</v>
      </c>
      <c r="D20" s="217">
        <f>IF(B20="","",IF(OR(LEFT(B20,4)="Cash",LEFT(B20,4)="Prov"),0,SUMIFS('Input_APM (Zenith)'!N:N,'Input_APM (Zenith)'!L:L,'Check (Zenith)'!B20,'Input_APM (Zenith)'!M:M,'Check (Zenith)'!$D$1)))</f>
        <v>0</v>
      </c>
      <c r="E20" s="217">
        <f t="shared" si="0"/>
        <v>0</v>
      </c>
    </row>
    <row r="21" spans="2:5">
      <c r="B21" s="22" t="s">
        <v>236</v>
      </c>
      <c r="C21" s="217">
        <f>IF(B21="","",IF(OR(LEFT(B21,4)="Cash",LEFT(B21,4)="Prov"),0,SUMIFS('Input_APM (Zenith)'!N:N,'Input_APM (Zenith)'!L:L,'Check (Zenith)'!B21,'Input_APM (Zenith)'!M:M,'Check (Zenith)'!$C$1)))</f>
        <v>0</v>
      </c>
      <c r="D21" s="217">
        <f>IF(B21="","",IF(OR(LEFT(B21,4)="Cash",LEFT(B21,4)="Prov"),0,SUMIFS('Input_APM (Zenith)'!N:N,'Input_APM (Zenith)'!L:L,'Check (Zenith)'!B21,'Input_APM (Zenith)'!M:M,'Check (Zenith)'!$D$1)))</f>
        <v>0</v>
      </c>
      <c r="E21" s="217">
        <f t="shared" si="0"/>
        <v>0</v>
      </c>
    </row>
    <row r="22" spans="2:5">
      <c r="B22" t="s">
        <v>131</v>
      </c>
      <c r="C22" s="217">
        <f>IF(B22="","",IF(OR(LEFT(B22,4)="Cash",LEFT(B22,4)="Prov"),0,SUMIFS('Input_APM (Zenith)'!N:N,'Input_APM (Zenith)'!L:L,'Check (Zenith)'!B22,'Input_APM (Zenith)'!M:M,'Check (Zenith)'!$C$1)))</f>
        <v>0</v>
      </c>
      <c r="D22" s="217">
        <f>IF(B22="","",IF(OR(LEFT(B22,4)="Cash",LEFT(B22,4)="Prov"),0,SUMIFS('Input_APM (Zenith)'!N:N,'Input_APM (Zenith)'!L:L,'Check (Zenith)'!B22,'Input_APM (Zenith)'!M:M,'Check (Zenith)'!$D$1)))</f>
        <v>0</v>
      </c>
      <c r="E22" s="217">
        <f t="shared" si="0"/>
        <v>0</v>
      </c>
    </row>
    <row r="23" spans="2:5">
      <c r="B23" s="22" t="s">
        <v>239</v>
      </c>
      <c r="C23" s="217">
        <f>IF(B23="","",IF(OR(LEFT(B23,4)="Cash",LEFT(B23,4)="Prov"),0,SUMIFS('Input_APM (Zenith)'!N:N,'Input_APM (Zenith)'!L:L,'Check (Zenith)'!B23,'Input_APM (Zenith)'!M:M,'Check (Zenith)'!$C$1)))</f>
        <v>0</v>
      </c>
      <c r="D23" s="217">
        <f>IF(B23="","",IF(OR(LEFT(B23,4)="Cash",LEFT(B23,4)="Prov"),0,SUMIFS('Input_APM (Zenith)'!N:N,'Input_APM (Zenith)'!L:L,'Check (Zenith)'!B23,'Input_APM (Zenith)'!M:M,'Check (Zenith)'!$D$1)))</f>
        <v>0</v>
      </c>
      <c r="E23" s="217">
        <f t="shared" si="0"/>
        <v>0</v>
      </c>
    </row>
    <row r="24" spans="2:5">
      <c r="B24" s="22" t="s">
        <v>237</v>
      </c>
      <c r="C24" s="217">
        <f>IF(B24="","",IF(OR(LEFT(B24,4)="Cash",LEFT(B24,4)="Prov"),0,SUMIFS('Input_APM (Zenith)'!N:N,'Input_APM (Zenith)'!L:L,'Check (Zenith)'!B24,'Input_APM (Zenith)'!M:M,'Check (Zenith)'!$C$1)))</f>
        <v>0</v>
      </c>
      <c r="D24" s="217">
        <f>IF(B24="","",IF(OR(LEFT(B24,4)="Cash",LEFT(B24,4)="Prov"),0,SUMIFS('Input_APM (Zenith)'!N:N,'Input_APM (Zenith)'!L:L,'Check (Zenith)'!B24,'Input_APM (Zenith)'!M:M,'Check (Zenith)'!$D$1)))</f>
        <v>0</v>
      </c>
      <c r="E24" s="217">
        <f t="shared" si="0"/>
        <v>0</v>
      </c>
    </row>
    <row r="25" spans="2:5">
      <c r="B25" s="22" t="s">
        <v>240</v>
      </c>
      <c r="C25" s="217">
        <f>IF(B25="","",IF(OR(LEFT(B25,4)="Cash",LEFT(B25,4)="Prov"),0,SUMIFS('Input_APM (Zenith)'!N:N,'Input_APM (Zenith)'!L:L,'Check (Zenith)'!B25,'Input_APM (Zenith)'!M:M,'Check (Zenith)'!$C$1)))</f>
        <v>0</v>
      </c>
      <c r="D25" s="217">
        <f>IF(B25="","",IF(OR(LEFT(B25,4)="Cash",LEFT(B25,4)="Prov"),0,SUMIFS('Input_APM (Zenith)'!N:N,'Input_APM (Zenith)'!L:L,'Check (Zenith)'!B25,'Input_APM (Zenith)'!M:M,'Check (Zenith)'!$D$1)))</f>
        <v>0</v>
      </c>
      <c r="E25" s="217">
        <f t="shared" si="0"/>
        <v>0</v>
      </c>
    </row>
    <row r="26" spans="2:5">
      <c r="B26" t="s">
        <v>238</v>
      </c>
      <c r="C26" s="217">
        <f>IF(B26="","",IF(OR(LEFT(B26,4)="Cash",LEFT(B26,4)="Prov"),0,SUMIFS('Input_APM (Zenith)'!N:N,'Input_APM (Zenith)'!L:L,'Check (Zenith)'!B26,'Input_APM (Zenith)'!M:M,'Check (Zenith)'!$C$1)))</f>
        <v>0</v>
      </c>
      <c r="D26" s="217">
        <f>IF(B26="","",IF(OR(LEFT(B26,4)="Cash",LEFT(B26,4)="Prov"),0,SUMIFS('Input_APM (Zenith)'!N:N,'Input_APM (Zenith)'!L:L,'Check (Zenith)'!B26,'Input_APM (Zenith)'!M:M,'Check (Zenith)'!$D$1)))</f>
        <v>0</v>
      </c>
      <c r="E26" s="217">
        <f t="shared" si="0"/>
        <v>0</v>
      </c>
    </row>
    <row r="27" spans="2:5">
      <c r="B27" s="22" t="s">
        <v>241</v>
      </c>
      <c r="C27" s="217">
        <f>IF(B27="","",IF(OR(LEFT(B27,4)="Cash",LEFT(B27,4)="Prov"),0,SUMIFS('Input_APM (Zenith)'!N:N,'Input_APM (Zenith)'!L:L,'Check (Zenith)'!B27,'Input_APM (Zenith)'!M:M,'Check (Zenith)'!$C$1)))</f>
        <v>0</v>
      </c>
      <c r="D27" s="217">
        <f>IF(B27="","",IF(OR(LEFT(B27,4)="Cash",LEFT(B27,4)="Prov"),0,SUMIFS('Input_APM (Zenith)'!N:N,'Input_APM (Zenith)'!L:L,'Check (Zenith)'!B27,'Input_APM (Zenith)'!M:M,'Check (Zenith)'!$D$1)))</f>
        <v>0</v>
      </c>
      <c r="E27" s="217">
        <f t="shared" si="0"/>
        <v>0</v>
      </c>
    </row>
    <row r="28" spans="2:5">
      <c r="B28" s="22" t="s">
        <v>242</v>
      </c>
      <c r="C28" s="217">
        <f>IF(B28="","",IF(OR(LEFT(B28,4)="Cash",LEFT(B28,4)="Prov"),0,SUMIFS('Input_APM (Zenith)'!N:N,'Input_APM (Zenith)'!L:L,'Check (Zenith)'!B28,'Input_APM (Zenith)'!M:M,'Check (Zenith)'!$C$1)))</f>
        <v>0</v>
      </c>
      <c r="D28" s="217">
        <f>IF(B28="","",IF(OR(LEFT(B28,4)="Cash",LEFT(B28,4)="Prov"),0,SUMIFS('Input_APM (Zenith)'!N:N,'Input_APM (Zenith)'!L:L,'Check (Zenith)'!B28,'Input_APM (Zenith)'!M:M,'Check (Zenith)'!$D$1)))</f>
        <v>0</v>
      </c>
      <c r="E28" s="217">
        <f t="shared" si="0"/>
        <v>0</v>
      </c>
    </row>
    <row r="29" spans="2:5">
      <c r="B29" t="s">
        <v>304</v>
      </c>
      <c r="C29" s="217">
        <f>IF(B29="","",IF(OR(LEFT(B29,4)="Cash",LEFT(B29,4)="Prov"),0,SUMIFS('Input_APM (Zenith)'!N:N,'Input_APM (Zenith)'!L:L,'Check (Zenith)'!B29,'Input_APM (Zenith)'!M:M,'Check (Zenith)'!$C$1)))</f>
        <v>0</v>
      </c>
      <c r="D29" s="217">
        <f>IF(B29="","",IF(OR(LEFT(B29,4)="Cash",LEFT(B29,4)="Prov"),0,SUMIFS('Input_APM (Zenith)'!N:N,'Input_APM (Zenith)'!L:L,'Check (Zenith)'!B29,'Input_APM (Zenith)'!M:M,'Check (Zenith)'!$D$1)))</f>
        <v>0</v>
      </c>
      <c r="E29" s="217">
        <f t="shared" si="0"/>
        <v>0</v>
      </c>
    </row>
    <row r="30" spans="2:5">
      <c r="B30" t="s">
        <v>335</v>
      </c>
      <c r="C30" s="217">
        <f>IF(B30="","",IF(OR(LEFT(B30,4)="Cash",LEFT(B30,4)="Prov"),0,SUMIFS('Input_APM (Zenith)'!N:N,'Input_APM (Zenith)'!L:L,'Check (Zenith)'!B30,'Input_APM (Zenith)'!M:M,'Check (Zenith)'!$C$1)))</f>
        <v>0</v>
      </c>
      <c r="D30" s="217">
        <f>IF(B30="","",IF(OR(LEFT(B30,4)="Cash",LEFT(B30,4)="Prov"),0,SUMIFS('Input_APM (Zenith)'!N:N,'Input_APM (Zenith)'!L:L,'Check (Zenith)'!B30,'Input_APM (Zenith)'!M:M,'Check (Zenith)'!$D$1)))</f>
        <v>0</v>
      </c>
      <c r="E30" s="217">
        <f t="shared" si="0"/>
        <v>0</v>
      </c>
    </row>
    <row r="31" spans="2:5">
      <c r="B31" t="s">
        <v>195</v>
      </c>
      <c r="C31" s="217">
        <f>IF(B31="","",IF(OR(LEFT(B31,4)="Cash",LEFT(B31,4)="Prov"),0,SUMIFS('Input_APM (Zenith)'!N:N,'Input_APM (Zenith)'!L:L,'Check (Zenith)'!B31,'Input_APM (Zenith)'!M:M,'Check (Zenith)'!$C$1)))</f>
        <v>0</v>
      </c>
      <c r="D31" s="217">
        <f>IF(B31="","",IF(OR(LEFT(B31,4)="Cash",LEFT(B31,4)="Prov"),0,SUMIFS('Input_APM (Zenith)'!N:N,'Input_APM (Zenith)'!L:L,'Check (Zenith)'!B31,'Input_APM (Zenith)'!M:M,'Check (Zenith)'!$D$1)))</f>
        <v>0</v>
      </c>
      <c r="E31" s="217">
        <f t="shared" si="0"/>
        <v>0</v>
      </c>
    </row>
    <row r="32" spans="2:5">
      <c r="B32" t="s">
        <v>234</v>
      </c>
      <c r="C32" s="217">
        <f>IF(B32="","",IF(OR(LEFT(B32,4)="Cash",LEFT(B32,4)="Prov"),0,SUMIFS('Input_APM (Zenith)'!N:N,'Input_APM (Zenith)'!L:L,'Check (Zenith)'!B32,'Input_APM (Zenith)'!M:M,'Check (Zenith)'!$C$1)))</f>
        <v>0</v>
      </c>
      <c r="D32" s="217">
        <f>IF(B32="","",IF(OR(LEFT(B32,4)="Cash",LEFT(B32,4)="Prov"),0,SUMIFS('Input_APM (Zenith)'!N:N,'Input_APM (Zenith)'!L:L,'Check (Zenith)'!B32,'Input_APM (Zenith)'!M:M,'Check (Zenith)'!$D$1)))</f>
        <v>0</v>
      </c>
      <c r="E32" s="217">
        <f t="shared" si="0"/>
        <v>0</v>
      </c>
    </row>
    <row r="33" spans="2:5">
      <c r="B33" t="s">
        <v>86</v>
      </c>
      <c r="C33" s="217">
        <f>IF(B33="","",IF(OR(LEFT(B33,4)="Cash",LEFT(B33,4)="Prov"),0,SUMIFS('Input_APM (Zenith)'!N:N,'Input_APM (Zenith)'!L:L,'Check (Zenith)'!B33,'Input_APM (Zenith)'!M:M,'Check (Zenith)'!$C$1)))</f>
        <v>0</v>
      </c>
      <c r="D33" s="217">
        <f>IF(B33="","",IF(OR(LEFT(B33,4)="Cash",LEFT(B33,4)="Prov"),0,SUMIFS('Input_APM (Zenith)'!N:N,'Input_APM (Zenith)'!L:L,'Check (Zenith)'!B33,'Input_APM (Zenith)'!M:M,'Check (Zenith)'!$D$1)))</f>
        <v>0</v>
      </c>
      <c r="E33" s="217">
        <f t="shared" si="0"/>
        <v>0</v>
      </c>
    </row>
    <row r="34" spans="2:5">
      <c r="B34" t="s">
        <v>81</v>
      </c>
      <c r="C34" s="217">
        <f>IF(B34="","",IF(OR(LEFT(B34,4)="Cash",LEFT(B34,4)="Prov"),0,SUMIFS('Input_APM (Zenith)'!N:N,'Input_APM (Zenith)'!L:L,'Check (Zenith)'!B34,'Input_APM (Zenith)'!M:M,'Check (Zenith)'!$C$1)))</f>
        <v>0</v>
      </c>
      <c r="D34" s="217">
        <f>IF(B34="","",IF(OR(LEFT(B34,4)="Cash",LEFT(B34,4)="Prov"),0,SUMIFS('Input_APM (Zenith)'!N:N,'Input_APM (Zenith)'!L:L,'Check (Zenith)'!B34,'Input_APM (Zenith)'!M:M,'Check (Zenith)'!$D$1)))</f>
        <v>0</v>
      </c>
      <c r="E34" s="217">
        <f t="shared" si="0"/>
        <v>0</v>
      </c>
    </row>
    <row r="35" spans="2:5">
      <c r="B35" t="s">
        <v>278</v>
      </c>
      <c r="C35" s="217">
        <f>IF(B35="","",IF(OR(LEFT(B35,4)="Cash",LEFT(B35,4)="Prov"),0,SUMIFS('Input_APM (Zenith)'!N:N,'Input_APM (Zenith)'!L:L,'Check (Zenith)'!B35,'Input_APM (Zenith)'!M:M,'Check (Zenith)'!$C$1)))</f>
        <v>0</v>
      </c>
      <c r="D35" s="217">
        <f>IF(B35="","",IF(OR(LEFT(B35,4)="Cash",LEFT(B35,4)="Prov"),0,SUMIFS('Input_APM (Zenith)'!N:N,'Input_APM (Zenith)'!L:L,'Check (Zenith)'!B35,'Input_APM (Zenith)'!M:M,'Check (Zenith)'!$D$1)))</f>
        <v>0</v>
      </c>
      <c r="E35" s="217">
        <f t="shared" si="0"/>
        <v>0</v>
      </c>
    </row>
    <row r="36" spans="2:5">
      <c r="B36" t="s">
        <v>279</v>
      </c>
      <c r="C36" s="217">
        <f>IF(B36="","",IF(OR(LEFT(B36,4)="Cash",LEFT(B36,4)="Prov"),0,SUMIFS('Input_APM (Zenith)'!N:N,'Input_APM (Zenith)'!L:L,'Check (Zenith)'!B36,'Input_APM (Zenith)'!M:M,'Check (Zenith)'!$C$1)))</f>
        <v>0</v>
      </c>
      <c r="D36" s="217">
        <f>IF(B36="","",IF(OR(LEFT(B36,4)="Cash",LEFT(B36,4)="Prov"),0,SUMIFS('Input_APM (Zenith)'!N:N,'Input_APM (Zenith)'!L:L,'Check (Zenith)'!B36,'Input_APM (Zenith)'!M:M,'Check (Zenith)'!$D$1)))</f>
        <v>0</v>
      </c>
      <c r="E36" s="217">
        <f t="shared" si="0"/>
        <v>0</v>
      </c>
    </row>
    <row r="37" spans="2:5">
      <c r="B37" t="s">
        <v>280</v>
      </c>
      <c r="C37" s="217">
        <f>IF(B37="","",IF(OR(LEFT(B37,4)="Cash",LEFT(B37,4)="Prov"),0,SUMIFS('Input_APM (Zenith)'!N:N,'Input_APM (Zenith)'!L:L,'Check (Zenith)'!B37,'Input_APM (Zenith)'!M:M,'Check (Zenith)'!$C$1)))</f>
        <v>0</v>
      </c>
      <c r="D37" s="217">
        <f>IF(B37="","",IF(OR(LEFT(B37,4)="Cash",LEFT(B37,4)="Prov"),0,SUMIFS('Input_APM (Zenith)'!N:N,'Input_APM (Zenith)'!L:L,'Check (Zenith)'!B37,'Input_APM (Zenith)'!M:M,'Check (Zenith)'!$D$1)))</f>
        <v>0</v>
      </c>
      <c r="E37" s="217">
        <f t="shared" si="0"/>
        <v>0</v>
      </c>
    </row>
    <row r="38" spans="2:5">
      <c r="B38" t="s">
        <v>281</v>
      </c>
      <c r="C38" s="217">
        <f>IF(B38="","",IF(OR(LEFT(B38,4)="Cash",LEFT(B38,4)="Prov"),0,SUMIFS('Input_APM (Zenith)'!N:N,'Input_APM (Zenith)'!L:L,'Check (Zenith)'!B38,'Input_APM (Zenith)'!M:M,'Check (Zenith)'!$C$1)))</f>
        <v>0</v>
      </c>
      <c r="D38" s="217">
        <f>IF(B38="","",IF(OR(LEFT(B38,4)="Cash",LEFT(B38,4)="Prov"),0,SUMIFS('Input_APM (Zenith)'!N:N,'Input_APM (Zenith)'!L:L,'Check (Zenith)'!B38,'Input_APM (Zenith)'!M:M,'Check (Zenith)'!$D$1)))</f>
        <v>0</v>
      </c>
      <c r="E38" s="217">
        <f t="shared" si="0"/>
        <v>0</v>
      </c>
    </row>
    <row r="39" spans="2:5">
      <c r="B39" t="s">
        <v>90</v>
      </c>
      <c r="C39" s="217">
        <f>IF(B39="","",IF(OR(LEFT(B39,4)="Cash",LEFT(B39,4)="Prov"),0,SUMIFS('Input_APM (Zenith)'!N:N,'Input_APM (Zenith)'!L:L,'Check (Zenith)'!B39,'Input_APM (Zenith)'!M:M,'Check (Zenith)'!$C$1)))</f>
        <v>165</v>
      </c>
      <c r="D39" s="217">
        <f>IF(B39="","",IF(OR(LEFT(B39,4)="Cash",LEFT(B39,4)="Prov"),0,SUMIFS('Input_APM (Zenith)'!N:N,'Input_APM (Zenith)'!L:L,'Check (Zenith)'!B39,'Input_APM (Zenith)'!M:M,'Check (Zenith)'!$D$1)))</f>
        <v>0</v>
      </c>
      <c r="E39" s="217">
        <f t="shared" si="0"/>
        <v>165</v>
      </c>
    </row>
    <row r="40" spans="2:5">
      <c r="B40" t="s">
        <v>132</v>
      </c>
      <c r="C40" s="217">
        <f>IF(B40="","",IF(OR(LEFT(B40,4)="Cash",LEFT(B40,4)="Prov"),0,SUMIFS('Input_APM (Zenith)'!N:N,'Input_APM (Zenith)'!L:L,'Check (Zenith)'!B40,'Input_APM (Zenith)'!M:M,'Check (Zenith)'!$C$1)))</f>
        <v>0</v>
      </c>
      <c r="D40" s="217">
        <f>IF(B40="","",IF(OR(LEFT(B40,4)="Cash",LEFT(B40,4)="Prov"),0,SUMIFS('Input_APM (Zenith)'!N:N,'Input_APM (Zenith)'!L:L,'Check (Zenith)'!B40,'Input_APM (Zenith)'!M:M,'Check (Zenith)'!$D$1)))</f>
        <v>0</v>
      </c>
      <c r="E40" s="217">
        <f t="shared" si="0"/>
        <v>0</v>
      </c>
    </row>
    <row r="41" spans="2:5">
      <c r="B41" t="s">
        <v>305</v>
      </c>
      <c r="C41" s="217">
        <f>IF(B41="","",IF(OR(LEFT(B41,4)="Cash",LEFT(B41,4)="Prov"),0,SUMIFS('Input_APM (Zenith)'!N:N,'Input_APM (Zenith)'!L:L,'Check (Zenith)'!B41,'Input_APM (Zenith)'!M:M,'Check (Zenith)'!$C$1)))</f>
        <v>0</v>
      </c>
      <c r="D41" s="217">
        <f>IF(B41="","",IF(OR(LEFT(B41,4)="Cash",LEFT(B41,4)="Prov"),0,SUMIFS('Input_APM (Zenith)'!N:N,'Input_APM (Zenith)'!L:L,'Check (Zenith)'!B41,'Input_APM (Zenith)'!M:M,'Check (Zenith)'!$D$1)))</f>
        <v>0</v>
      </c>
      <c r="E41" s="217">
        <f t="shared" si="0"/>
        <v>0</v>
      </c>
    </row>
    <row r="42" spans="2:5">
      <c r="B42" t="s">
        <v>336</v>
      </c>
      <c r="C42" s="217">
        <f>IF(B42="","",IF(OR(LEFT(B42,4)="Cash",LEFT(B42,4)="Prov"),0,SUMIFS('Input_APM (Zenith)'!N:N,'Input_APM (Zenith)'!L:L,'Check (Zenith)'!B42,'Input_APM (Zenith)'!M:M,'Check (Zenith)'!$C$1)))</f>
        <v>0</v>
      </c>
      <c r="D42" s="217">
        <f>IF(B42="","",IF(OR(LEFT(B42,4)="Cash",LEFT(B42,4)="Prov"),0,SUMIFS('Input_APM (Zenith)'!N:N,'Input_APM (Zenith)'!L:L,'Check (Zenith)'!B42,'Input_APM (Zenith)'!M:M,'Check (Zenith)'!$D$1)))</f>
        <v>0</v>
      </c>
      <c r="E42" s="217">
        <f t="shared" si="0"/>
        <v>0</v>
      </c>
    </row>
    <row r="43" spans="2:5">
      <c r="B43" t="s">
        <v>306</v>
      </c>
      <c r="C43" s="217">
        <f>IF(B43="","",IF(OR(LEFT(B43,4)="Cash",LEFT(B43,4)="Prov"),0,SUMIFS('Input_APM (Zenith)'!N:N,'Input_APM (Zenith)'!L:L,'Check (Zenith)'!B43,'Input_APM (Zenith)'!M:M,'Check (Zenith)'!$C$1)))</f>
        <v>0</v>
      </c>
      <c r="D43" s="217">
        <f>IF(B43="","",IF(OR(LEFT(B43,4)="Cash",LEFT(B43,4)="Prov"),0,SUMIFS('Input_APM (Zenith)'!N:N,'Input_APM (Zenith)'!L:L,'Check (Zenith)'!B43,'Input_APM (Zenith)'!M:M,'Check (Zenith)'!$D$1)))</f>
        <v>0</v>
      </c>
      <c r="E43" s="217">
        <f t="shared" si="0"/>
        <v>0</v>
      </c>
    </row>
    <row r="44" spans="2:5">
      <c r="B44" t="s">
        <v>337</v>
      </c>
      <c r="C44" s="217">
        <f>IF(B44="","",IF(OR(LEFT(B44,4)="Cash",LEFT(B44,4)="Prov"),0,SUMIFS('Input_APM (Zenith)'!N:N,'Input_APM (Zenith)'!L:L,'Check (Zenith)'!B44,'Input_APM (Zenith)'!M:M,'Check (Zenith)'!$C$1)))</f>
        <v>0</v>
      </c>
      <c r="D44" s="217">
        <f>IF(B44="","",IF(OR(LEFT(B44,4)="Cash",LEFT(B44,4)="Prov"),0,SUMIFS('Input_APM (Zenith)'!N:N,'Input_APM (Zenith)'!L:L,'Check (Zenith)'!B44,'Input_APM (Zenith)'!M:M,'Check (Zenith)'!$D$1)))</f>
        <v>0</v>
      </c>
      <c r="E44" s="217">
        <f t="shared" si="0"/>
        <v>0</v>
      </c>
    </row>
    <row r="45" spans="2:5">
      <c r="B45" t="s">
        <v>307</v>
      </c>
      <c r="C45" s="217">
        <f>IF(B45="","",IF(OR(LEFT(B45,4)="Cash",LEFT(B45,4)="Prov"),0,SUMIFS('Input_APM (Zenith)'!N:N,'Input_APM (Zenith)'!L:L,'Check (Zenith)'!B45,'Input_APM (Zenith)'!M:M,'Check (Zenith)'!$C$1)))</f>
        <v>0</v>
      </c>
      <c r="D45" s="217">
        <f>IF(B45="","",IF(OR(LEFT(B45,4)="Cash",LEFT(B45,4)="Prov"),0,SUMIFS('Input_APM (Zenith)'!N:N,'Input_APM (Zenith)'!L:L,'Check (Zenith)'!B45,'Input_APM (Zenith)'!M:M,'Check (Zenith)'!$D$1)))</f>
        <v>0</v>
      </c>
      <c r="E45" s="217">
        <f t="shared" si="0"/>
        <v>0</v>
      </c>
    </row>
    <row r="46" spans="2:5">
      <c r="B46" t="s">
        <v>135</v>
      </c>
      <c r="C46" s="217">
        <f>IF(B46="","",IF(OR(LEFT(B46,4)="Cash",LEFT(B46,4)="Prov"),0,SUMIFS('Input_APM (Zenith)'!N:N,'Input_APM (Zenith)'!L:L,'Check (Zenith)'!B46,'Input_APM (Zenith)'!M:M,'Check (Zenith)'!$C$1)))</f>
        <v>0</v>
      </c>
      <c r="D46" s="217">
        <f>IF(B46="","",IF(OR(LEFT(B46,4)="Cash",LEFT(B46,4)="Prov"),0,SUMIFS('Input_APM (Zenith)'!N:N,'Input_APM (Zenith)'!L:L,'Check (Zenith)'!B46,'Input_APM (Zenith)'!M:M,'Check (Zenith)'!$D$1)))</f>
        <v>0</v>
      </c>
      <c r="E46" s="217">
        <f t="shared" si="0"/>
        <v>0</v>
      </c>
    </row>
    <row r="47" spans="2:5">
      <c r="B47" t="s">
        <v>338</v>
      </c>
      <c r="C47" s="217">
        <f>IF(B47="","",IF(OR(LEFT(B47,4)="Cash",LEFT(B47,4)="Prov"),0,SUMIFS('Input_APM (Zenith)'!N:N,'Input_APM (Zenith)'!L:L,'Check (Zenith)'!B47,'Input_APM (Zenith)'!M:M,'Check (Zenith)'!$C$1)))</f>
        <v>0</v>
      </c>
      <c r="D47" s="217">
        <f>IF(B47="","",IF(OR(LEFT(B47,4)="Cash",LEFT(B47,4)="Prov"),0,SUMIFS('Input_APM (Zenith)'!N:N,'Input_APM (Zenith)'!L:L,'Check (Zenith)'!B47,'Input_APM (Zenith)'!M:M,'Check (Zenith)'!$D$1)))</f>
        <v>0</v>
      </c>
      <c r="E47" s="217">
        <f t="shared" si="0"/>
        <v>0</v>
      </c>
    </row>
    <row r="48" spans="2:5">
      <c r="B48" t="s">
        <v>3</v>
      </c>
      <c r="C48" s="217">
        <f>IF(B48="","",IF(OR(LEFT(B48,4)="Cash",LEFT(B48,4)="Prov"),0,SUMIFS('Input_APM (Zenith)'!N:N,'Input_APM (Zenith)'!L:L,'Check (Zenith)'!B48,'Input_APM (Zenith)'!M:M,'Check (Zenith)'!$C$1)))</f>
        <v>-799</v>
      </c>
      <c r="D48" s="217">
        <f>IF(B48="","",IF(OR(LEFT(B48,4)="Cash",LEFT(B48,4)="Prov"),0,SUMIFS('Input_APM (Zenith)'!N:N,'Input_APM (Zenith)'!L:L,'Check (Zenith)'!B48,'Input_APM (Zenith)'!M:M,'Check (Zenith)'!$D$1)))</f>
        <v>0</v>
      </c>
      <c r="E48" s="217">
        <f t="shared" si="0"/>
        <v>-799</v>
      </c>
    </row>
    <row r="49" spans="2:5">
      <c r="B49" t="s">
        <v>308</v>
      </c>
      <c r="C49" s="217">
        <f>IF(B49="","",IF(OR(LEFT(B49,4)="Cash",LEFT(B49,4)="Prov"),0,SUMIFS('Input_APM (Zenith)'!N:N,'Input_APM (Zenith)'!L:L,'Check (Zenith)'!B49,'Input_APM (Zenith)'!M:M,'Check (Zenith)'!$C$1)))</f>
        <v>0</v>
      </c>
      <c r="D49" s="217">
        <f>IF(B49="","",IF(OR(LEFT(B49,4)="Cash",LEFT(B49,4)="Prov"),0,SUMIFS('Input_APM (Zenith)'!N:N,'Input_APM (Zenith)'!L:L,'Check (Zenith)'!B49,'Input_APM (Zenith)'!M:M,'Check (Zenith)'!$D$1)))</f>
        <v>0</v>
      </c>
      <c r="E49" s="217">
        <f t="shared" si="0"/>
        <v>0</v>
      </c>
    </row>
    <row r="50" spans="2:5">
      <c r="B50" t="s">
        <v>95</v>
      </c>
      <c r="C50" s="217">
        <f>IF(B50="","",IF(OR(LEFT(B50,4)="Cash",LEFT(B50,4)="Prov"),0,SUMIFS('Input_APM (Zenith)'!N:N,'Input_APM (Zenith)'!L:L,'Check (Zenith)'!B50,'Input_APM (Zenith)'!M:M,'Check (Zenith)'!$C$1)))</f>
        <v>0</v>
      </c>
      <c r="D50" s="217">
        <f>IF(B50="","",IF(OR(LEFT(B50,4)="Cash",LEFT(B50,4)="Prov"),0,SUMIFS('Input_APM (Zenith)'!N:N,'Input_APM (Zenith)'!L:L,'Check (Zenith)'!B50,'Input_APM (Zenith)'!M:M,'Check (Zenith)'!$D$1)))</f>
        <v>0</v>
      </c>
      <c r="E50" s="217">
        <f t="shared" si="0"/>
        <v>0</v>
      </c>
    </row>
    <row r="51" spans="2:5">
      <c r="B51" t="s">
        <v>309</v>
      </c>
      <c r="C51" s="217">
        <f>IF(B51="","",IF(OR(LEFT(B51,4)="Cash",LEFT(B51,4)="Prov"),0,SUMIFS('Input_APM (Zenith)'!N:N,'Input_APM (Zenith)'!L:L,'Check (Zenith)'!B51,'Input_APM (Zenith)'!M:M,'Check (Zenith)'!$C$1)))</f>
        <v>0</v>
      </c>
      <c r="D51" s="217">
        <f>IF(B51="","",IF(OR(LEFT(B51,4)="Cash",LEFT(B51,4)="Prov"),0,SUMIFS('Input_APM (Zenith)'!N:N,'Input_APM (Zenith)'!L:L,'Check (Zenith)'!B51,'Input_APM (Zenith)'!M:M,'Check (Zenith)'!$D$1)))</f>
        <v>0</v>
      </c>
      <c r="E51" s="217">
        <f t="shared" si="0"/>
        <v>0</v>
      </c>
    </row>
    <row r="52" spans="2:5">
      <c r="B52" t="s">
        <v>310</v>
      </c>
      <c r="C52" s="217">
        <f>IF(B52="","",IF(OR(LEFT(B52,4)="Cash",LEFT(B52,4)="Prov"),0,SUMIFS('Input_APM (Zenith)'!N:N,'Input_APM (Zenith)'!L:L,'Check (Zenith)'!B52,'Input_APM (Zenith)'!M:M,'Check (Zenith)'!$C$1)))</f>
        <v>0</v>
      </c>
      <c r="D52" s="217">
        <f>IF(B52="","",IF(OR(LEFT(B52,4)="Cash",LEFT(B52,4)="Prov"),0,SUMIFS('Input_APM (Zenith)'!N:N,'Input_APM (Zenith)'!L:L,'Check (Zenith)'!B52,'Input_APM (Zenith)'!M:M,'Check (Zenith)'!$D$1)))</f>
        <v>0</v>
      </c>
      <c r="E52" s="217">
        <f t="shared" si="0"/>
        <v>0</v>
      </c>
    </row>
    <row r="53" spans="2:5">
      <c r="B53" t="s">
        <v>96</v>
      </c>
      <c r="C53" s="217">
        <f>IF(B53="","",IF(OR(LEFT(B53,4)="Cash",LEFT(B53,4)="Prov"),0,SUMIFS('Input_APM (Zenith)'!N:N,'Input_APM (Zenith)'!L:L,'Check (Zenith)'!B53,'Input_APM (Zenith)'!M:M,'Check (Zenith)'!$C$1)))</f>
        <v>294</v>
      </c>
      <c r="D53" s="217">
        <f>IF(B53="","",IF(OR(LEFT(B53,4)="Cash",LEFT(B53,4)="Prov"),0,SUMIFS('Input_APM (Zenith)'!N:N,'Input_APM (Zenith)'!L:L,'Check (Zenith)'!B53,'Input_APM (Zenith)'!M:M,'Check (Zenith)'!$D$1)))</f>
        <v>0</v>
      </c>
      <c r="E53" s="217">
        <f t="shared" si="0"/>
        <v>294</v>
      </c>
    </row>
    <row r="54" spans="2:5">
      <c r="B54" t="s">
        <v>87</v>
      </c>
      <c r="C54" s="217">
        <f>IF(B54="","",IF(OR(LEFT(B54,4)="Cash",LEFT(B54,4)="Prov"),0,SUMIFS('Input_APM (Zenith)'!N:N,'Input_APM (Zenith)'!L:L,'Check (Zenith)'!B54,'Input_APM (Zenith)'!M:M,'Check (Zenith)'!$C$1)))</f>
        <v>0</v>
      </c>
      <c r="D54" s="217">
        <f>IF(B54="","",IF(OR(LEFT(B54,4)="Cash",LEFT(B54,4)="Prov"),0,SUMIFS('Input_APM (Zenith)'!N:N,'Input_APM (Zenith)'!L:L,'Check (Zenith)'!B54,'Input_APM (Zenith)'!M:M,'Check (Zenith)'!$D$1)))</f>
        <v>0</v>
      </c>
      <c r="E54" s="217">
        <f t="shared" si="0"/>
        <v>0</v>
      </c>
    </row>
    <row r="55" spans="2:5">
      <c r="B55" t="s">
        <v>311</v>
      </c>
      <c r="C55" s="217" t="str">
        <f>IF(B55="","",IF(OR(LEFT(B55,4)="Cash",LEFT(B55,4)="Prov"),0,SUMIFS('Input_APM (Zenith)'!N:N,'Input_APM (Zenith)'!L:L,'Check (Zenith)'!B55,'Input_APM (Zenith)'!M:M,'Check (Zenith)'!$C$1)))</f>
        <v/>
      </c>
      <c r="D55" s="217" t="str">
        <f>IF(B55="","",IF(OR(LEFT(B55,4)="Cash",LEFT(B55,4)="Prov"),0,SUMIFS('Input_APM (Zenith)'!N:N,'Input_APM (Zenith)'!L:L,'Check (Zenith)'!B55,'Input_APM (Zenith)'!M:M,'Check (Zenith)'!$D$1)))</f>
        <v/>
      </c>
      <c r="E55" s="217" t="str">
        <f t="shared" si="0"/>
        <v/>
      </c>
    </row>
    <row r="56" spans="2:5">
      <c r="C56" s="217" t="str">
        <f>IF(B56="","",IF(OR(LEFT(B56,4)="Cash",LEFT(B56,4)="Prov"),0,SUMIFS('Input_APM (Zenith)'!N:N,'Input_APM (Zenith)'!L:L,'Check (Zenith)'!B56,'Input_APM (Zenith)'!M:M,'Check (Zenith)'!$C$1)))</f>
        <v/>
      </c>
      <c r="D56" s="217" t="str">
        <f>IF(B56="","",IF(OR(LEFT(B56,4)="Cash",LEFT(B56,4)="Prov"),0,SUMIFS('Input_APM (Zenith)'!N:N,'Input_APM (Zenith)'!L:L,'Check (Zenith)'!B56,'Input_APM (Zenith)'!M:M,'Check (Zenith)'!$D$1)))</f>
        <v/>
      </c>
      <c r="E56" s="217" t="str">
        <f t="shared" si="0"/>
        <v/>
      </c>
    </row>
    <row r="57" spans="2:5">
      <c r="C57" s="217" t="str">
        <f>IF(B57="","",IF(OR(LEFT(B57,4)="Cash",LEFT(B57,4)="Prov"),0,SUMIFS('Input_APM (Zenith)'!N:N,'Input_APM (Zenith)'!L:L,'Check (Zenith)'!B57,'Input_APM (Zenith)'!M:M,'Check (Zenith)'!$C$1)))</f>
        <v/>
      </c>
      <c r="D57" s="217" t="str">
        <f>IF(B57="","",IF(OR(LEFT(B57,4)="Cash",LEFT(B57,4)="Prov"),0,SUMIFS('Input_APM (Zenith)'!N:N,'Input_APM (Zenith)'!L:L,'Check (Zenith)'!B57,'Input_APM (Zenith)'!M:M,'Check (Zenith)'!$D$1)))</f>
        <v/>
      </c>
      <c r="E57" s="217" t="str">
        <f t="shared" si="0"/>
        <v/>
      </c>
    </row>
    <row r="58" spans="2:5">
      <c r="C58" s="217" t="str">
        <f>IF(B58="","",IF(OR(LEFT(B58,4)="Cash",LEFT(B58,4)="Prov"),0,SUMIFS('Input_APM (Zenith)'!N:N,'Input_APM (Zenith)'!L:L,'Check (Zenith)'!B58,'Input_APM (Zenith)'!M:M,'Check (Zenith)'!$C$1)))</f>
        <v/>
      </c>
      <c r="D58" s="217" t="str">
        <f>IF(B58="","",IF(OR(LEFT(B58,4)="Cash",LEFT(B58,4)="Prov"),0,SUMIFS('Input_APM (Zenith)'!N:N,'Input_APM (Zenith)'!L:L,'Check (Zenith)'!B58,'Input_APM (Zenith)'!M:M,'Check (Zenith)'!$D$1)))</f>
        <v/>
      </c>
      <c r="E58" s="217" t="str">
        <f t="shared" si="0"/>
        <v/>
      </c>
    </row>
    <row r="59" spans="2:5">
      <c r="C59" s="217" t="str">
        <f>IF(B59="","",IF(OR(LEFT(B59,4)="Cash",LEFT(B59,4)="Prov"),0,SUMIFS('Input_APM (Zenith)'!N:N,'Input_APM (Zenith)'!L:L,'Check (Zenith)'!B59,'Input_APM (Zenith)'!M:M,'Check (Zenith)'!$C$1)))</f>
        <v/>
      </c>
      <c r="D59" s="217" t="str">
        <f>IF(B59="","",IF(OR(LEFT(B59,4)="Cash",LEFT(B59,4)="Prov"),0,SUMIFS('Input_APM (Zenith)'!N:N,'Input_APM (Zenith)'!L:L,'Check (Zenith)'!B59,'Input_APM (Zenith)'!M:M,'Check (Zenith)'!$D$1)))</f>
        <v/>
      </c>
      <c r="E59" s="217" t="str">
        <f t="shared" si="0"/>
        <v/>
      </c>
    </row>
    <row r="60" spans="2:5">
      <c r="C60" s="217" t="str">
        <f>IF(B60="","",IF(OR(LEFT(B60,4)="Cash",LEFT(B60,4)="Prov"),0,SUMIFS('Input_APM (Zenith)'!N:N,'Input_APM (Zenith)'!L:L,'Check (Zenith)'!B60,'Input_APM (Zenith)'!M:M,'Check (Zenith)'!$C$1)))</f>
        <v/>
      </c>
      <c r="D60" s="217" t="str">
        <f>IF(B60="","",IF(OR(LEFT(B60,4)="Cash",LEFT(B60,4)="Prov"),0,SUMIFS('Input_APM (Zenith)'!N:N,'Input_APM (Zenith)'!L:L,'Check (Zenith)'!B60,'Input_APM (Zenith)'!M:M,'Check (Zenith)'!$D$1)))</f>
        <v/>
      </c>
      <c r="E60" s="217" t="str">
        <f t="shared" si="0"/>
        <v/>
      </c>
    </row>
    <row r="61" spans="2:5">
      <c r="C61" s="217" t="str">
        <f>IF(B61="","",IF(OR(LEFT(B61,4)="Cash",LEFT(B61,4)="Prov"),0,SUMIFS('Input_APM (Zenith)'!N:N,'Input_APM (Zenith)'!L:L,'Check (Zenith)'!B61,'Input_APM (Zenith)'!M:M,'Check (Zenith)'!$C$1)))</f>
        <v/>
      </c>
      <c r="D61" s="217" t="str">
        <f>IF(B61="","",IF(OR(LEFT(B61,4)="Cash",LEFT(B61,4)="Prov"),0,SUMIFS('Input_APM (Zenith)'!N:N,'Input_APM (Zenith)'!L:L,'Check (Zenith)'!B61,'Input_APM (Zenith)'!M:M,'Check (Zenith)'!$D$1)))</f>
        <v/>
      </c>
      <c r="E61" s="217" t="str">
        <f t="shared" si="0"/>
        <v/>
      </c>
    </row>
    <row r="62" spans="2:5">
      <c r="C62" s="217" t="str">
        <f>IF(B62="","",IF(OR(LEFT(B62,4)="Cash",LEFT(B62,4)="Prov"),0,SUMIFS('Input_APM (Zenith)'!N:N,'Input_APM (Zenith)'!L:L,'Check (Zenith)'!B62,'Input_APM (Zenith)'!M:M,'Check (Zenith)'!$C$1)))</f>
        <v/>
      </c>
      <c r="D62" s="217" t="str">
        <f>IF(B62="","",IF(OR(LEFT(B62,4)="Cash",LEFT(B62,4)="Prov"),0,SUMIFS('Input_APM (Zenith)'!N:N,'Input_APM (Zenith)'!L:L,'Check (Zenith)'!B62,'Input_APM (Zenith)'!M:M,'Check (Zenith)'!$D$1)))</f>
        <v/>
      </c>
      <c r="E62" s="217" t="str">
        <f t="shared" si="0"/>
        <v/>
      </c>
    </row>
    <row r="63" spans="2:5">
      <c r="C63" s="217" t="str">
        <f>IF(B63="","",IF(OR(LEFT(B63,4)="Cash",LEFT(B63,4)="Prov"),0,SUMIFS('Input_APM (Zenith)'!N:N,'Input_APM (Zenith)'!L:L,'Check (Zenith)'!B63,'Input_APM (Zenith)'!M:M,'Check (Zenith)'!$C$1)))</f>
        <v/>
      </c>
      <c r="D63" s="217" t="str">
        <f>IF(B63="","",IF(OR(LEFT(B63,4)="Cash",LEFT(B63,4)="Prov"),0,SUMIFS('Input_APM (Zenith)'!N:N,'Input_APM (Zenith)'!L:L,'Check (Zenith)'!B63,'Input_APM (Zenith)'!M:M,'Check (Zenith)'!$D$1)))</f>
        <v/>
      </c>
      <c r="E63" s="217" t="str">
        <f t="shared" si="0"/>
        <v/>
      </c>
    </row>
    <row r="64" spans="2:5">
      <c r="C64" s="217" t="str">
        <f>IF(B64="","",IF(OR(LEFT(B64,4)="Cash",LEFT(B64,4)="Prov"),0,SUMIFS('Input_APM (Zenith)'!N:N,'Input_APM (Zenith)'!L:L,'Check (Zenith)'!B64,'Input_APM (Zenith)'!M:M,'Check (Zenith)'!$C$1)))</f>
        <v/>
      </c>
      <c r="D64" s="217" t="str">
        <f>IF(B64="","",IF(OR(LEFT(B64,4)="Cash",LEFT(B64,4)="Prov"),0,SUMIFS('Input_APM (Zenith)'!N:N,'Input_APM (Zenith)'!L:L,'Check (Zenith)'!B64,'Input_APM (Zenith)'!M:M,'Check (Zenith)'!$D$1)))</f>
        <v/>
      </c>
      <c r="E64" s="217" t="str">
        <f t="shared" si="0"/>
        <v/>
      </c>
    </row>
    <row r="65" spans="3:5">
      <c r="C65" s="217" t="str">
        <f>IF(B65="","",IF(OR(LEFT(B65,4)="Cash",LEFT(B65,4)="Prov"),0,SUMIFS('Input_APM (Zenith)'!N:N,'Input_APM (Zenith)'!L:L,'Check (Zenith)'!B65,'Input_APM (Zenith)'!M:M,'Check (Zenith)'!$C$1)))</f>
        <v/>
      </c>
      <c r="D65" s="217" t="str">
        <f>IF(B65="","",IF(OR(LEFT(B65,4)="Cash",LEFT(B65,4)="Prov"),0,SUMIFS('Input_APM (Zenith)'!N:N,'Input_APM (Zenith)'!L:L,'Check (Zenith)'!B65,'Input_APM (Zenith)'!M:M,'Check (Zenith)'!$D$1)))</f>
        <v/>
      </c>
      <c r="E65" s="217" t="str">
        <f t="shared" si="0"/>
        <v/>
      </c>
    </row>
    <row r="66" spans="3:5">
      <c r="C66" s="217" t="str">
        <f>IF(B66="","",IF(OR(LEFT(B66,4)="Cash",LEFT(B66,4)="Prov"),0,SUMIFS('Input_APM (Zenith)'!N:N,'Input_APM (Zenith)'!L:L,'Check (Zenith)'!B66,'Input_APM (Zenith)'!M:M,'Check (Zenith)'!$C$1)))</f>
        <v/>
      </c>
      <c r="D66" s="217" t="str">
        <f>IF(B66="","",IF(OR(LEFT(B66,4)="Cash",LEFT(B66,4)="Prov"),0,SUMIFS('Input_APM (Zenith)'!N:N,'Input_APM (Zenith)'!L:L,'Check (Zenith)'!B66,'Input_APM (Zenith)'!M:M,'Check (Zenith)'!$D$1)))</f>
        <v/>
      </c>
      <c r="E66" s="217" t="str">
        <f t="shared" si="0"/>
        <v/>
      </c>
    </row>
    <row r="67" spans="3:5">
      <c r="C67" s="217" t="str">
        <f>IF(B67="","",IF(OR(LEFT(B67,4)="Cash",LEFT(B67,4)="Prov"),0,SUMIFS('Input_APM (Zenith)'!N:N,'Input_APM (Zenith)'!L:L,'Check (Zenith)'!B67,'Input_APM (Zenith)'!M:M,'Check (Zenith)'!$C$1)))</f>
        <v/>
      </c>
      <c r="D67" s="217" t="str">
        <f>IF(B67="","",IF(OR(LEFT(B67,4)="Cash",LEFT(B67,4)="Prov"),0,SUMIFS('Input_APM (Zenith)'!N:N,'Input_APM (Zenith)'!L:L,'Check (Zenith)'!B67,'Input_APM (Zenith)'!M:M,'Check (Zenith)'!$D$1)))</f>
        <v/>
      </c>
      <c r="E67" s="217" t="str">
        <f t="shared" si="0"/>
        <v/>
      </c>
    </row>
    <row r="68" spans="3:5">
      <c r="C68" s="217" t="str">
        <f>IF(B68="","",IF(OR(LEFT(B68,4)="Cash",LEFT(B68,4)="Prov"),0,SUMIFS('Input_APM (Zenith)'!N:N,'Input_APM (Zenith)'!L:L,'Check (Zenith)'!B68,'Input_APM (Zenith)'!M:M,'Check (Zenith)'!$C$1)))</f>
        <v/>
      </c>
      <c r="D68" s="217" t="str">
        <f>IF(B68="","",IF(OR(LEFT(B68,4)="Cash",LEFT(B68,4)="Prov"),0,SUMIFS('Input_APM (Zenith)'!N:N,'Input_APM (Zenith)'!L:L,'Check (Zenith)'!B68,'Input_APM (Zenith)'!M:M,'Check (Zenith)'!$D$1)))</f>
        <v/>
      </c>
      <c r="E68" s="217" t="str">
        <f t="shared" si="0"/>
        <v/>
      </c>
    </row>
    <row r="69" spans="3:5">
      <c r="C69" s="217" t="str">
        <f>IF(B69="","",IF(OR(LEFT(B69,4)="Cash",LEFT(B69,4)="Prov"),0,SUMIFS('Input_APM (Zenith)'!N:N,'Input_APM (Zenith)'!L:L,'Check (Zenith)'!B69,'Input_APM (Zenith)'!M:M,'Check (Zenith)'!$C$1)))</f>
        <v/>
      </c>
      <c r="D69" s="217" t="str">
        <f>IF(B69="","",IF(OR(LEFT(B69,4)="Cash",LEFT(B69,4)="Prov"),0,SUMIFS('Input_APM (Zenith)'!N:N,'Input_APM (Zenith)'!L:L,'Check (Zenith)'!B69,'Input_APM (Zenith)'!M:M,'Check (Zenith)'!$D$1)))</f>
        <v/>
      </c>
      <c r="E69" s="217" t="str">
        <f t="shared" si="0"/>
        <v/>
      </c>
    </row>
    <row r="70" spans="3:5">
      <c r="C70" s="217" t="str">
        <f>IF(B70="","",IF(OR(LEFT(B70,4)="Cash",LEFT(B70,4)="Prov"),0,SUMIFS('Input_APM (Zenith)'!N:N,'Input_APM (Zenith)'!L:L,'Check (Zenith)'!B70,'Input_APM (Zenith)'!M:M,'Check (Zenith)'!$C$1)))</f>
        <v/>
      </c>
      <c r="D70" s="217" t="str">
        <f>IF(B70="","",IF(OR(LEFT(B70,4)="Cash",LEFT(B70,4)="Prov"),0,SUMIFS('Input_APM (Zenith)'!N:N,'Input_APM (Zenith)'!L:L,'Check (Zenith)'!B70,'Input_APM (Zenith)'!M:M,'Check (Zenith)'!$D$1)))</f>
        <v/>
      </c>
      <c r="E70" s="217" t="str">
        <f t="shared" ref="E70:E81" si="1">IF(B70="","",C70-D70)</f>
        <v/>
      </c>
    </row>
    <row r="71" spans="3:5">
      <c r="C71" s="217" t="str">
        <f>IF(B71="","",IF(OR(LEFT(B71,4)="Cash",LEFT(B71,4)="Prov"),0,SUMIFS('Input_APM (Zenith)'!N:N,'Input_APM (Zenith)'!L:L,'Check (Zenith)'!B71,'Input_APM (Zenith)'!M:M,'Check (Zenith)'!$C$1)))</f>
        <v/>
      </c>
      <c r="D71" s="217" t="str">
        <f>IF(B71="","",IF(OR(LEFT(B71,4)="Cash",LEFT(B71,4)="Prov"),0,SUMIFS('Input_APM (Zenith)'!N:N,'Input_APM (Zenith)'!L:L,'Check (Zenith)'!B71,'Input_APM (Zenith)'!M:M,'Check (Zenith)'!$D$1)))</f>
        <v/>
      </c>
      <c r="E71" s="217" t="str">
        <f t="shared" si="1"/>
        <v/>
      </c>
    </row>
    <row r="72" spans="3:5">
      <c r="C72" s="217" t="str">
        <f>IF(B72="","",IF(OR(LEFT(B72,4)="Cash",LEFT(B72,4)="Prov"),0,SUMIFS('Input_APM (Zenith)'!N:N,'Input_APM (Zenith)'!L:L,'Check (Zenith)'!B72,'Input_APM (Zenith)'!M:M,'Check (Zenith)'!$C$1)))</f>
        <v/>
      </c>
      <c r="D72" s="217" t="str">
        <f>IF(B72="","",IF(OR(LEFT(B72,4)="Cash",LEFT(B72,4)="Prov"),0,SUMIFS('Input_APM (Zenith)'!N:N,'Input_APM (Zenith)'!L:L,'Check (Zenith)'!B72,'Input_APM (Zenith)'!M:M,'Check (Zenith)'!$D$1)))</f>
        <v/>
      </c>
      <c r="E72" s="217" t="str">
        <f t="shared" si="1"/>
        <v/>
      </c>
    </row>
    <row r="73" spans="3:5">
      <c r="C73" s="217" t="str">
        <f>IF(B73="","",IF(OR(LEFT(B73,4)="Cash",LEFT(B73,4)="Prov"),0,SUMIFS('Input_APM (Zenith)'!N:N,'Input_APM (Zenith)'!L:L,'Check (Zenith)'!B73,'Input_APM (Zenith)'!M:M,'Check (Zenith)'!$C$1)))</f>
        <v/>
      </c>
      <c r="D73" s="217" t="str">
        <f>IF(B73="","",IF(OR(LEFT(B73,4)="Cash",LEFT(B73,4)="Prov"),0,SUMIFS('Input_APM (Zenith)'!N:N,'Input_APM (Zenith)'!L:L,'Check (Zenith)'!B73,'Input_APM (Zenith)'!M:M,'Check (Zenith)'!$D$1)))</f>
        <v/>
      </c>
      <c r="E73" s="217" t="str">
        <f t="shared" si="1"/>
        <v/>
      </c>
    </row>
    <row r="74" spans="3:5">
      <c r="C74" s="217" t="str">
        <f>IF(B74="","",IF(OR(LEFT(B74,4)="Cash",LEFT(B74,4)="Prov"),0,SUMIFS('Input_APM (Zenith)'!N:N,'Input_APM (Zenith)'!L:L,'Check (Zenith)'!B74,'Input_APM (Zenith)'!M:M,'Check (Zenith)'!$C$1)))</f>
        <v/>
      </c>
      <c r="D74" s="217" t="str">
        <f>IF(B74="","",IF(OR(LEFT(B74,4)="Cash",LEFT(B74,4)="Prov"),0,SUMIFS('Input_APM (Zenith)'!N:N,'Input_APM (Zenith)'!L:L,'Check (Zenith)'!B74,'Input_APM (Zenith)'!M:M,'Check (Zenith)'!$D$1)))</f>
        <v/>
      </c>
      <c r="E74" s="217" t="str">
        <f t="shared" si="1"/>
        <v/>
      </c>
    </row>
    <row r="75" spans="3:5">
      <c r="C75" s="217" t="str">
        <f>IF(B75="","",IF(OR(LEFT(B75,4)="Cash",LEFT(B75,4)="Prov"),0,SUMIFS('Input_APM (Zenith)'!N:N,'Input_APM (Zenith)'!L:L,'Check (Zenith)'!B75,'Input_APM (Zenith)'!M:M,'Check (Zenith)'!$C$1)))</f>
        <v/>
      </c>
      <c r="D75" s="217" t="str">
        <f>IF(B75="","",IF(OR(LEFT(B75,4)="Cash",LEFT(B75,4)="Prov"),0,SUMIFS('Input_APM (Zenith)'!N:N,'Input_APM (Zenith)'!L:L,'Check (Zenith)'!B75,'Input_APM (Zenith)'!M:M,'Check (Zenith)'!$D$1)))</f>
        <v/>
      </c>
      <c r="E75" s="217" t="str">
        <f t="shared" si="1"/>
        <v/>
      </c>
    </row>
    <row r="76" spans="3:5">
      <c r="C76" s="217" t="str">
        <f>IF(B76="","",IF(OR(LEFT(B76,4)="Cash",LEFT(B76,4)="Prov"),0,SUMIFS('Input_APM (Zenith)'!N:N,'Input_APM (Zenith)'!L:L,'Check (Zenith)'!B76,'Input_APM (Zenith)'!M:M,'Check (Zenith)'!$C$1)))</f>
        <v/>
      </c>
      <c r="D76" s="217" t="str">
        <f>IF(B76="","",IF(OR(LEFT(B76,4)="Cash",LEFT(B76,4)="Prov"),0,SUMIFS('Input_APM (Zenith)'!N:N,'Input_APM (Zenith)'!L:L,'Check (Zenith)'!B76,'Input_APM (Zenith)'!M:M,'Check (Zenith)'!$D$1)))</f>
        <v/>
      </c>
      <c r="E76" s="217" t="str">
        <f t="shared" si="1"/>
        <v/>
      </c>
    </row>
    <row r="77" spans="3:5">
      <c r="C77" s="217" t="str">
        <f>IF(B77="","",IF(OR(LEFT(B77,4)="Cash",LEFT(B77,4)="Prov"),0,SUMIFS('Input_APM (Zenith)'!N:N,'Input_APM (Zenith)'!L:L,'Check (Zenith)'!B77,'Input_APM (Zenith)'!M:M,'Check (Zenith)'!$C$1)))</f>
        <v/>
      </c>
      <c r="D77" s="217" t="str">
        <f>IF(B77="","",IF(OR(LEFT(B77,4)="Cash",LEFT(B77,4)="Prov"),0,SUMIFS('Input_APM (Zenith)'!N:N,'Input_APM (Zenith)'!L:L,'Check (Zenith)'!B77,'Input_APM (Zenith)'!M:M,'Check (Zenith)'!$D$1)))</f>
        <v/>
      </c>
      <c r="E77" s="217" t="str">
        <f t="shared" si="1"/>
        <v/>
      </c>
    </row>
    <row r="78" spans="3:5">
      <c r="C78" s="217" t="str">
        <f>IF(B78="","",IF(OR(LEFT(B78,4)="Cash",LEFT(B78,4)="Prov"),0,SUMIFS('Input_APM (Zenith)'!N:N,'Input_APM (Zenith)'!L:L,'Check (Zenith)'!B78,'Input_APM (Zenith)'!M:M,'Check (Zenith)'!$C$1)))</f>
        <v/>
      </c>
      <c r="D78" s="217" t="str">
        <f>IF(B78="","",IF(OR(LEFT(B78,4)="Cash",LEFT(B78,4)="Prov"),0,SUMIFS('Input_APM (Zenith)'!N:N,'Input_APM (Zenith)'!L:L,'Check (Zenith)'!B78,'Input_APM (Zenith)'!M:M,'Check (Zenith)'!$D$1)))</f>
        <v/>
      </c>
      <c r="E78" s="217" t="str">
        <f t="shared" si="1"/>
        <v/>
      </c>
    </row>
    <row r="79" spans="3:5">
      <c r="C79" s="217" t="str">
        <f>IF(B79="","",IF(OR(LEFT(B79,4)="Cash",LEFT(B79,4)="Prov"),0,SUMIFS('Input_APM (Zenith)'!N:N,'Input_APM (Zenith)'!L:L,'Check (Zenith)'!B79,'Input_APM (Zenith)'!M:M,'Check (Zenith)'!$C$1)))</f>
        <v/>
      </c>
      <c r="D79" s="217" t="str">
        <f>IF(B79="","",IF(OR(LEFT(B79,4)="Cash",LEFT(B79,4)="Prov"),0,SUMIFS('Input_APM (Zenith)'!N:N,'Input_APM (Zenith)'!L:L,'Check (Zenith)'!B79,'Input_APM (Zenith)'!M:M,'Check (Zenith)'!$D$1)))</f>
        <v/>
      </c>
      <c r="E79" s="217" t="str">
        <f t="shared" si="1"/>
        <v/>
      </c>
    </row>
    <row r="80" spans="3:5">
      <c r="C80" s="217" t="str">
        <f>IF(B80="","",IF(OR(LEFT(B80,4)="Cash",LEFT(B80,4)="Prov"),0,SUMIFS('Input_APM (Zenith)'!N:N,'Input_APM (Zenith)'!L:L,'Check (Zenith)'!B80,'Input_APM (Zenith)'!M:M,'Check (Zenith)'!$C$1)))</f>
        <v/>
      </c>
      <c r="D80" s="217" t="str">
        <f>IF(B80="","",IF(OR(LEFT(B80,4)="Cash",LEFT(B80,4)="Prov"),0,SUMIFS('Input_APM (Zenith)'!N:N,'Input_APM (Zenith)'!L:L,'Check (Zenith)'!B80,'Input_APM (Zenith)'!M:M,'Check (Zenith)'!$D$1)))</f>
        <v/>
      </c>
      <c r="E80" s="217" t="str">
        <f t="shared" si="1"/>
        <v/>
      </c>
    </row>
    <row r="81" spans="3:5">
      <c r="C81" s="217" t="str">
        <f>IF(B81="","",IF(OR(LEFT(B81,4)="Cash",LEFT(B81,4)="Prov"),0,SUMIFS('Input_APM (Zenith)'!N:N,'Input_APM (Zenith)'!L:L,'Check (Zenith)'!B81,'Input_APM (Zenith)'!M:M,'Check (Zenith)'!$C$1)))</f>
        <v/>
      </c>
      <c r="D81" s="217" t="str">
        <f>IF(B81="","",IF(OR(LEFT(B81,4)="Cash",LEFT(B81,4)="Prov"),0,SUMIFS('Input_APM (Zenith)'!N:N,'Input_APM (Zenith)'!L:L,'Check (Zenith)'!B81,'Input_APM (Zenith)'!M:M,'Check (Zenith)'!$D$1)))</f>
        <v/>
      </c>
      <c r="E81" s="217" t="str">
        <f t="shared" si="1"/>
        <v/>
      </c>
    </row>
    <row r="82" spans="3:5">
      <c r="C82" s="217" t="str">
        <f>IF(B82="","",IF(OR(LEFT(B82,4)="Cash",LEFT(B82,4)="Prov"),0,SUMIFS('Input_APM (Zenith)'!N:N,'Input_APM (Zenith)'!L:L,'Check (Zenith)'!B82,'Input_APM (Zenith)'!M:M,'Check (Zenith)'!$C$1)))</f>
        <v/>
      </c>
      <c r="D82" s="217" t="str">
        <f>IF(B82="","",IF(OR(LEFT(B82,4)="Cash",LEFT(B82,4)="Prov"),0,SUMIFS('Input_APM (Zenith)'!N:N,'Input_APM (Zenith)'!L:L,'Check (Zenith)'!B82,'Input_APM (Zenith)'!M:M,'Check (Zenith)'!$D$1)))</f>
        <v/>
      </c>
      <c r="E82" s="217" t="str">
        <f t="shared" ref="E82:E145" si="2">IF(B82="","",C82-D82)</f>
        <v/>
      </c>
    </row>
    <row r="83" spans="3:5">
      <c r="C83" s="217" t="str">
        <f>IF(B83="","",IF(OR(LEFT(B83,4)="Cash",LEFT(B83,4)="Prov"),0,SUMIFS('Input_APM (Zenith)'!N:N,'Input_APM (Zenith)'!L:L,'Check (Zenith)'!B83,'Input_APM (Zenith)'!M:M,'Check (Zenith)'!$C$1)))</f>
        <v/>
      </c>
      <c r="D83" s="217" t="str">
        <f>IF(B83="","",IF(OR(LEFT(B83,4)="Cash",LEFT(B83,4)="Prov"),0,SUMIFS('Input_APM (Zenith)'!N:N,'Input_APM (Zenith)'!L:L,'Check (Zenith)'!B83,'Input_APM (Zenith)'!M:M,'Check (Zenith)'!$D$1)))</f>
        <v/>
      </c>
      <c r="E83" s="217" t="str">
        <f t="shared" si="2"/>
        <v/>
      </c>
    </row>
    <row r="84" spans="3:5">
      <c r="C84" s="217" t="str">
        <f>IF(B84="","",IF(OR(LEFT(B84,4)="Cash",LEFT(B84,4)="Prov"),0,SUMIFS('Input_APM (Zenith)'!N:N,'Input_APM (Zenith)'!L:L,'Check (Zenith)'!B84,'Input_APM (Zenith)'!M:M,'Check (Zenith)'!$C$1)))</f>
        <v/>
      </c>
      <c r="D84" s="217" t="str">
        <f>IF(B84="","",IF(OR(LEFT(B84,4)="Cash",LEFT(B84,4)="Prov"),0,SUMIFS('Input_APM (Zenith)'!N:N,'Input_APM (Zenith)'!L:L,'Check (Zenith)'!B84,'Input_APM (Zenith)'!M:M,'Check (Zenith)'!$D$1)))</f>
        <v/>
      </c>
      <c r="E84" s="217" t="str">
        <f t="shared" si="2"/>
        <v/>
      </c>
    </row>
    <row r="85" spans="3:5">
      <c r="C85" s="217" t="str">
        <f>IF(B85="","",IF(OR(LEFT(B85,4)="Cash",LEFT(B85,4)="Prov"),0,SUMIFS('Input_APM (Zenith)'!N:N,'Input_APM (Zenith)'!L:L,'Check (Zenith)'!B85,'Input_APM (Zenith)'!M:M,'Check (Zenith)'!$C$1)))</f>
        <v/>
      </c>
      <c r="D85" s="217" t="str">
        <f>IF(B85="","",IF(OR(LEFT(B85,4)="Cash",LEFT(B85,4)="Prov"),0,SUMIFS('Input_APM (Zenith)'!N:N,'Input_APM (Zenith)'!L:L,'Check (Zenith)'!B85,'Input_APM (Zenith)'!M:M,'Check (Zenith)'!$D$1)))</f>
        <v/>
      </c>
      <c r="E85" s="217" t="str">
        <f t="shared" si="2"/>
        <v/>
      </c>
    </row>
    <row r="86" spans="3:5">
      <c r="C86" s="217" t="str">
        <f>IF(B86="","",IF(OR(LEFT(B86,4)="Cash",LEFT(B86,4)="Prov"),0,SUMIFS('Input_APM (Zenith)'!N:N,'Input_APM (Zenith)'!L:L,'Check (Zenith)'!B86,'Input_APM (Zenith)'!M:M,'Check (Zenith)'!$C$1)))</f>
        <v/>
      </c>
      <c r="D86" s="217" t="str">
        <f>IF(B86="","",IF(OR(LEFT(B86,4)="Cash",LEFT(B86,4)="Prov"),0,SUMIFS('Input_APM (Zenith)'!N:N,'Input_APM (Zenith)'!L:L,'Check (Zenith)'!B86,'Input_APM (Zenith)'!M:M,'Check (Zenith)'!$D$1)))</f>
        <v/>
      </c>
      <c r="E86" s="217" t="str">
        <f t="shared" si="2"/>
        <v/>
      </c>
    </row>
    <row r="87" spans="3:5">
      <c r="C87" s="217" t="str">
        <f>IF(B87="","",IF(OR(LEFT(B87,4)="Cash",LEFT(B87,4)="Prov"),0,SUMIFS('Input_APM (Zenith)'!N:N,'Input_APM (Zenith)'!L:L,'Check (Zenith)'!B87,'Input_APM (Zenith)'!M:M,'Check (Zenith)'!$C$1)))</f>
        <v/>
      </c>
      <c r="D87" s="217" t="str">
        <f>IF(B87="","",IF(OR(LEFT(B87,4)="Cash",LEFT(B87,4)="Prov"),0,SUMIFS('Input_APM (Zenith)'!N:N,'Input_APM (Zenith)'!L:L,'Check (Zenith)'!B87,'Input_APM (Zenith)'!M:M,'Check (Zenith)'!$D$1)))</f>
        <v/>
      </c>
      <c r="E87" s="217" t="str">
        <f t="shared" si="2"/>
        <v/>
      </c>
    </row>
    <row r="88" spans="3:5">
      <c r="C88" s="217" t="str">
        <f>IF(B88="","",IF(OR(LEFT(B88,4)="Cash",LEFT(B88,4)="Prov"),0,SUMIFS('Input_APM (Zenith)'!N:N,'Input_APM (Zenith)'!L:L,'Check (Zenith)'!B88,'Input_APM (Zenith)'!M:M,'Check (Zenith)'!$C$1)))</f>
        <v/>
      </c>
      <c r="D88" s="217" t="str">
        <f>IF(B88="","",IF(OR(LEFT(B88,4)="Cash",LEFT(B88,4)="Prov"),0,SUMIFS('Input_APM (Zenith)'!N:N,'Input_APM (Zenith)'!L:L,'Check (Zenith)'!B88,'Input_APM (Zenith)'!M:M,'Check (Zenith)'!$D$1)))</f>
        <v/>
      </c>
      <c r="E88" s="217" t="str">
        <f t="shared" si="2"/>
        <v/>
      </c>
    </row>
    <row r="89" spans="3:5">
      <c r="C89" s="217" t="str">
        <f>IF(B89="","",IF(OR(LEFT(B89,4)="Cash",LEFT(B89,4)="Prov"),0,SUMIFS('Input_APM (Zenith)'!N:N,'Input_APM (Zenith)'!L:L,'Check (Zenith)'!B89,'Input_APM (Zenith)'!M:M,'Check (Zenith)'!$C$1)))</f>
        <v/>
      </c>
      <c r="D89" s="217" t="str">
        <f>IF(B89="","",IF(OR(LEFT(B89,4)="Cash",LEFT(B89,4)="Prov"),0,SUMIFS('Input_APM (Zenith)'!N:N,'Input_APM (Zenith)'!L:L,'Check (Zenith)'!B89,'Input_APM (Zenith)'!M:M,'Check (Zenith)'!$D$1)))</f>
        <v/>
      </c>
      <c r="E89" s="217" t="str">
        <f t="shared" si="2"/>
        <v/>
      </c>
    </row>
    <row r="90" spans="3:5">
      <c r="C90" s="217" t="str">
        <f>IF(B90="","",IF(OR(LEFT(B90,4)="Cash",LEFT(B90,4)="Prov"),0,SUMIFS('Input_APM (Zenith)'!N:N,'Input_APM (Zenith)'!L:L,'Check (Zenith)'!B90,'Input_APM (Zenith)'!M:M,'Check (Zenith)'!$C$1)))</f>
        <v/>
      </c>
      <c r="D90" s="217" t="str">
        <f>IF(B90="","",IF(OR(LEFT(B90,4)="Cash",LEFT(B90,4)="Prov"),0,SUMIFS('Input_APM (Zenith)'!N:N,'Input_APM (Zenith)'!L:L,'Check (Zenith)'!B90,'Input_APM (Zenith)'!M:M,'Check (Zenith)'!$D$1)))</f>
        <v/>
      </c>
      <c r="E90" s="217" t="str">
        <f t="shared" si="2"/>
        <v/>
      </c>
    </row>
    <row r="91" spans="3:5">
      <c r="C91" s="217" t="str">
        <f>IF(B91="","",IF(OR(LEFT(B91,4)="Cash",LEFT(B91,4)="Prov"),0,SUMIFS('Input_APM (Zenith)'!N:N,'Input_APM (Zenith)'!L:L,'Check (Zenith)'!B91,'Input_APM (Zenith)'!M:M,'Check (Zenith)'!$C$1)))</f>
        <v/>
      </c>
      <c r="D91" s="217" t="str">
        <f>IF(B91="","",IF(OR(LEFT(B91,4)="Cash",LEFT(B91,4)="Prov"),0,SUMIFS('Input_APM (Zenith)'!N:N,'Input_APM (Zenith)'!L:L,'Check (Zenith)'!B91,'Input_APM (Zenith)'!M:M,'Check (Zenith)'!$D$1)))</f>
        <v/>
      </c>
      <c r="E91" s="217" t="str">
        <f t="shared" si="2"/>
        <v/>
      </c>
    </row>
    <row r="92" spans="3:5">
      <c r="C92" s="217" t="str">
        <f>IF(B92="","",IF(OR(LEFT(B92,4)="Cash",LEFT(B92,4)="Prov"),0,SUMIFS('Input_APM (Zenith)'!N:N,'Input_APM (Zenith)'!L:L,'Check (Zenith)'!B92,'Input_APM (Zenith)'!M:M,'Check (Zenith)'!$C$1)))</f>
        <v/>
      </c>
      <c r="D92" s="217" t="str">
        <f>IF(B92="","",IF(OR(LEFT(B92,4)="Cash",LEFT(B92,4)="Prov"),0,SUMIFS('Input_APM (Zenith)'!N:N,'Input_APM (Zenith)'!L:L,'Check (Zenith)'!B92,'Input_APM (Zenith)'!M:M,'Check (Zenith)'!$D$1)))</f>
        <v/>
      </c>
      <c r="E92" s="217" t="str">
        <f t="shared" si="2"/>
        <v/>
      </c>
    </row>
    <row r="93" spans="3:5">
      <c r="C93" s="217" t="str">
        <f>IF(B93="","",IF(OR(LEFT(B93,4)="Cash",LEFT(B93,4)="Prov"),0,SUMIFS('Input_APM (Zenith)'!N:N,'Input_APM (Zenith)'!L:L,'Check (Zenith)'!B93,'Input_APM (Zenith)'!M:M,'Check (Zenith)'!$C$1)))</f>
        <v/>
      </c>
      <c r="D93" s="217" t="str">
        <f>IF(B93="","",IF(OR(LEFT(B93,4)="Cash",LEFT(B93,4)="Prov"),0,SUMIFS('Input_APM (Zenith)'!N:N,'Input_APM (Zenith)'!L:L,'Check (Zenith)'!B93,'Input_APM (Zenith)'!M:M,'Check (Zenith)'!$D$1)))</f>
        <v/>
      </c>
      <c r="E93" s="217" t="str">
        <f t="shared" si="2"/>
        <v/>
      </c>
    </row>
    <row r="94" spans="3:5">
      <c r="C94" s="217" t="str">
        <f>IF(B94="","",IF(OR(LEFT(B94,4)="Cash",LEFT(B94,4)="Prov"),0,SUMIFS('Input_APM (Zenith)'!N:N,'Input_APM (Zenith)'!L:L,'Check (Zenith)'!B94,'Input_APM (Zenith)'!M:M,'Check (Zenith)'!$C$1)))</f>
        <v/>
      </c>
      <c r="D94" s="217" t="str">
        <f>IF(B94="","",IF(OR(LEFT(B94,4)="Cash",LEFT(B94,4)="Prov"),0,SUMIFS('Input_APM (Zenith)'!N:N,'Input_APM (Zenith)'!L:L,'Check (Zenith)'!B94,'Input_APM (Zenith)'!M:M,'Check (Zenith)'!$D$1)))</f>
        <v/>
      </c>
      <c r="E94" s="217" t="str">
        <f t="shared" si="2"/>
        <v/>
      </c>
    </row>
    <row r="95" spans="3:5">
      <c r="C95" s="217" t="str">
        <f>IF(B95="","",IF(OR(LEFT(B95,4)="Cash",LEFT(B95,4)="Prov"),0,SUMIFS('Input_APM (Zenith)'!N:N,'Input_APM (Zenith)'!L:L,'Check (Zenith)'!B95,'Input_APM (Zenith)'!M:M,'Check (Zenith)'!$C$1)))</f>
        <v/>
      </c>
      <c r="D95" s="217" t="str">
        <f>IF(B95="","",IF(OR(LEFT(B95,4)="Cash",LEFT(B95,4)="Prov"),0,SUMIFS('Input_APM (Zenith)'!N:N,'Input_APM (Zenith)'!L:L,'Check (Zenith)'!B95,'Input_APM (Zenith)'!M:M,'Check (Zenith)'!$D$1)))</f>
        <v/>
      </c>
      <c r="E95" s="217" t="str">
        <f t="shared" si="2"/>
        <v/>
      </c>
    </row>
    <row r="96" spans="3:5">
      <c r="C96" s="217" t="str">
        <f>IF(B96="","",IF(OR(LEFT(B96,4)="Cash",LEFT(B96,4)="Prov"),0,SUMIFS('Input_APM (Zenith)'!N:N,'Input_APM (Zenith)'!L:L,'Check (Zenith)'!B96,'Input_APM (Zenith)'!M:M,'Check (Zenith)'!$C$1)))</f>
        <v/>
      </c>
      <c r="D96" s="217" t="str">
        <f>IF(B96="","",IF(OR(LEFT(B96,4)="Cash",LEFT(B96,4)="Prov"),0,SUMIFS('Input_APM (Zenith)'!N:N,'Input_APM (Zenith)'!L:L,'Check (Zenith)'!B96,'Input_APM (Zenith)'!M:M,'Check (Zenith)'!$D$1)))</f>
        <v/>
      </c>
      <c r="E96" s="217" t="str">
        <f t="shared" si="2"/>
        <v/>
      </c>
    </row>
    <row r="97" spans="3:5">
      <c r="C97" s="217" t="str">
        <f>IF(B97="","",IF(OR(LEFT(B97,4)="Cash",LEFT(B97,4)="Prov"),0,SUMIFS('Input_APM (Zenith)'!N:N,'Input_APM (Zenith)'!L:L,'Check (Zenith)'!B97,'Input_APM (Zenith)'!M:M,'Check (Zenith)'!$C$1)))</f>
        <v/>
      </c>
      <c r="D97" s="217" t="str">
        <f>IF(B97="","",IF(OR(LEFT(B97,4)="Cash",LEFT(B97,4)="Prov"),0,SUMIFS('Input_APM (Zenith)'!N:N,'Input_APM (Zenith)'!L:L,'Check (Zenith)'!B97,'Input_APM (Zenith)'!M:M,'Check (Zenith)'!$D$1)))</f>
        <v/>
      </c>
      <c r="E97" s="217" t="str">
        <f t="shared" si="2"/>
        <v/>
      </c>
    </row>
    <row r="98" spans="3:5">
      <c r="C98" s="217" t="str">
        <f>IF(B98="","",IF(OR(LEFT(B98,4)="Cash",LEFT(B98,4)="Prov"),0,SUMIFS('Input_APM (Zenith)'!N:N,'Input_APM (Zenith)'!L:L,'Check (Zenith)'!B98,'Input_APM (Zenith)'!M:M,'Check (Zenith)'!$C$1)))</f>
        <v/>
      </c>
      <c r="D98" s="217" t="str">
        <f>IF(B98="","",IF(OR(LEFT(B98,4)="Cash",LEFT(B98,4)="Prov"),0,SUMIFS('Input_APM (Zenith)'!N:N,'Input_APM (Zenith)'!L:L,'Check (Zenith)'!B98,'Input_APM (Zenith)'!M:M,'Check (Zenith)'!$D$1)))</f>
        <v/>
      </c>
      <c r="E98" s="217" t="str">
        <f t="shared" si="2"/>
        <v/>
      </c>
    </row>
    <row r="99" spans="3:5">
      <c r="C99" s="217" t="str">
        <f>IF(B99="","",IF(OR(LEFT(B99,4)="Cash",LEFT(B99,4)="Prov"),0,SUMIFS('Input_APM (Zenith)'!N:N,'Input_APM (Zenith)'!L:L,'Check (Zenith)'!B99,'Input_APM (Zenith)'!M:M,'Check (Zenith)'!$C$1)))</f>
        <v/>
      </c>
      <c r="D99" s="217" t="str">
        <f>IF(B99="","",IF(OR(LEFT(B99,4)="Cash",LEFT(B99,4)="Prov"),0,SUMIFS('Input_APM (Zenith)'!N:N,'Input_APM (Zenith)'!L:L,'Check (Zenith)'!B99,'Input_APM (Zenith)'!M:M,'Check (Zenith)'!$D$1)))</f>
        <v/>
      </c>
      <c r="E99" s="217" t="str">
        <f t="shared" si="2"/>
        <v/>
      </c>
    </row>
    <row r="100" spans="3:5">
      <c r="C100" s="217" t="str">
        <f>IF(B100="","",IF(OR(LEFT(B100,4)="Cash",LEFT(B100,4)="Prov"),0,SUMIFS('Input_APM (Zenith)'!N:N,'Input_APM (Zenith)'!L:L,'Check (Zenith)'!B100,'Input_APM (Zenith)'!M:M,'Check (Zenith)'!$C$1)))</f>
        <v/>
      </c>
      <c r="D100" s="217" t="str">
        <f>IF(B100="","",IF(OR(LEFT(B100,4)="Cash",LEFT(B100,4)="Prov"),0,SUMIFS('Input_APM (Zenith)'!N:N,'Input_APM (Zenith)'!L:L,'Check (Zenith)'!B100,'Input_APM (Zenith)'!M:M,'Check (Zenith)'!$D$1)))</f>
        <v/>
      </c>
      <c r="E100" s="217" t="str">
        <f t="shared" si="2"/>
        <v/>
      </c>
    </row>
    <row r="101" spans="3:5">
      <c r="C101" s="217" t="str">
        <f>IF(B101="","",IF(OR(LEFT(B101,4)="Cash",LEFT(B101,4)="Prov"),0,SUMIFS('Input_APM (Zenith)'!N:N,'Input_APM (Zenith)'!L:L,'Check (Zenith)'!B101,'Input_APM (Zenith)'!M:M,'Check (Zenith)'!$C$1)))</f>
        <v/>
      </c>
      <c r="D101" s="217" t="str">
        <f>IF(B101="","",IF(OR(LEFT(B101,4)="Cash",LEFT(B101,4)="Prov"),0,SUMIFS('Input_APM (Zenith)'!N:N,'Input_APM (Zenith)'!L:L,'Check (Zenith)'!B101,'Input_APM (Zenith)'!M:M,'Check (Zenith)'!$D$1)))</f>
        <v/>
      </c>
      <c r="E101" s="217" t="str">
        <f t="shared" si="2"/>
        <v/>
      </c>
    </row>
    <row r="102" spans="3:5">
      <c r="C102" s="217" t="str">
        <f>IF(B102="","",IF(OR(LEFT(B102,4)="Cash",LEFT(B102,4)="Prov"),0,SUMIFS('Input_APM (Zenith)'!N:N,'Input_APM (Zenith)'!L:L,'Check (Zenith)'!B102,'Input_APM (Zenith)'!M:M,'Check (Zenith)'!$C$1)))</f>
        <v/>
      </c>
      <c r="D102" s="217" t="str">
        <f>IF(B102="","",IF(OR(LEFT(B102,4)="Cash",LEFT(B102,4)="Prov"),0,SUMIFS('Input_APM (Zenith)'!N:N,'Input_APM (Zenith)'!L:L,'Check (Zenith)'!B102,'Input_APM (Zenith)'!M:M,'Check (Zenith)'!$D$1)))</f>
        <v/>
      </c>
      <c r="E102" s="217" t="str">
        <f t="shared" si="2"/>
        <v/>
      </c>
    </row>
    <row r="103" spans="3:5">
      <c r="C103" s="217" t="str">
        <f>IF(B103="","",IF(OR(LEFT(B103,4)="Cash",LEFT(B103,4)="Prov"),0,SUMIFS('Input_APM (Zenith)'!N:N,'Input_APM (Zenith)'!L:L,'Check (Zenith)'!B103,'Input_APM (Zenith)'!M:M,'Check (Zenith)'!$C$1)))</f>
        <v/>
      </c>
      <c r="D103" s="217" t="str">
        <f>IF(B103="","",IF(OR(LEFT(B103,4)="Cash",LEFT(B103,4)="Prov"),0,SUMIFS('Input_APM (Zenith)'!N:N,'Input_APM (Zenith)'!L:L,'Check (Zenith)'!B103,'Input_APM (Zenith)'!M:M,'Check (Zenith)'!$D$1)))</f>
        <v/>
      </c>
      <c r="E103" s="217" t="str">
        <f t="shared" si="2"/>
        <v/>
      </c>
    </row>
    <row r="104" spans="3:5">
      <c r="C104" s="217" t="str">
        <f>IF(B104="","",IF(OR(LEFT(B104,4)="Cash",LEFT(B104,4)="Prov"),0,SUMIFS('Input_APM (Zenith)'!N:N,'Input_APM (Zenith)'!L:L,'Check (Zenith)'!B104,'Input_APM (Zenith)'!M:M,'Check (Zenith)'!$C$1)))</f>
        <v/>
      </c>
      <c r="D104" s="217" t="str">
        <f>IF(B104="","",IF(OR(LEFT(B104,4)="Cash",LEFT(B104,4)="Prov"),0,SUMIFS('Input_APM (Zenith)'!N:N,'Input_APM (Zenith)'!L:L,'Check (Zenith)'!B104,'Input_APM (Zenith)'!M:M,'Check (Zenith)'!$D$1)))</f>
        <v/>
      </c>
      <c r="E104" s="217" t="str">
        <f t="shared" si="2"/>
        <v/>
      </c>
    </row>
    <row r="105" spans="3:5">
      <c r="C105" s="217" t="str">
        <f>IF(B105="","",IF(OR(LEFT(B105,4)="Cash",LEFT(B105,4)="Prov"),0,SUMIFS('Input_APM (Zenith)'!N:N,'Input_APM (Zenith)'!L:L,'Check (Zenith)'!B105,'Input_APM (Zenith)'!M:M,'Check (Zenith)'!$C$1)))</f>
        <v/>
      </c>
      <c r="D105" s="217" t="str">
        <f>IF(B105="","",IF(OR(LEFT(B105,4)="Cash",LEFT(B105,4)="Prov"),0,SUMIFS('Input_APM (Zenith)'!N:N,'Input_APM (Zenith)'!L:L,'Check (Zenith)'!B105,'Input_APM (Zenith)'!M:M,'Check (Zenith)'!$D$1)))</f>
        <v/>
      </c>
      <c r="E105" s="217" t="str">
        <f t="shared" si="2"/>
        <v/>
      </c>
    </row>
    <row r="106" spans="3:5">
      <c r="C106" s="217" t="str">
        <f>IF(B106="","",IF(OR(LEFT(B106,4)="Cash",LEFT(B106,4)="Prov"),0,SUMIFS('Input_APM (Zenith)'!N:N,'Input_APM (Zenith)'!L:L,'Check (Zenith)'!B106,'Input_APM (Zenith)'!M:M,'Check (Zenith)'!$C$1)))</f>
        <v/>
      </c>
      <c r="D106" s="217" t="str">
        <f>IF(B106="","",IF(OR(LEFT(B106,4)="Cash",LEFT(B106,4)="Prov"),0,SUMIFS('Input_APM (Zenith)'!N:N,'Input_APM (Zenith)'!L:L,'Check (Zenith)'!B106,'Input_APM (Zenith)'!M:M,'Check (Zenith)'!$D$1)))</f>
        <v/>
      </c>
      <c r="E106" s="217" t="str">
        <f t="shared" si="2"/>
        <v/>
      </c>
    </row>
    <row r="107" spans="3:5">
      <c r="C107" s="217" t="str">
        <f>IF(B107="","",IF(OR(LEFT(B107,4)="Cash",LEFT(B107,4)="Prov"),0,SUMIFS('Input_APM (Zenith)'!N:N,'Input_APM (Zenith)'!L:L,'Check (Zenith)'!B107,'Input_APM (Zenith)'!M:M,'Check (Zenith)'!$C$1)))</f>
        <v/>
      </c>
      <c r="D107" s="217" t="str">
        <f>IF(B107="","",IF(OR(LEFT(B107,4)="Cash",LEFT(B107,4)="Prov"),0,SUMIFS('Input_APM (Zenith)'!N:N,'Input_APM (Zenith)'!L:L,'Check (Zenith)'!B107,'Input_APM (Zenith)'!M:M,'Check (Zenith)'!$D$1)))</f>
        <v/>
      </c>
      <c r="E107" s="217" t="str">
        <f t="shared" si="2"/>
        <v/>
      </c>
    </row>
    <row r="108" spans="3:5">
      <c r="C108" s="217" t="str">
        <f>IF(B108="","",IF(OR(LEFT(B108,4)="Cash",LEFT(B108,4)="Prov"),0,SUMIFS('Input_APM (Zenith)'!N:N,'Input_APM (Zenith)'!L:L,'Check (Zenith)'!B108,'Input_APM (Zenith)'!M:M,'Check (Zenith)'!$C$1)))</f>
        <v/>
      </c>
      <c r="D108" s="217" t="str">
        <f>IF(B108="","",IF(OR(LEFT(B108,4)="Cash",LEFT(B108,4)="Prov"),0,SUMIFS('Input_APM (Zenith)'!N:N,'Input_APM (Zenith)'!L:L,'Check (Zenith)'!B108,'Input_APM (Zenith)'!M:M,'Check (Zenith)'!$D$1)))</f>
        <v/>
      </c>
      <c r="E108" s="217" t="str">
        <f t="shared" si="2"/>
        <v/>
      </c>
    </row>
    <row r="109" spans="3:5">
      <c r="C109" s="217" t="str">
        <f>IF(B109="","",IF(OR(LEFT(B109,4)="Cash",LEFT(B109,4)="Prov"),0,SUMIFS('Input_APM (Zenith)'!N:N,'Input_APM (Zenith)'!L:L,'Check (Zenith)'!B109,'Input_APM (Zenith)'!M:M,'Check (Zenith)'!$C$1)))</f>
        <v/>
      </c>
      <c r="D109" s="217" t="str">
        <f>IF(B109="","",IF(OR(LEFT(B109,4)="Cash",LEFT(B109,4)="Prov"),0,SUMIFS('Input_APM (Zenith)'!N:N,'Input_APM (Zenith)'!L:L,'Check (Zenith)'!B109,'Input_APM (Zenith)'!M:M,'Check (Zenith)'!$D$1)))</f>
        <v/>
      </c>
      <c r="E109" s="217" t="str">
        <f t="shared" si="2"/>
        <v/>
      </c>
    </row>
    <row r="110" spans="3:5">
      <c r="C110" s="217" t="str">
        <f>IF(B110="","",IF(OR(LEFT(B110,4)="Cash",LEFT(B110,4)="Prov"),0,SUMIFS('Input_APM (Zenith)'!N:N,'Input_APM (Zenith)'!L:L,'Check (Zenith)'!B110,'Input_APM (Zenith)'!M:M,'Check (Zenith)'!$C$1)))</f>
        <v/>
      </c>
      <c r="D110" s="217" t="str">
        <f>IF(B110="","",IF(OR(LEFT(B110,4)="Cash",LEFT(B110,4)="Prov"),0,SUMIFS('Input_APM (Zenith)'!N:N,'Input_APM (Zenith)'!L:L,'Check (Zenith)'!B110,'Input_APM (Zenith)'!M:M,'Check (Zenith)'!$D$1)))</f>
        <v/>
      </c>
      <c r="E110" s="217" t="str">
        <f t="shared" si="2"/>
        <v/>
      </c>
    </row>
    <row r="111" spans="3:5">
      <c r="C111" s="217" t="str">
        <f>IF(B111="","",IF(OR(LEFT(B111,4)="Cash",LEFT(B111,4)="Prov"),0,SUMIFS('Input_APM (Zenith)'!N:N,'Input_APM (Zenith)'!L:L,'Check (Zenith)'!B111,'Input_APM (Zenith)'!M:M,'Check (Zenith)'!$C$1)))</f>
        <v/>
      </c>
      <c r="D111" s="217" t="str">
        <f>IF(B111="","",IF(OR(LEFT(B111,4)="Cash",LEFT(B111,4)="Prov"),0,SUMIFS('Input_APM (Zenith)'!N:N,'Input_APM (Zenith)'!L:L,'Check (Zenith)'!B111,'Input_APM (Zenith)'!M:M,'Check (Zenith)'!$D$1)))</f>
        <v/>
      </c>
      <c r="E111" s="217" t="str">
        <f t="shared" si="2"/>
        <v/>
      </c>
    </row>
    <row r="112" spans="3:5">
      <c r="C112" s="217" t="str">
        <f>IF(B112="","",IF(OR(LEFT(B112,4)="Cash",LEFT(B112,4)="Prov"),0,SUMIFS('Input_APM (Zenith)'!N:N,'Input_APM (Zenith)'!L:L,'Check (Zenith)'!B112,'Input_APM (Zenith)'!M:M,'Check (Zenith)'!$C$1)))</f>
        <v/>
      </c>
      <c r="D112" s="217" t="str">
        <f>IF(B112="","",IF(OR(LEFT(B112,4)="Cash",LEFT(B112,4)="Prov"),0,SUMIFS('Input_APM (Zenith)'!N:N,'Input_APM (Zenith)'!L:L,'Check (Zenith)'!B112,'Input_APM (Zenith)'!M:M,'Check (Zenith)'!$D$1)))</f>
        <v/>
      </c>
      <c r="E112" s="217" t="str">
        <f t="shared" si="2"/>
        <v/>
      </c>
    </row>
    <row r="113" spans="3:5">
      <c r="C113" s="217" t="str">
        <f>IF(B113="","",IF(OR(LEFT(B113,4)="Cash",LEFT(B113,4)="Prov"),0,SUMIFS('Input_APM (Zenith)'!N:N,'Input_APM (Zenith)'!L:L,'Check (Zenith)'!B113,'Input_APM (Zenith)'!M:M,'Check (Zenith)'!$C$1)))</f>
        <v/>
      </c>
      <c r="D113" s="217" t="str">
        <f>IF(B113="","",IF(OR(LEFT(B113,4)="Cash",LEFT(B113,4)="Prov"),0,SUMIFS('Input_APM (Zenith)'!N:N,'Input_APM (Zenith)'!L:L,'Check (Zenith)'!B113,'Input_APM (Zenith)'!M:M,'Check (Zenith)'!$D$1)))</f>
        <v/>
      </c>
      <c r="E113" s="217" t="str">
        <f t="shared" si="2"/>
        <v/>
      </c>
    </row>
    <row r="114" spans="3:5">
      <c r="C114" s="217" t="str">
        <f>IF(B114="","",IF(OR(LEFT(B114,4)="Cash",LEFT(B114,4)="Prov"),0,SUMIFS('Input_APM (Zenith)'!N:N,'Input_APM (Zenith)'!L:L,'Check (Zenith)'!B114,'Input_APM (Zenith)'!M:M,'Check (Zenith)'!$C$1)))</f>
        <v/>
      </c>
      <c r="D114" s="217" t="str">
        <f>IF(B114="","",IF(OR(LEFT(B114,4)="Cash",LEFT(B114,4)="Prov"),0,SUMIFS('Input_APM (Zenith)'!N:N,'Input_APM (Zenith)'!L:L,'Check (Zenith)'!B114,'Input_APM (Zenith)'!M:M,'Check (Zenith)'!$D$1)))</f>
        <v/>
      </c>
      <c r="E114" s="217" t="str">
        <f t="shared" si="2"/>
        <v/>
      </c>
    </row>
    <row r="115" spans="3:5">
      <c r="C115" s="217" t="str">
        <f>IF(B115="","",IF(OR(LEFT(B115,4)="Cash",LEFT(B115,4)="Prov"),0,SUMIFS('Input_APM (Zenith)'!N:N,'Input_APM (Zenith)'!L:L,'Check (Zenith)'!B115,'Input_APM (Zenith)'!M:M,'Check (Zenith)'!$C$1)))</f>
        <v/>
      </c>
      <c r="D115" s="217" t="str">
        <f>IF(B115="","",IF(OR(LEFT(B115,4)="Cash",LEFT(B115,4)="Prov"),0,SUMIFS('Input_APM (Zenith)'!N:N,'Input_APM (Zenith)'!L:L,'Check (Zenith)'!B115,'Input_APM (Zenith)'!M:M,'Check (Zenith)'!$D$1)))</f>
        <v/>
      </c>
      <c r="E115" s="217" t="str">
        <f t="shared" si="2"/>
        <v/>
      </c>
    </row>
    <row r="116" spans="3:5">
      <c r="C116" s="217" t="str">
        <f>IF(B116="","",IF(OR(LEFT(B116,4)="Cash",LEFT(B116,4)="Prov"),0,SUMIFS('Input_APM (Zenith)'!N:N,'Input_APM (Zenith)'!L:L,'Check (Zenith)'!B116,'Input_APM (Zenith)'!M:M,'Check (Zenith)'!$C$1)))</f>
        <v/>
      </c>
      <c r="D116" s="217" t="str">
        <f>IF(B116="","",IF(OR(LEFT(B116,4)="Cash",LEFT(B116,4)="Prov"),0,SUMIFS('Input_APM (Zenith)'!N:N,'Input_APM (Zenith)'!L:L,'Check (Zenith)'!B116,'Input_APM (Zenith)'!M:M,'Check (Zenith)'!$D$1)))</f>
        <v/>
      </c>
      <c r="E116" s="217" t="str">
        <f t="shared" si="2"/>
        <v/>
      </c>
    </row>
    <row r="117" spans="3:5">
      <c r="C117" s="217" t="str">
        <f>IF(B117="","",IF(OR(LEFT(B117,4)="Cash",LEFT(B117,4)="Prov"),0,SUMIFS('Input_APM (Zenith)'!N:N,'Input_APM (Zenith)'!L:L,'Check (Zenith)'!B117,'Input_APM (Zenith)'!M:M,'Check (Zenith)'!$C$1)))</f>
        <v/>
      </c>
      <c r="D117" s="217" t="str">
        <f>IF(B117="","",IF(OR(LEFT(B117,4)="Cash",LEFT(B117,4)="Prov"),0,SUMIFS('Input_APM (Zenith)'!N:N,'Input_APM (Zenith)'!L:L,'Check (Zenith)'!B117,'Input_APM (Zenith)'!M:M,'Check (Zenith)'!$D$1)))</f>
        <v/>
      </c>
      <c r="E117" s="217" t="str">
        <f t="shared" si="2"/>
        <v/>
      </c>
    </row>
    <row r="118" spans="3:5">
      <c r="C118" s="217" t="str">
        <f>IF(B118="","",IF(OR(LEFT(B118,4)="Cash",LEFT(B118,4)="Prov"),0,SUMIFS('Input_APM (Zenith)'!N:N,'Input_APM (Zenith)'!L:L,'Check (Zenith)'!B118,'Input_APM (Zenith)'!M:M,'Check (Zenith)'!$C$1)))</f>
        <v/>
      </c>
      <c r="D118" s="217" t="str">
        <f>IF(B118="","",IF(OR(LEFT(B118,4)="Cash",LEFT(B118,4)="Prov"),0,SUMIFS('Input_APM (Zenith)'!N:N,'Input_APM (Zenith)'!L:L,'Check (Zenith)'!B118,'Input_APM (Zenith)'!M:M,'Check (Zenith)'!$D$1)))</f>
        <v/>
      </c>
      <c r="E118" s="217" t="str">
        <f t="shared" si="2"/>
        <v/>
      </c>
    </row>
    <row r="119" spans="3:5">
      <c r="C119" s="217" t="str">
        <f>IF(B119="","",IF(OR(LEFT(B119,4)="Cash",LEFT(B119,4)="Prov"),0,SUMIFS('Input_APM (Zenith)'!N:N,'Input_APM (Zenith)'!L:L,'Check (Zenith)'!B119,'Input_APM (Zenith)'!M:M,'Check (Zenith)'!$C$1)))</f>
        <v/>
      </c>
      <c r="D119" s="217" t="str">
        <f>IF(B119="","",IF(OR(LEFT(B119,4)="Cash",LEFT(B119,4)="Prov"),0,SUMIFS('Input_APM (Zenith)'!N:N,'Input_APM (Zenith)'!L:L,'Check (Zenith)'!B119,'Input_APM (Zenith)'!M:M,'Check (Zenith)'!$D$1)))</f>
        <v/>
      </c>
      <c r="E119" s="217" t="str">
        <f t="shared" si="2"/>
        <v/>
      </c>
    </row>
    <row r="120" spans="3:5">
      <c r="C120" s="217" t="str">
        <f>IF(B120="","",IF(OR(LEFT(B120,4)="Cash",LEFT(B120,4)="Prov"),0,SUMIFS('Input_APM (Zenith)'!N:N,'Input_APM (Zenith)'!L:L,'Check (Zenith)'!B120,'Input_APM (Zenith)'!M:M,'Check (Zenith)'!$C$1)))</f>
        <v/>
      </c>
      <c r="D120" s="217" t="str">
        <f>IF(B120="","",IF(OR(LEFT(B120,4)="Cash",LEFT(B120,4)="Prov"),0,SUMIFS('Input_APM (Zenith)'!N:N,'Input_APM (Zenith)'!L:L,'Check (Zenith)'!B120,'Input_APM (Zenith)'!M:M,'Check (Zenith)'!$D$1)))</f>
        <v/>
      </c>
      <c r="E120" s="217" t="str">
        <f t="shared" si="2"/>
        <v/>
      </c>
    </row>
    <row r="121" spans="3:5">
      <c r="C121" s="217" t="str">
        <f>IF(B121="","",IF(OR(LEFT(B121,4)="Cash",LEFT(B121,4)="Prov"),0,SUMIFS('Input_APM (Zenith)'!N:N,'Input_APM (Zenith)'!L:L,'Check (Zenith)'!B121,'Input_APM (Zenith)'!M:M,'Check (Zenith)'!$C$1)))</f>
        <v/>
      </c>
      <c r="D121" s="217" t="str">
        <f>IF(B121="","",IF(OR(LEFT(B121,4)="Cash",LEFT(B121,4)="Prov"),0,SUMIFS('Input_APM (Zenith)'!N:N,'Input_APM (Zenith)'!L:L,'Check (Zenith)'!B121,'Input_APM (Zenith)'!M:M,'Check (Zenith)'!$D$1)))</f>
        <v/>
      </c>
      <c r="E121" s="217" t="str">
        <f t="shared" si="2"/>
        <v/>
      </c>
    </row>
    <row r="122" spans="3:5">
      <c r="C122" s="217" t="str">
        <f>IF(B122="","",IF(OR(LEFT(B122,4)="Cash",LEFT(B122,4)="Prov"),0,SUMIFS('Input_APM (Zenith)'!N:N,'Input_APM (Zenith)'!L:L,'Check (Zenith)'!B122,'Input_APM (Zenith)'!M:M,'Check (Zenith)'!$C$1)))</f>
        <v/>
      </c>
      <c r="D122" s="217" t="str">
        <f>IF(B122="","",IF(OR(LEFT(B122,4)="Cash",LEFT(B122,4)="Prov"),0,SUMIFS('Input_APM (Zenith)'!N:N,'Input_APM (Zenith)'!L:L,'Check (Zenith)'!B122,'Input_APM (Zenith)'!M:M,'Check (Zenith)'!$D$1)))</f>
        <v/>
      </c>
      <c r="E122" s="217" t="str">
        <f t="shared" si="2"/>
        <v/>
      </c>
    </row>
    <row r="123" spans="3:5">
      <c r="C123" s="217" t="str">
        <f>IF(B123="","",IF(OR(LEFT(B123,4)="Cash",LEFT(B123,4)="Prov"),0,SUMIFS('Input_APM (Zenith)'!N:N,'Input_APM (Zenith)'!L:L,'Check (Zenith)'!B123,'Input_APM (Zenith)'!M:M,'Check (Zenith)'!$C$1)))</f>
        <v/>
      </c>
      <c r="D123" s="217" t="str">
        <f>IF(B123="","",IF(OR(LEFT(B123,4)="Cash",LEFT(B123,4)="Prov"),0,SUMIFS('Input_APM (Zenith)'!N:N,'Input_APM (Zenith)'!L:L,'Check (Zenith)'!B123,'Input_APM (Zenith)'!M:M,'Check (Zenith)'!$D$1)))</f>
        <v/>
      </c>
      <c r="E123" s="217" t="str">
        <f t="shared" si="2"/>
        <v/>
      </c>
    </row>
    <row r="124" spans="3:5">
      <c r="C124" s="217" t="str">
        <f>IF(B124="","",IF(OR(LEFT(B124,4)="Cash",LEFT(B124,4)="Prov"),0,SUMIFS('Input_APM (Zenith)'!N:N,'Input_APM (Zenith)'!L:L,'Check (Zenith)'!B124,'Input_APM (Zenith)'!M:M,'Check (Zenith)'!$C$1)))</f>
        <v/>
      </c>
      <c r="D124" s="217" t="str">
        <f>IF(B124="","",IF(OR(LEFT(B124,4)="Cash",LEFT(B124,4)="Prov"),0,SUMIFS('Input_APM (Zenith)'!N:N,'Input_APM (Zenith)'!L:L,'Check (Zenith)'!B124,'Input_APM (Zenith)'!M:M,'Check (Zenith)'!$D$1)))</f>
        <v/>
      </c>
      <c r="E124" s="217" t="str">
        <f t="shared" si="2"/>
        <v/>
      </c>
    </row>
    <row r="125" spans="3:5">
      <c r="C125" s="217" t="str">
        <f>IF(B125="","",IF(OR(LEFT(B125,4)="Cash",LEFT(B125,4)="Prov"),0,SUMIFS('Input_APM (Zenith)'!N:N,'Input_APM (Zenith)'!L:L,'Check (Zenith)'!B125,'Input_APM (Zenith)'!M:M,'Check (Zenith)'!$C$1)))</f>
        <v/>
      </c>
      <c r="D125" s="217" t="str">
        <f>IF(B125="","",IF(OR(LEFT(B125,4)="Cash",LEFT(B125,4)="Prov"),0,SUMIFS('Input_APM (Zenith)'!N:N,'Input_APM (Zenith)'!L:L,'Check (Zenith)'!B125,'Input_APM (Zenith)'!M:M,'Check (Zenith)'!$D$1)))</f>
        <v/>
      </c>
      <c r="E125" s="217" t="str">
        <f t="shared" si="2"/>
        <v/>
      </c>
    </row>
    <row r="126" spans="3:5">
      <c r="C126" s="217" t="str">
        <f>IF(B126="","",IF(OR(LEFT(B126,4)="Cash",LEFT(B126,4)="Prov"),0,SUMIFS('Input_APM (Zenith)'!N:N,'Input_APM (Zenith)'!L:L,'Check (Zenith)'!B126,'Input_APM (Zenith)'!M:M,'Check (Zenith)'!$C$1)))</f>
        <v/>
      </c>
      <c r="D126" s="217" t="str">
        <f>IF(B126="","",IF(OR(LEFT(B126,4)="Cash",LEFT(B126,4)="Prov"),0,SUMIFS('Input_APM (Zenith)'!N:N,'Input_APM (Zenith)'!L:L,'Check (Zenith)'!B126,'Input_APM (Zenith)'!M:M,'Check (Zenith)'!$D$1)))</f>
        <v/>
      </c>
      <c r="E126" s="217" t="str">
        <f t="shared" si="2"/>
        <v/>
      </c>
    </row>
    <row r="127" spans="3:5">
      <c r="C127" s="217" t="str">
        <f>IF(B127="","",IF(OR(LEFT(B127,4)="Cash",LEFT(B127,4)="Prov"),0,SUMIFS('Input_APM (Zenith)'!N:N,'Input_APM (Zenith)'!L:L,'Check (Zenith)'!B127,'Input_APM (Zenith)'!M:M,'Check (Zenith)'!$C$1)))</f>
        <v/>
      </c>
      <c r="D127" s="217" t="str">
        <f>IF(B127="","",IF(OR(LEFT(B127,4)="Cash",LEFT(B127,4)="Prov"),0,SUMIFS('Input_APM (Zenith)'!N:N,'Input_APM (Zenith)'!L:L,'Check (Zenith)'!B127,'Input_APM (Zenith)'!M:M,'Check (Zenith)'!$D$1)))</f>
        <v/>
      </c>
      <c r="E127" s="217" t="str">
        <f t="shared" si="2"/>
        <v/>
      </c>
    </row>
    <row r="128" spans="3:5">
      <c r="C128" s="217" t="str">
        <f>IF(B128="","",IF(OR(LEFT(B128,4)="Cash",LEFT(B128,4)="Prov"),0,SUMIFS('Input_APM (Zenith)'!N:N,'Input_APM (Zenith)'!L:L,'Check (Zenith)'!B128,'Input_APM (Zenith)'!M:M,'Check (Zenith)'!$C$1)))</f>
        <v/>
      </c>
      <c r="D128" s="217" t="str">
        <f>IF(B128="","",IF(OR(LEFT(B128,4)="Cash",LEFT(B128,4)="Prov"),0,SUMIFS('Input_APM (Zenith)'!N:N,'Input_APM (Zenith)'!L:L,'Check (Zenith)'!B128,'Input_APM (Zenith)'!M:M,'Check (Zenith)'!$D$1)))</f>
        <v/>
      </c>
      <c r="E128" s="217" t="str">
        <f t="shared" si="2"/>
        <v/>
      </c>
    </row>
    <row r="129" spans="3:5">
      <c r="C129" s="217" t="str">
        <f>IF(B129="","",IF(OR(LEFT(B129,4)="Cash",LEFT(B129,4)="Prov"),0,SUMIFS('Input_APM (Zenith)'!N:N,'Input_APM (Zenith)'!L:L,'Check (Zenith)'!B129,'Input_APM (Zenith)'!M:M,'Check (Zenith)'!$C$1)))</f>
        <v/>
      </c>
      <c r="D129" s="217" t="str">
        <f>IF(B129="","",IF(OR(LEFT(B129,4)="Cash",LEFT(B129,4)="Prov"),0,SUMIFS('Input_APM (Zenith)'!N:N,'Input_APM (Zenith)'!L:L,'Check (Zenith)'!B129,'Input_APM (Zenith)'!M:M,'Check (Zenith)'!$D$1)))</f>
        <v/>
      </c>
      <c r="E129" s="217" t="str">
        <f t="shared" si="2"/>
        <v/>
      </c>
    </row>
    <row r="130" spans="3:5">
      <c r="C130" s="217" t="str">
        <f>IF(B130="","",IF(OR(LEFT(B130,4)="Cash",LEFT(B130,4)="Prov"),0,SUMIFS('Input_APM (Zenith)'!N:N,'Input_APM (Zenith)'!L:L,'Check (Zenith)'!B130,'Input_APM (Zenith)'!M:M,'Check (Zenith)'!$C$1)))</f>
        <v/>
      </c>
      <c r="D130" s="217" t="str">
        <f>IF(B130="","",IF(OR(LEFT(B130,4)="Cash",LEFT(B130,4)="Prov"),0,SUMIFS('Input_APM (Zenith)'!N:N,'Input_APM (Zenith)'!L:L,'Check (Zenith)'!B130,'Input_APM (Zenith)'!M:M,'Check (Zenith)'!$D$1)))</f>
        <v/>
      </c>
      <c r="E130" s="217" t="str">
        <f t="shared" si="2"/>
        <v/>
      </c>
    </row>
    <row r="131" spans="3:5">
      <c r="C131" s="217" t="str">
        <f>IF(B131="","",IF(OR(LEFT(B131,4)="Cash",LEFT(B131,4)="Prov"),0,SUMIFS('Input_APM (Zenith)'!N:N,'Input_APM (Zenith)'!L:L,'Check (Zenith)'!B131,'Input_APM (Zenith)'!M:M,'Check (Zenith)'!$C$1)))</f>
        <v/>
      </c>
      <c r="D131" s="217" t="str">
        <f>IF(B131="","",IF(OR(LEFT(B131,4)="Cash",LEFT(B131,4)="Prov"),0,SUMIFS('Input_APM (Zenith)'!N:N,'Input_APM (Zenith)'!L:L,'Check (Zenith)'!B131,'Input_APM (Zenith)'!M:M,'Check (Zenith)'!$D$1)))</f>
        <v/>
      </c>
      <c r="E131" s="217" t="str">
        <f t="shared" si="2"/>
        <v/>
      </c>
    </row>
    <row r="132" spans="3:5">
      <c r="C132" s="217" t="str">
        <f>IF(B132="","",IF(OR(LEFT(B132,4)="Cash",LEFT(B132,4)="Prov"),0,SUMIFS('Input_APM (Zenith)'!N:N,'Input_APM (Zenith)'!L:L,'Check (Zenith)'!B132,'Input_APM (Zenith)'!M:M,'Check (Zenith)'!$C$1)))</f>
        <v/>
      </c>
      <c r="D132" s="217" t="str">
        <f>IF(B132="","",IF(OR(LEFT(B132,4)="Cash",LEFT(B132,4)="Prov"),0,SUMIFS('Input_APM (Zenith)'!N:N,'Input_APM (Zenith)'!L:L,'Check (Zenith)'!B132,'Input_APM (Zenith)'!M:M,'Check (Zenith)'!$D$1)))</f>
        <v/>
      </c>
      <c r="E132" s="217" t="str">
        <f t="shared" si="2"/>
        <v/>
      </c>
    </row>
    <row r="133" spans="3:5">
      <c r="C133" s="217" t="str">
        <f>IF(B133="","",IF(OR(LEFT(B133,4)="Cash",LEFT(B133,4)="Prov"),0,SUMIFS('Input_APM (Zenith)'!N:N,'Input_APM (Zenith)'!L:L,'Check (Zenith)'!B133,'Input_APM (Zenith)'!M:M,'Check (Zenith)'!$C$1)))</f>
        <v/>
      </c>
      <c r="D133" s="217" t="str">
        <f>IF(B133="","",IF(OR(LEFT(B133,4)="Cash",LEFT(B133,4)="Prov"),0,SUMIFS('Input_APM (Zenith)'!N:N,'Input_APM (Zenith)'!L:L,'Check (Zenith)'!B133,'Input_APM (Zenith)'!M:M,'Check (Zenith)'!$D$1)))</f>
        <v/>
      </c>
      <c r="E133" s="217" t="str">
        <f t="shared" si="2"/>
        <v/>
      </c>
    </row>
    <row r="134" spans="3:5">
      <c r="C134" s="217" t="str">
        <f>IF(B134="","",IF(OR(LEFT(B134,4)="Cash",LEFT(B134,4)="Prov"),0,SUMIFS('Input_APM (Zenith)'!N:N,'Input_APM (Zenith)'!L:L,'Check (Zenith)'!B134,'Input_APM (Zenith)'!M:M,'Check (Zenith)'!$C$1)))</f>
        <v/>
      </c>
      <c r="D134" s="217" t="str">
        <f>IF(B134="","",IF(OR(LEFT(B134,4)="Cash",LEFT(B134,4)="Prov"),0,SUMIFS('Input_APM (Zenith)'!N:N,'Input_APM (Zenith)'!L:L,'Check (Zenith)'!B134,'Input_APM (Zenith)'!M:M,'Check (Zenith)'!$D$1)))</f>
        <v/>
      </c>
      <c r="E134" s="217" t="str">
        <f t="shared" si="2"/>
        <v/>
      </c>
    </row>
    <row r="135" spans="3:5">
      <c r="C135" s="217" t="str">
        <f>IF(B135="","",IF(OR(LEFT(B135,4)="Cash",LEFT(B135,4)="Prov"),0,SUMIFS('Input_APM (Zenith)'!N:N,'Input_APM (Zenith)'!L:L,'Check (Zenith)'!B135,'Input_APM (Zenith)'!M:M,'Check (Zenith)'!$C$1)))</f>
        <v/>
      </c>
      <c r="D135" s="217" t="str">
        <f>IF(B135="","",IF(OR(LEFT(B135,4)="Cash",LEFT(B135,4)="Prov"),0,SUMIFS('Input_APM (Zenith)'!N:N,'Input_APM (Zenith)'!L:L,'Check (Zenith)'!B135,'Input_APM (Zenith)'!M:M,'Check (Zenith)'!$D$1)))</f>
        <v/>
      </c>
      <c r="E135" s="217" t="str">
        <f t="shared" si="2"/>
        <v/>
      </c>
    </row>
    <row r="136" spans="3:5">
      <c r="C136" s="217" t="str">
        <f>IF(B136="","",IF(OR(LEFT(B136,4)="Cash",LEFT(B136,4)="Prov"),0,SUMIFS('Input_APM (Zenith)'!N:N,'Input_APM (Zenith)'!L:L,'Check (Zenith)'!B136,'Input_APM (Zenith)'!M:M,'Check (Zenith)'!$C$1)))</f>
        <v/>
      </c>
      <c r="D136" s="217" t="str">
        <f>IF(B136="","",IF(OR(LEFT(B136,4)="Cash",LEFT(B136,4)="Prov"),0,SUMIFS('Input_APM (Zenith)'!N:N,'Input_APM (Zenith)'!L:L,'Check (Zenith)'!B136,'Input_APM (Zenith)'!M:M,'Check (Zenith)'!$D$1)))</f>
        <v/>
      </c>
      <c r="E136" s="217" t="str">
        <f t="shared" si="2"/>
        <v/>
      </c>
    </row>
    <row r="137" spans="3:5">
      <c r="C137" s="217" t="str">
        <f>IF(B137="","",IF(OR(LEFT(B137,4)="Cash",LEFT(B137,4)="Prov"),0,SUMIFS('Input_APM (Zenith)'!N:N,'Input_APM (Zenith)'!L:L,'Check (Zenith)'!B137,'Input_APM (Zenith)'!M:M,'Check (Zenith)'!$C$1)))</f>
        <v/>
      </c>
      <c r="D137" s="217" t="str">
        <f>IF(B137="","",IF(OR(LEFT(B137,4)="Cash",LEFT(B137,4)="Prov"),0,SUMIFS('Input_APM (Zenith)'!N:N,'Input_APM (Zenith)'!L:L,'Check (Zenith)'!B137,'Input_APM (Zenith)'!M:M,'Check (Zenith)'!$D$1)))</f>
        <v/>
      </c>
      <c r="E137" s="217" t="str">
        <f t="shared" si="2"/>
        <v/>
      </c>
    </row>
    <row r="138" spans="3:5">
      <c r="C138" s="217" t="str">
        <f>IF(B138="","",IF(OR(LEFT(B138,4)="Cash",LEFT(B138,4)="Prov"),0,SUMIFS('Input_APM (Zenith)'!N:N,'Input_APM (Zenith)'!L:L,'Check (Zenith)'!B138,'Input_APM (Zenith)'!M:M,'Check (Zenith)'!$C$1)))</f>
        <v/>
      </c>
      <c r="D138" s="217" t="str">
        <f>IF(B138="","",IF(OR(LEFT(B138,4)="Cash",LEFT(B138,4)="Prov"),0,SUMIFS('Input_APM (Zenith)'!N:N,'Input_APM (Zenith)'!L:L,'Check (Zenith)'!B138,'Input_APM (Zenith)'!M:M,'Check (Zenith)'!$D$1)))</f>
        <v/>
      </c>
      <c r="E138" s="217" t="str">
        <f t="shared" si="2"/>
        <v/>
      </c>
    </row>
    <row r="139" spans="3:5">
      <c r="C139" s="217" t="str">
        <f>IF(B139="","",IF(OR(LEFT(B139,4)="Cash",LEFT(B139,4)="Prov"),0,SUMIFS('Input_APM (Zenith)'!N:N,'Input_APM (Zenith)'!L:L,'Check (Zenith)'!B139,'Input_APM (Zenith)'!M:M,'Check (Zenith)'!$C$1)))</f>
        <v/>
      </c>
      <c r="D139" s="217" t="str">
        <f>IF(B139="","",IF(OR(LEFT(B139,4)="Cash",LEFT(B139,4)="Prov"),0,SUMIFS('Input_APM (Zenith)'!N:N,'Input_APM (Zenith)'!L:L,'Check (Zenith)'!B139,'Input_APM (Zenith)'!M:M,'Check (Zenith)'!$D$1)))</f>
        <v/>
      </c>
      <c r="E139" s="217" t="str">
        <f t="shared" si="2"/>
        <v/>
      </c>
    </row>
    <row r="140" spans="3:5">
      <c r="C140" s="217" t="str">
        <f>IF(B140="","",IF(OR(LEFT(B140,4)="Cash",LEFT(B140,4)="Prov"),0,SUMIFS('Input_APM (Zenith)'!N:N,'Input_APM (Zenith)'!L:L,'Check (Zenith)'!B140,'Input_APM (Zenith)'!M:M,'Check (Zenith)'!$C$1)))</f>
        <v/>
      </c>
      <c r="D140" s="217" t="str">
        <f>IF(B140="","",IF(OR(LEFT(B140,4)="Cash",LEFT(B140,4)="Prov"),0,SUMIFS('Input_APM (Zenith)'!N:N,'Input_APM (Zenith)'!L:L,'Check (Zenith)'!B140,'Input_APM (Zenith)'!M:M,'Check (Zenith)'!$D$1)))</f>
        <v/>
      </c>
      <c r="E140" s="217" t="str">
        <f t="shared" si="2"/>
        <v/>
      </c>
    </row>
    <row r="141" spans="3:5">
      <c r="C141" s="217" t="str">
        <f>IF(B141="","",IF(OR(LEFT(B141,4)="Cash",LEFT(B141,4)="Prov"),0,SUMIFS('Input_APM (Zenith)'!N:N,'Input_APM (Zenith)'!L:L,'Check (Zenith)'!B141,'Input_APM (Zenith)'!M:M,'Check (Zenith)'!$C$1)))</f>
        <v/>
      </c>
      <c r="D141" s="217" t="str">
        <f>IF(B141="","",IF(OR(LEFT(B141,4)="Cash",LEFT(B141,4)="Prov"),0,SUMIFS('Input_APM (Zenith)'!N:N,'Input_APM (Zenith)'!L:L,'Check (Zenith)'!B141,'Input_APM (Zenith)'!M:M,'Check (Zenith)'!$D$1)))</f>
        <v/>
      </c>
      <c r="E141" s="217" t="str">
        <f t="shared" si="2"/>
        <v/>
      </c>
    </row>
    <row r="142" spans="3:5">
      <c r="C142" s="217" t="str">
        <f>IF(B142="","",IF(OR(LEFT(B142,4)="Cash",LEFT(B142,4)="Prov"),0,SUMIFS('Input_APM (Zenith)'!N:N,'Input_APM (Zenith)'!L:L,'Check (Zenith)'!B142,'Input_APM (Zenith)'!M:M,'Check (Zenith)'!$C$1)))</f>
        <v/>
      </c>
      <c r="D142" s="217" t="str">
        <f>IF(B142="","",IF(OR(LEFT(B142,4)="Cash",LEFT(B142,4)="Prov"),0,SUMIFS('Input_APM (Zenith)'!N:N,'Input_APM (Zenith)'!L:L,'Check (Zenith)'!B142,'Input_APM (Zenith)'!M:M,'Check (Zenith)'!$D$1)))</f>
        <v/>
      </c>
      <c r="E142" s="217" t="str">
        <f t="shared" si="2"/>
        <v/>
      </c>
    </row>
    <row r="143" spans="3:5">
      <c r="C143" s="217" t="str">
        <f>IF(B143="","",IF(OR(LEFT(B143,4)="Cash",LEFT(B143,4)="Prov"),0,SUMIFS('Input_APM (Zenith)'!N:N,'Input_APM (Zenith)'!L:L,'Check (Zenith)'!B143,'Input_APM (Zenith)'!M:M,'Check (Zenith)'!$C$1)))</f>
        <v/>
      </c>
      <c r="D143" s="217" t="str">
        <f>IF(B143="","",IF(OR(LEFT(B143,4)="Cash",LEFT(B143,4)="Prov"),0,SUMIFS('Input_APM (Zenith)'!N:N,'Input_APM (Zenith)'!L:L,'Check (Zenith)'!B143,'Input_APM (Zenith)'!M:M,'Check (Zenith)'!$D$1)))</f>
        <v/>
      </c>
      <c r="E143" s="217" t="str">
        <f t="shared" si="2"/>
        <v/>
      </c>
    </row>
    <row r="144" spans="3:5">
      <c r="C144" s="217" t="str">
        <f>IF(B144="","",IF(OR(LEFT(B144,4)="Cash",LEFT(B144,4)="Prov"),0,SUMIFS('Input_APM (Zenith)'!N:N,'Input_APM (Zenith)'!L:L,'Check (Zenith)'!B144,'Input_APM (Zenith)'!M:M,'Check (Zenith)'!$C$1)))</f>
        <v/>
      </c>
      <c r="D144" s="217" t="str">
        <f>IF(B144="","",IF(OR(LEFT(B144,4)="Cash",LEFT(B144,4)="Prov"),0,SUMIFS('Input_APM (Zenith)'!N:N,'Input_APM (Zenith)'!L:L,'Check (Zenith)'!B144,'Input_APM (Zenith)'!M:M,'Check (Zenith)'!$D$1)))</f>
        <v/>
      </c>
      <c r="E144" s="217" t="str">
        <f t="shared" si="2"/>
        <v/>
      </c>
    </row>
    <row r="145" spans="3:5">
      <c r="C145" s="217" t="str">
        <f>IF(B145="","",IF(OR(LEFT(B145,4)="Cash",LEFT(B145,4)="Prov"),0,SUMIFS('Input_APM (Zenith)'!N:N,'Input_APM (Zenith)'!L:L,'Check (Zenith)'!B145,'Input_APM (Zenith)'!M:M,'Check (Zenith)'!$C$1)))</f>
        <v/>
      </c>
      <c r="D145" s="217" t="str">
        <f>IF(B145="","",IF(OR(LEFT(B145,4)="Cash",LEFT(B145,4)="Prov"),0,SUMIFS('Input_APM (Zenith)'!N:N,'Input_APM (Zenith)'!L:L,'Check (Zenith)'!B145,'Input_APM (Zenith)'!M:M,'Check (Zenith)'!$D$1)))</f>
        <v/>
      </c>
      <c r="E145" s="217" t="str">
        <f t="shared" si="2"/>
        <v/>
      </c>
    </row>
    <row r="146" spans="3:5">
      <c r="C146" s="217" t="str">
        <f>IF(B146="","",IF(OR(LEFT(B146,4)="Cash",LEFT(B146,4)="Prov"),0,SUMIFS('Input_APM (Zenith)'!N:N,'Input_APM (Zenith)'!L:L,'Check (Zenith)'!B146,'Input_APM (Zenith)'!M:M,'Check (Zenith)'!$C$1)))</f>
        <v/>
      </c>
      <c r="D146" s="217" t="str">
        <f>IF(B146="","",IF(OR(LEFT(B146,4)="Cash",LEFT(B146,4)="Prov"),0,SUMIFS('Input_APM (Zenith)'!N:N,'Input_APM (Zenith)'!L:L,'Check (Zenith)'!B146,'Input_APM (Zenith)'!M:M,'Check (Zenith)'!$D$1)))</f>
        <v/>
      </c>
      <c r="E146" s="217" t="str">
        <f t="shared" ref="E146:E151" si="3">IF(B146="","",C146-D146)</f>
        <v/>
      </c>
    </row>
    <row r="147" spans="3:5">
      <c r="C147" s="217" t="str">
        <f>IF(B147="","",IF(OR(LEFT(B147,4)="Cash",LEFT(B147,4)="Prov"),0,SUMIFS('Input_APM (Zenith)'!N:N,'Input_APM (Zenith)'!L:L,'Check (Zenith)'!B147,'Input_APM (Zenith)'!M:M,'Check (Zenith)'!$C$1)))</f>
        <v/>
      </c>
      <c r="D147" s="217" t="str">
        <f>IF(B147="","",IF(OR(LEFT(B147,4)="Cash",LEFT(B147,4)="Prov"),0,SUMIFS('Input_APM (Zenith)'!N:N,'Input_APM (Zenith)'!L:L,'Check (Zenith)'!B147,'Input_APM (Zenith)'!M:M,'Check (Zenith)'!$D$1)))</f>
        <v/>
      </c>
      <c r="E147" s="217" t="str">
        <f t="shared" si="3"/>
        <v/>
      </c>
    </row>
    <row r="148" spans="3:5">
      <c r="C148" s="217" t="str">
        <f>IF(B148="","",IF(OR(LEFT(B148,4)="Cash",LEFT(B148,4)="Prov"),0,SUMIFS('Input_APM (Zenith)'!N:N,'Input_APM (Zenith)'!L:L,'Check (Zenith)'!B148,'Input_APM (Zenith)'!M:M,'Check (Zenith)'!$C$1)))</f>
        <v/>
      </c>
      <c r="D148" s="217" t="str">
        <f>IF(B148="","",IF(OR(LEFT(B148,4)="Cash",LEFT(B148,4)="Prov"),0,SUMIFS('Input_APM (Zenith)'!N:N,'Input_APM (Zenith)'!L:L,'Check (Zenith)'!B148,'Input_APM (Zenith)'!M:M,'Check (Zenith)'!$D$1)))</f>
        <v/>
      </c>
      <c r="E148" s="217" t="str">
        <f t="shared" si="3"/>
        <v/>
      </c>
    </row>
    <row r="149" spans="3:5">
      <c r="C149" s="217" t="str">
        <f>IF(B149="","",IF(OR(LEFT(B149,4)="Cash",LEFT(B149,4)="Prov"),0,SUMIFS('Input_APM (Zenith)'!N:N,'Input_APM (Zenith)'!L:L,'Check (Zenith)'!B149,'Input_APM (Zenith)'!M:M,'Check (Zenith)'!$C$1)))</f>
        <v/>
      </c>
      <c r="D149" s="217" t="str">
        <f>IF(B149="","",IF(OR(LEFT(B149,4)="Cash",LEFT(B149,4)="Prov"),0,SUMIFS('Input_APM (Zenith)'!N:N,'Input_APM (Zenith)'!L:L,'Check (Zenith)'!B149,'Input_APM (Zenith)'!M:M,'Check (Zenith)'!$D$1)))</f>
        <v/>
      </c>
      <c r="E149" s="217" t="str">
        <f t="shared" si="3"/>
        <v/>
      </c>
    </row>
    <row r="150" spans="3:5">
      <c r="C150" s="217" t="str">
        <f>IF(B150="","",IF(OR(LEFT(B150,4)="Cash",LEFT(B150,4)="Prov"),0,SUMIFS('Input_APM (Zenith)'!N:N,'Input_APM (Zenith)'!L:L,'Check (Zenith)'!B150,'Input_APM (Zenith)'!M:M,'Check (Zenith)'!$C$1)))</f>
        <v/>
      </c>
      <c r="D150" s="217" t="str">
        <f>IF(B150="","",IF(OR(LEFT(B150,4)="Cash",LEFT(B150,4)="Prov"),0,SUMIFS('Input_APM (Zenith)'!N:N,'Input_APM (Zenith)'!L:L,'Check (Zenith)'!B150,'Input_APM (Zenith)'!M:M,'Check (Zenith)'!$D$1)))</f>
        <v/>
      </c>
      <c r="E150" s="217" t="str">
        <f t="shared" si="3"/>
        <v/>
      </c>
    </row>
    <row r="151" spans="3:5">
      <c r="C151" s="217" t="str">
        <f>IF(B151="","",IF(OR(LEFT(B151,4)="Cash",LEFT(B151,4)="Prov"),0,SUMIFS('Input_APM (Zenith)'!N:N,'Input_APM (Zenith)'!L:L,'Check (Zenith)'!B151,'Input_APM (Zenith)'!M:M,'Check (Zenith)'!$C$1)))</f>
        <v/>
      </c>
      <c r="D151" s="217" t="str">
        <f>IF(B151="","",IF(OR(LEFT(B151,4)="Cash",LEFT(B151,4)="Prov"),0,SUMIFS('Input_APM (Zenith)'!N:N,'Input_APM (Zenith)'!L:L,'Check (Zenith)'!B151,'Input_APM (Zenith)'!M:M,'Check (Zenith)'!$D$1)))</f>
        <v/>
      </c>
      <c r="E151" s="217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5"/>
      <c r="B1" s="206" t="s">
        <v>339</v>
      </c>
      <c r="C1" s="207" t="s">
        <v>340</v>
      </c>
    </row>
    <row r="2" spans="1:7">
      <c r="A2" s="208" t="s">
        <v>341</v>
      </c>
      <c r="B2" s="209">
        <f ca="1">TODAY()+C2</f>
        <v>46049</v>
      </c>
      <c r="C2" s="210">
        <v>0</v>
      </c>
    </row>
    <row r="3" spans="1:7">
      <c r="A3" s="208" t="s">
        <v>342</v>
      </c>
      <c r="B3" s="236">
        <f ca="1">B2-1</f>
        <v>46048</v>
      </c>
      <c r="C3" s="211" t="s">
        <v>343</v>
      </c>
      <c r="F3" s="22" t="s">
        <v>344</v>
      </c>
      <c r="G3" s="22" t="s">
        <v>345</v>
      </c>
    </row>
    <row r="4" spans="1:7">
      <c r="A4" s="226" t="s">
        <v>346</v>
      </c>
      <c r="B4" s="228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Daniel\BooksOverviewResume26Jan2026</v>
      </c>
      <c r="C4" s="228" t="s">
        <v>343</v>
      </c>
      <c r="F4" s="22" t="s">
        <v>347</v>
      </c>
      <c r="G4" s="22" t="s">
        <v>347</v>
      </c>
    </row>
    <row r="5" spans="1:7">
      <c r="A5" s="227" t="s">
        <v>348</v>
      </c>
      <c r="B5" s="212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Daniel\BooksOverviewResume26Jan2026_zenith</v>
      </c>
      <c r="C5" s="212" t="s">
        <v>343</v>
      </c>
      <c r="F5" s="22" t="s">
        <v>134</v>
      </c>
      <c r="G5" s="22" t="s">
        <v>134</v>
      </c>
    </row>
    <row r="6" spans="1:7">
      <c r="F6" s="22" t="s">
        <v>90</v>
      </c>
      <c r="G6" s="22" t="s">
        <v>90</v>
      </c>
    </row>
    <row r="7" spans="1:7">
      <c r="F7" s="22" t="s">
        <v>349</v>
      </c>
      <c r="G7" s="22" t="s">
        <v>350</v>
      </c>
    </row>
    <row r="8" spans="1:7">
      <c r="F8" s="22" t="s">
        <v>351</v>
      </c>
      <c r="G8" s="22" t="s">
        <v>350</v>
      </c>
    </row>
    <row r="9" spans="1:7">
      <c r="F9" s="22" t="s">
        <v>352</v>
      </c>
      <c r="G9" s="22" t="s">
        <v>350</v>
      </c>
    </row>
    <row r="10" spans="1:7">
      <c r="F10" t="s">
        <v>2134</v>
      </c>
      <c r="G10" t="s">
        <v>1761</v>
      </c>
    </row>
    <row r="11" spans="1:7">
      <c r="F11" s="22" t="s">
        <v>79</v>
      </c>
      <c r="G11" s="22" t="s">
        <v>79</v>
      </c>
    </row>
    <row r="12" spans="1:7">
      <c r="F12" s="22" t="s">
        <v>80</v>
      </c>
      <c r="G12" s="22" t="s">
        <v>80</v>
      </c>
    </row>
    <row r="13" spans="1:7">
      <c r="F13" s="22" t="s">
        <v>354</v>
      </c>
      <c r="G13" s="22" t="s">
        <v>355</v>
      </c>
    </row>
    <row r="14" spans="1:7">
      <c r="F14" s="22" t="s">
        <v>94</v>
      </c>
      <c r="G14" s="22" t="s">
        <v>94</v>
      </c>
    </row>
    <row r="15" spans="1:7">
      <c r="F15" s="22" t="s">
        <v>138</v>
      </c>
      <c r="G15" s="22" t="s">
        <v>138</v>
      </c>
    </row>
    <row r="16" spans="1:7">
      <c r="F16" s="22" t="s">
        <v>137</v>
      </c>
      <c r="G16" s="22" t="s">
        <v>137</v>
      </c>
    </row>
    <row r="17" spans="6:7">
      <c r="F17" s="22" t="s">
        <v>356</v>
      </c>
      <c r="G17" s="22" t="s">
        <v>356</v>
      </c>
    </row>
    <row r="18" spans="6:7">
      <c r="F18" s="22" t="s">
        <v>86</v>
      </c>
      <c r="G18" s="22" t="s">
        <v>86</v>
      </c>
    </row>
    <row r="19" spans="6:7">
      <c r="F19" s="22" t="s">
        <v>87</v>
      </c>
      <c r="G19" s="22" t="s">
        <v>87</v>
      </c>
    </row>
    <row r="20" spans="6:7">
      <c r="F20" s="22" t="s">
        <v>6</v>
      </c>
      <c r="G20" s="22" t="s">
        <v>6</v>
      </c>
    </row>
    <row r="21" spans="6:7">
      <c r="F21" s="22" t="s">
        <v>88</v>
      </c>
      <c r="G21" s="22" t="s">
        <v>88</v>
      </c>
    </row>
    <row r="22" spans="6:7">
      <c r="F22" s="213" t="s">
        <v>1857</v>
      </c>
      <c r="G22" s="353" t="s">
        <v>1854</v>
      </c>
    </row>
    <row r="23" spans="6:7">
      <c r="F23" s="213" t="s">
        <v>1857</v>
      </c>
      <c r="G23" s="353" t="s">
        <v>1854</v>
      </c>
    </row>
    <row r="24" spans="6:7">
      <c r="F24" s="213" t="s">
        <v>1864</v>
      </c>
      <c r="G24" s="353" t="s">
        <v>1854</v>
      </c>
    </row>
    <row r="25" spans="6:7">
      <c r="F25" s="213" t="s">
        <v>1864</v>
      </c>
      <c r="G25" s="353" t="s">
        <v>1854</v>
      </c>
    </row>
    <row r="26" spans="6:7">
      <c r="F26" s="213" t="s">
        <v>1867</v>
      </c>
      <c r="G26" s="353" t="s">
        <v>1854</v>
      </c>
    </row>
    <row r="27" spans="6:7">
      <c r="F27" s="213" t="s">
        <v>1867</v>
      </c>
      <c r="G27" s="353" t="s">
        <v>1854</v>
      </c>
    </row>
    <row r="28" spans="6:7">
      <c r="F28" s="213" t="s">
        <v>1870</v>
      </c>
      <c r="G28" s="353" t="s">
        <v>1854</v>
      </c>
    </row>
    <row r="29" spans="6:7">
      <c r="F29" s="213" t="s">
        <v>1870</v>
      </c>
      <c r="G29" s="353" t="s">
        <v>1854</v>
      </c>
    </row>
    <row r="30" spans="6:7">
      <c r="F30" s="22" t="s">
        <v>50</v>
      </c>
      <c r="G30" s="22" t="s">
        <v>50</v>
      </c>
    </row>
    <row r="31" spans="6:7">
      <c r="F31" s="22" t="s">
        <v>135</v>
      </c>
      <c r="G31" s="22" t="s">
        <v>135</v>
      </c>
    </row>
    <row r="32" spans="6:7">
      <c r="F32" s="22" t="s">
        <v>136</v>
      </c>
      <c r="G32" s="22" t="s">
        <v>136</v>
      </c>
    </row>
    <row r="33" spans="6:7">
      <c r="F33" s="22" t="s">
        <v>142</v>
      </c>
      <c r="G33" s="22" t="s">
        <v>142</v>
      </c>
    </row>
    <row r="34" spans="6:7">
      <c r="F34" s="22" t="s">
        <v>1885</v>
      </c>
      <c r="G34" s="22" t="s">
        <v>1742</v>
      </c>
    </row>
    <row r="35" spans="6:7">
      <c r="F35" s="362" t="s">
        <v>1884</v>
      </c>
      <c r="G35" s="163" t="s">
        <v>1881</v>
      </c>
    </row>
    <row r="36" spans="6:7">
      <c r="F36" s="362" t="s">
        <v>1883</v>
      </c>
      <c r="G36" s="22" t="s">
        <v>1882</v>
      </c>
    </row>
    <row r="37" spans="6:7">
      <c r="F37" s="22" t="s">
        <v>148</v>
      </c>
      <c r="G37" s="22" t="s">
        <v>148</v>
      </c>
    </row>
    <row r="38" spans="6:7">
      <c r="F38" s="22" t="s">
        <v>0</v>
      </c>
      <c r="G38" s="22" t="s">
        <v>0</v>
      </c>
    </row>
    <row r="39" spans="6:7">
      <c r="F39" s="22" t="s">
        <v>1886</v>
      </c>
      <c r="G39" s="22" t="s">
        <v>2</v>
      </c>
    </row>
    <row r="40" spans="6:7">
      <c r="F40" t="s">
        <v>131</v>
      </c>
      <c r="G40" s="22" t="s">
        <v>2139</v>
      </c>
    </row>
    <row r="41" spans="6:7">
      <c r="F41" s="22" t="s">
        <v>359</v>
      </c>
      <c r="G41" s="22" t="s">
        <v>360</v>
      </c>
    </row>
    <row r="42" spans="6:7">
      <c r="F42" s="22" t="s">
        <v>361</v>
      </c>
      <c r="G42" s="22" t="s">
        <v>362</v>
      </c>
    </row>
    <row r="43" spans="6:7">
      <c r="F43" s="22" t="s">
        <v>363</v>
      </c>
      <c r="G43" s="22" t="s">
        <v>362</v>
      </c>
    </row>
    <row r="44" spans="6:7">
      <c r="F44" s="22" t="s">
        <v>364</v>
      </c>
      <c r="G44" s="22" t="s">
        <v>364</v>
      </c>
    </row>
    <row r="45" spans="6:7">
      <c r="F45" s="22" t="s">
        <v>365</v>
      </c>
      <c r="G45" s="22" t="s">
        <v>365</v>
      </c>
    </row>
    <row r="46" spans="6:7">
      <c r="F46" s="22" t="s">
        <v>326</v>
      </c>
      <c r="G46" s="22" t="s">
        <v>81</v>
      </c>
    </row>
    <row r="47" spans="6:7">
      <c r="F47" s="22" t="s">
        <v>366</v>
      </c>
      <c r="G47" s="22" t="s">
        <v>355</v>
      </c>
    </row>
    <row r="48" spans="6:7">
      <c r="F48" s="22" t="s">
        <v>367</v>
      </c>
      <c r="G48" s="22" t="s">
        <v>140</v>
      </c>
    </row>
    <row r="49" spans="6:7">
      <c r="F49" s="22" t="s">
        <v>368</v>
      </c>
      <c r="G49" s="22" t="s">
        <v>140</v>
      </c>
    </row>
    <row r="50" spans="6:7">
      <c r="F50" s="22" t="s">
        <v>1908</v>
      </c>
      <c r="G50" s="22" t="s">
        <v>1909</v>
      </c>
    </row>
    <row r="51" spans="6:7">
      <c r="F51" s="22" t="s">
        <v>1845</v>
      </c>
      <c r="G51" s="22" t="s">
        <v>1844</v>
      </c>
    </row>
    <row r="52" spans="6:7">
      <c r="F52" s="22" t="s">
        <v>358</v>
      </c>
      <c r="G52" s="22" t="s">
        <v>2</v>
      </c>
    </row>
    <row r="53" spans="6:7">
      <c r="F53" s="213" t="s">
        <v>1868</v>
      </c>
      <c r="G53" s="353" t="s">
        <v>1853</v>
      </c>
    </row>
    <row r="54" spans="6:7">
      <c r="F54" s="213" t="s">
        <v>1868</v>
      </c>
      <c r="G54" s="353" t="s">
        <v>1853</v>
      </c>
    </row>
    <row r="55" spans="6:7">
      <c r="F55" s="213" t="s">
        <v>1865</v>
      </c>
      <c r="G55" s="353" t="s">
        <v>1853</v>
      </c>
    </row>
    <row r="56" spans="6:7">
      <c r="F56" s="213" t="s">
        <v>1865</v>
      </c>
      <c r="G56" s="353" t="s">
        <v>1853</v>
      </c>
    </row>
    <row r="57" spans="6:7">
      <c r="F57" s="213" t="s">
        <v>1869</v>
      </c>
      <c r="G57" s="353" t="s">
        <v>1853</v>
      </c>
    </row>
    <row r="58" spans="6:7">
      <c r="F58" s="213" t="s">
        <v>1869</v>
      </c>
      <c r="G58" s="353" t="s">
        <v>1853</v>
      </c>
    </row>
    <row r="59" spans="6:7">
      <c r="F59" s="213" t="s">
        <v>1871</v>
      </c>
      <c r="G59" s="353" t="s">
        <v>1853</v>
      </c>
    </row>
    <row r="60" spans="6:7">
      <c r="F60" s="213" t="s">
        <v>1871</v>
      </c>
      <c r="G60" s="353" t="s">
        <v>1853</v>
      </c>
    </row>
    <row r="61" spans="6:7">
      <c r="F61" s="22" t="s">
        <v>1851</v>
      </c>
      <c r="G61" s="22" t="s">
        <v>1844</v>
      </c>
    </row>
    <row r="62" spans="6:7">
      <c r="F62" s="22" t="s">
        <v>370</v>
      </c>
      <c r="G62" s="22" t="s">
        <v>371</v>
      </c>
    </row>
    <row r="63" spans="6:7">
      <c r="F63" s="22" t="s">
        <v>372</v>
      </c>
      <c r="G63" s="22" t="s">
        <v>373</v>
      </c>
    </row>
    <row r="64" spans="6:7">
      <c r="F64" s="22" t="s">
        <v>370</v>
      </c>
      <c r="G64" s="22" t="s">
        <v>371</v>
      </c>
    </row>
    <row r="65" spans="6:7">
      <c r="F65" s="22" t="s">
        <v>374</v>
      </c>
      <c r="G65" s="22" t="s">
        <v>371</v>
      </c>
    </row>
    <row r="66" spans="6:7">
      <c r="F66" s="22" t="s">
        <v>372</v>
      </c>
      <c r="G66" s="22" t="s">
        <v>373</v>
      </c>
    </row>
    <row r="67" spans="6:7">
      <c r="F67" s="22" t="s">
        <v>375</v>
      </c>
      <c r="G67" s="22" t="s">
        <v>373</v>
      </c>
    </row>
    <row r="68" spans="6:7">
      <c r="F68" s="22" t="s">
        <v>375</v>
      </c>
      <c r="G68" s="22" t="s">
        <v>373</v>
      </c>
    </row>
    <row r="69" spans="6:7">
      <c r="F69" s="22" t="s">
        <v>376</v>
      </c>
      <c r="G69" s="22"/>
    </row>
    <row r="70" spans="6:7">
      <c r="F70" s="22" t="s">
        <v>376</v>
      </c>
      <c r="G70" s="22"/>
    </row>
    <row r="71" spans="6:7">
      <c r="F71" s="22" t="s">
        <v>377</v>
      </c>
      <c r="G71" s="22" t="s">
        <v>378</v>
      </c>
    </row>
    <row r="72" spans="6:7">
      <c r="F72" s="22" t="s">
        <v>377</v>
      </c>
      <c r="G72" s="22" t="s">
        <v>378</v>
      </c>
    </row>
    <row r="73" spans="6:7">
      <c r="F73" s="22" t="s">
        <v>379</v>
      </c>
      <c r="G73" s="22" t="s">
        <v>369</v>
      </c>
    </row>
    <row r="74" spans="6:7">
      <c r="F74" s="22" t="s">
        <v>379</v>
      </c>
      <c r="G74" s="22" t="s">
        <v>369</v>
      </c>
    </row>
    <row r="75" spans="6:7">
      <c r="F75" s="22" t="s">
        <v>380</v>
      </c>
      <c r="G75" s="22" t="s">
        <v>381</v>
      </c>
    </row>
    <row r="76" spans="6:7">
      <c r="F76" s="22" t="s">
        <v>380</v>
      </c>
      <c r="G76" s="22" t="s">
        <v>381</v>
      </c>
    </row>
    <row r="77" spans="6:7">
      <c r="F77" s="22" t="s">
        <v>382</v>
      </c>
      <c r="G77" s="22" t="s">
        <v>381</v>
      </c>
    </row>
    <row r="78" spans="6:7">
      <c r="F78" s="22" t="s">
        <v>382</v>
      </c>
      <c r="G78" s="22" t="s">
        <v>381</v>
      </c>
    </row>
    <row r="79" spans="6:7">
      <c r="F79" s="22" t="s">
        <v>370</v>
      </c>
      <c r="G79" s="22" t="s">
        <v>371</v>
      </c>
    </row>
    <row r="80" spans="6:7">
      <c r="F80" s="22" t="s">
        <v>370</v>
      </c>
      <c r="G80" s="22" t="s">
        <v>373</v>
      </c>
    </row>
    <row r="81" spans="6:7">
      <c r="F81" s="22" t="s">
        <v>374</v>
      </c>
      <c r="G81" s="22" t="s">
        <v>371</v>
      </c>
    </row>
    <row r="82" spans="6:7">
      <c r="F82" s="22" t="s">
        <v>374</v>
      </c>
      <c r="G82" s="22" t="s">
        <v>373</v>
      </c>
    </row>
    <row r="83" spans="6:7">
      <c r="F83" s="22" t="s">
        <v>372</v>
      </c>
      <c r="G83" s="22" t="s">
        <v>373</v>
      </c>
    </row>
    <row r="84" spans="6:7">
      <c r="F84" s="22" t="s">
        <v>372</v>
      </c>
      <c r="G84" s="22" t="s">
        <v>373</v>
      </c>
    </row>
    <row r="85" spans="6:7">
      <c r="F85" s="22" t="s">
        <v>375</v>
      </c>
      <c r="G85" s="22" t="s">
        <v>373</v>
      </c>
    </row>
    <row r="86" spans="6:7">
      <c r="F86" s="22" t="s">
        <v>375</v>
      </c>
      <c r="G86" s="22" t="s">
        <v>373</v>
      </c>
    </row>
    <row r="87" spans="6:7">
      <c r="F87" s="22" t="s">
        <v>380</v>
      </c>
      <c r="G87" s="22" t="s">
        <v>381</v>
      </c>
    </row>
    <row r="88" spans="6:7">
      <c r="F88" s="22" t="s">
        <v>380</v>
      </c>
      <c r="G88" s="22" t="s">
        <v>381</v>
      </c>
    </row>
    <row r="89" spans="6:7">
      <c r="F89" s="22" t="s">
        <v>382</v>
      </c>
      <c r="G89" s="22" t="s">
        <v>381</v>
      </c>
    </row>
    <row r="90" spans="6:7">
      <c r="F90" s="22" t="s">
        <v>382</v>
      </c>
      <c r="G90" s="22" t="s">
        <v>381</v>
      </c>
    </row>
    <row r="91" spans="6:7">
      <c r="F91" s="22" t="s">
        <v>370</v>
      </c>
      <c r="G91" s="22" t="s">
        <v>381</v>
      </c>
    </row>
    <row r="92" spans="6:7">
      <c r="F92" s="22" t="s">
        <v>383</v>
      </c>
      <c r="G92" s="22" t="s">
        <v>381</v>
      </c>
    </row>
    <row r="93" spans="6:7">
      <c r="F93" s="22" t="s">
        <v>384</v>
      </c>
      <c r="G93" s="22" t="s">
        <v>381</v>
      </c>
    </row>
    <row r="94" spans="6:7">
      <c r="F94" s="22" t="s">
        <v>323</v>
      </c>
      <c r="G94" s="22" t="s">
        <v>2</v>
      </c>
    </row>
    <row r="95" spans="6:7">
      <c r="F95" s="22" t="s">
        <v>323</v>
      </c>
      <c r="G95" s="22" t="s">
        <v>2</v>
      </c>
    </row>
    <row r="96" spans="6:7">
      <c r="F96" s="22" t="s">
        <v>385</v>
      </c>
      <c r="G96" s="22" t="s">
        <v>386</v>
      </c>
    </row>
    <row r="97" spans="6:7">
      <c r="F97" s="22" t="s">
        <v>387</v>
      </c>
      <c r="G97" s="22" t="s">
        <v>388</v>
      </c>
    </row>
    <row r="98" spans="6:7">
      <c r="F98" s="22" t="s">
        <v>2139</v>
      </c>
      <c r="G98" s="22" t="s">
        <v>2139</v>
      </c>
    </row>
    <row r="99" spans="6:7">
      <c r="F99" s="22" t="s">
        <v>196</v>
      </c>
      <c r="G99" s="22" t="s">
        <v>389</v>
      </c>
    </row>
    <row r="100" spans="6:7">
      <c r="F100" s="22" t="s">
        <v>390</v>
      </c>
      <c r="G100" s="22" t="s">
        <v>391</v>
      </c>
    </row>
    <row r="101" spans="6:7">
      <c r="F101" s="22" t="s">
        <v>329</v>
      </c>
      <c r="G101" s="22" t="s">
        <v>329</v>
      </c>
    </row>
    <row r="102" spans="6:7">
      <c r="F102" s="22" t="s">
        <v>331</v>
      </c>
      <c r="G102" s="22" t="s">
        <v>331</v>
      </c>
    </row>
    <row r="103" spans="6:7">
      <c r="F103" s="22" t="s">
        <v>316</v>
      </c>
      <c r="G103" s="22" t="s">
        <v>272</v>
      </c>
    </row>
    <row r="104" spans="6:7">
      <c r="F104" s="22" t="s">
        <v>1857</v>
      </c>
      <c r="G104" s="22" t="s">
        <v>1854</v>
      </c>
    </row>
    <row r="105" spans="6:7">
      <c r="F105" s="22" t="s">
        <v>1675</v>
      </c>
      <c r="G105" s="22" t="s">
        <v>350</v>
      </c>
    </row>
    <row r="106" spans="6:7">
      <c r="F106" s="22" t="s">
        <v>1675</v>
      </c>
      <c r="G106" s="22" t="s">
        <v>350</v>
      </c>
    </row>
    <row r="107" spans="6:7">
      <c r="F107" s="22" t="s">
        <v>1727</v>
      </c>
      <c r="G107" s="22" t="s">
        <v>1717</v>
      </c>
    </row>
    <row r="108" spans="6:7">
      <c r="F108" s="22" t="s">
        <v>1727</v>
      </c>
      <c r="G108" s="22" t="s">
        <v>1717</v>
      </c>
    </row>
    <row r="109" spans="6:7">
      <c r="F109" s="22" t="s">
        <v>1728</v>
      </c>
      <c r="G109" s="22" t="s">
        <v>1676</v>
      </c>
    </row>
    <row r="110" spans="6:7">
      <c r="F110" s="22" t="s">
        <v>1755</v>
      </c>
      <c r="G110" s="22" t="s">
        <v>1751</v>
      </c>
    </row>
    <row r="111" spans="6:7">
      <c r="F111" s="22" t="s">
        <v>1756</v>
      </c>
      <c r="G111" s="22" t="s">
        <v>1750</v>
      </c>
    </row>
    <row r="112" spans="6:7">
      <c r="F112" s="22" t="s">
        <v>1856</v>
      </c>
      <c r="G112" s="22" t="s">
        <v>1855</v>
      </c>
    </row>
    <row r="113" spans="6:7">
      <c r="F113" s="22" t="s">
        <v>1766</v>
      </c>
      <c r="G113" s="22" t="s">
        <v>1762</v>
      </c>
    </row>
    <row r="114" spans="6:7">
      <c r="F114" s="22" t="s">
        <v>1766</v>
      </c>
      <c r="G114" s="22" t="s">
        <v>1762</v>
      </c>
    </row>
    <row r="115" spans="6:7">
      <c r="F115" s="22" t="s">
        <v>1767</v>
      </c>
      <c r="G115" s="22" t="s">
        <v>1762</v>
      </c>
    </row>
    <row r="116" spans="6:7">
      <c r="F116" s="22" t="s">
        <v>1767</v>
      </c>
      <c r="G116" s="22" t="s">
        <v>1762</v>
      </c>
    </row>
    <row r="117" spans="6:7">
      <c r="F117" s="22" t="s">
        <v>1765</v>
      </c>
      <c r="G117" s="22" t="s">
        <v>1761</v>
      </c>
    </row>
    <row r="118" spans="6:7">
      <c r="F118" s="22" t="s">
        <v>1765</v>
      </c>
      <c r="G118" s="22" t="s">
        <v>1761</v>
      </c>
    </row>
    <row r="119" spans="6:7">
      <c r="F119" s="22" t="s">
        <v>1758</v>
      </c>
      <c r="G119" s="22" t="s">
        <v>1744</v>
      </c>
    </row>
    <row r="120" spans="6:7">
      <c r="F120" s="22" t="s">
        <v>1758</v>
      </c>
      <c r="G120" s="22" t="s">
        <v>1744</v>
      </c>
    </row>
    <row r="121" spans="6:7">
      <c r="F121" s="22" t="s">
        <v>1768</v>
      </c>
      <c r="G121" s="22" t="s">
        <v>1744</v>
      </c>
    </row>
    <row r="122" spans="6:7">
      <c r="F122" s="22" t="s">
        <v>1768</v>
      </c>
      <c r="G122" s="22" t="s">
        <v>1744</v>
      </c>
    </row>
    <row r="123" spans="6:7">
      <c r="F123" s="22" t="s">
        <v>1760</v>
      </c>
      <c r="G123" s="22" t="s">
        <v>1764</v>
      </c>
    </row>
    <row r="124" spans="6:7">
      <c r="F124" s="22" t="s">
        <v>1776</v>
      </c>
      <c r="G124" s="22" t="s">
        <v>1744</v>
      </c>
    </row>
    <row r="125" spans="6:7">
      <c r="F125" s="22" t="s">
        <v>1776</v>
      </c>
      <c r="G125" s="22" t="s">
        <v>1744</v>
      </c>
    </row>
    <row r="126" spans="6:7">
      <c r="F126" s="22" t="s">
        <v>1858</v>
      </c>
      <c r="G126" s="22" t="s">
        <v>1853</v>
      </c>
    </row>
    <row r="127" spans="6:7">
      <c r="F127" s="22" t="s">
        <v>1865</v>
      </c>
      <c r="G127" s="22" t="s">
        <v>1853</v>
      </c>
    </row>
    <row r="128" spans="6:7">
      <c r="F128" s="22" t="s">
        <v>1864</v>
      </c>
      <c r="G128" s="22" t="s">
        <v>1854</v>
      </c>
    </row>
    <row r="129" spans="6:7">
      <c r="F129" s="22" t="s">
        <v>1866</v>
      </c>
      <c r="G129" s="22" t="s">
        <v>1852</v>
      </c>
    </row>
    <row r="130" spans="6:7">
      <c r="F130" s="22" t="s">
        <v>1862</v>
      </c>
      <c r="G130" s="22" t="s">
        <v>1761</v>
      </c>
    </row>
    <row r="131" spans="6:7">
      <c r="F131" s="22" t="s">
        <v>1863</v>
      </c>
      <c r="G131" s="22" t="s">
        <v>1761</v>
      </c>
    </row>
    <row r="132" spans="6:7">
      <c r="F132" s="22" t="s">
        <v>1860</v>
      </c>
      <c r="G132" s="22" t="s">
        <v>1742</v>
      </c>
    </row>
    <row r="133" spans="6:7">
      <c r="F133" s="22" t="s">
        <v>1861</v>
      </c>
      <c r="G133" s="22" t="s">
        <v>1859</v>
      </c>
    </row>
    <row r="134" spans="6:7">
      <c r="F134" s="22" t="s">
        <v>1868</v>
      </c>
      <c r="G134" s="22" t="s">
        <v>1853</v>
      </c>
    </row>
    <row r="135" spans="6:7">
      <c r="F135" s="22" t="s">
        <v>1869</v>
      </c>
      <c r="G135" s="22" t="s">
        <v>1853</v>
      </c>
    </row>
    <row r="136" spans="6:7">
      <c r="F136" s="22" t="s">
        <v>1867</v>
      </c>
      <c r="G136" s="22" t="s">
        <v>1854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8" t="s">
        <v>426</v>
      </c>
      <c r="B1" s="198" t="s">
        <v>427</v>
      </c>
      <c r="C1" s="198" t="s">
        <v>428</v>
      </c>
      <c r="D1" s="198" t="s">
        <v>429</v>
      </c>
      <c r="E1" s="198" t="s">
        <v>430</v>
      </c>
      <c r="F1" s="198" t="s">
        <v>431</v>
      </c>
      <c r="G1" s="198" t="s">
        <v>432</v>
      </c>
    </row>
    <row r="2" spans="1:7" hidden="1">
      <c r="A2" s="199" t="s">
        <v>433</v>
      </c>
      <c r="B2" s="200">
        <v>3</v>
      </c>
      <c r="C2" s="200">
        <v>0</v>
      </c>
      <c r="D2" s="201" t="s">
        <v>283</v>
      </c>
      <c r="E2" s="201" t="s">
        <v>315</v>
      </c>
      <c r="F2" s="200" t="s">
        <v>394</v>
      </c>
      <c r="G2" s="200" t="s">
        <v>434</v>
      </c>
    </row>
    <row r="3" spans="1:7">
      <c r="A3" s="199" t="s">
        <v>433</v>
      </c>
      <c r="B3" s="200">
        <v>-3</v>
      </c>
      <c r="C3" s="200">
        <v>0</v>
      </c>
      <c r="D3" s="201" t="s">
        <v>282</v>
      </c>
      <c r="E3" s="201" t="s">
        <v>315</v>
      </c>
      <c r="F3" s="200" t="s">
        <v>394</v>
      </c>
      <c r="G3" s="200" t="s">
        <v>434</v>
      </c>
    </row>
    <row r="4" spans="1:7" hidden="1">
      <c r="A4" s="199" t="s">
        <v>435</v>
      </c>
      <c r="B4" s="200">
        <v>1</v>
      </c>
      <c r="C4" s="200">
        <v>0</v>
      </c>
      <c r="D4" s="201" t="s">
        <v>283</v>
      </c>
      <c r="E4" s="201" t="s">
        <v>315</v>
      </c>
      <c r="F4" s="200" t="s">
        <v>394</v>
      </c>
      <c r="G4" s="200" t="s">
        <v>434</v>
      </c>
    </row>
    <row r="5" spans="1:7">
      <c r="A5" s="199" t="s">
        <v>435</v>
      </c>
      <c r="B5" s="200">
        <v>-1</v>
      </c>
      <c r="C5" s="200">
        <v>0</v>
      </c>
      <c r="D5" s="201" t="s">
        <v>282</v>
      </c>
      <c r="E5" s="201" t="s">
        <v>315</v>
      </c>
      <c r="F5" s="200" t="s">
        <v>394</v>
      </c>
      <c r="G5" s="200" t="s">
        <v>434</v>
      </c>
    </row>
    <row r="6" spans="1:7" hidden="1">
      <c r="A6" s="199" t="s">
        <v>436</v>
      </c>
      <c r="B6" s="200">
        <v>-75</v>
      </c>
      <c r="C6" s="200">
        <v>0</v>
      </c>
      <c r="D6" s="201" t="s">
        <v>437</v>
      </c>
      <c r="E6" s="201" t="s">
        <v>315</v>
      </c>
      <c r="F6" s="200" t="s">
        <v>394</v>
      </c>
      <c r="G6" s="200" t="s">
        <v>434</v>
      </c>
    </row>
    <row r="7" spans="1:7" hidden="1">
      <c r="A7" s="199" t="s">
        <v>436</v>
      </c>
      <c r="B7" s="200">
        <v>75</v>
      </c>
      <c r="C7" s="200">
        <v>0</v>
      </c>
      <c r="D7" s="201" t="s">
        <v>437</v>
      </c>
      <c r="E7" s="201" t="s">
        <v>315</v>
      </c>
      <c r="F7" s="200" t="s">
        <v>396</v>
      </c>
      <c r="G7" s="200" t="s">
        <v>434</v>
      </c>
    </row>
    <row r="8" spans="1:7" hidden="1">
      <c r="A8" s="199" t="s">
        <v>438</v>
      </c>
      <c r="B8" s="200">
        <v>2246</v>
      </c>
      <c r="C8" s="200">
        <v>0</v>
      </c>
      <c r="D8" s="201" t="s">
        <v>283</v>
      </c>
      <c r="E8" s="201" t="s">
        <v>439</v>
      </c>
      <c r="F8" s="200" t="s">
        <v>394</v>
      </c>
      <c r="G8" s="200" t="s">
        <v>434</v>
      </c>
    </row>
    <row r="9" spans="1:7">
      <c r="A9" s="199" t="s">
        <v>438</v>
      </c>
      <c r="B9" s="200">
        <v>-2246</v>
      </c>
      <c r="C9" s="200">
        <v>0</v>
      </c>
      <c r="D9" s="201" t="s">
        <v>282</v>
      </c>
      <c r="E9" s="201" t="s">
        <v>439</v>
      </c>
      <c r="F9" s="200" t="s">
        <v>394</v>
      </c>
      <c r="G9" s="200" t="s">
        <v>434</v>
      </c>
    </row>
    <row r="10" spans="1:7">
      <c r="A10" s="199" t="s">
        <v>438</v>
      </c>
      <c r="B10" s="200">
        <v>4492</v>
      </c>
      <c r="C10" s="200">
        <v>0</v>
      </c>
      <c r="D10" s="201" t="s">
        <v>282</v>
      </c>
      <c r="E10" s="201" t="s">
        <v>439</v>
      </c>
      <c r="F10" s="200" t="s">
        <v>393</v>
      </c>
      <c r="G10" s="200" t="s">
        <v>434</v>
      </c>
    </row>
    <row r="11" spans="1:7" hidden="1">
      <c r="A11" s="199" t="s">
        <v>79</v>
      </c>
      <c r="B11" s="200">
        <v>-12900</v>
      </c>
      <c r="C11" s="200">
        <v>0</v>
      </c>
      <c r="D11" s="201" t="s">
        <v>440</v>
      </c>
      <c r="E11" s="201" t="s">
        <v>317</v>
      </c>
      <c r="F11" s="200" t="s">
        <v>394</v>
      </c>
      <c r="G11" s="200" t="s">
        <v>434</v>
      </c>
    </row>
    <row r="12" spans="1:7" hidden="1">
      <c r="A12" s="199" t="s">
        <v>79</v>
      </c>
      <c r="B12" s="200">
        <v>12900</v>
      </c>
      <c r="C12" s="200">
        <v>0</v>
      </c>
      <c r="D12" s="201" t="s">
        <v>440</v>
      </c>
      <c r="E12" s="201" t="s">
        <v>317</v>
      </c>
      <c r="F12" s="200" t="s">
        <v>441</v>
      </c>
      <c r="G12" s="200" t="s">
        <v>434</v>
      </c>
    </row>
    <row r="13" spans="1:7" hidden="1">
      <c r="A13" s="199" t="s">
        <v>79</v>
      </c>
      <c r="B13" s="200">
        <v>-140410</v>
      </c>
      <c r="C13" s="200">
        <v>0</v>
      </c>
      <c r="D13" s="201" t="s">
        <v>437</v>
      </c>
      <c r="E13" s="201" t="s">
        <v>317</v>
      </c>
      <c r="F13" s="200" t="s">
        <v>394</v>
      </c>
      <c r="G13" s="200" t="s">
        <v>434</v>
      </c>
    </row>
    <row r="14" spans="1:7" hidden="1">
      <c r="A14" s="199" t="s">
        <v>79</v>
      </c>
      <c r="B14" s="200">
        <v>140410</v>
      </c>
      <c r="C14" s="200">
        <v>0</v>
      </c>
      <c r="D14" s="201" t="s">
        <v>437</v>
      </c>
      <c r="E14" s="201" t="s">
        <v>317</v>
      </c>
      <c r="F14" s="200" t="s">
        <v>441</v>
      </c>
      <c r="G14" s="200" t="s">
        <v>434</v>
      </c>
    </row>
    <row r="15" spans="1:7">
      <c r="A15" s="199" t="s">
        <v>79</v>
      </c>
      <c r="B15" s="200">
        <v>152364</v>
      </c>
      <c r="C15" s="200">
        <v>0</v>
      </c>
      <c r="D15" s="201" t="s">
        <v>282</v>
      </c>
      <c r="E15" s="201" t="s">
        <v>317</v>
      </c>
      <c r="F15" s="200" t="s">
        <v>394</v>
      </c>
      <c r="G15" s="200" t="s">
        <v>434</v>
      </c>
    </row>
    <row r="16" spans="1:7">
      <c r="A16" s="199" t="s">
        <v>79</v>
      </c>
      <c r="B16" s="200">
        <v>-1369</v>
      </c>
      <c r="C16" s="200">
        <v>0</v>
      </c>
      <c r="D16" s="201" t="s">
        <v>282</v>
      </c>
      <c r="E16" s="201" t="s">
        <v>317</v>
      </c>
      <c r="F16" s="200" t="s">
        <v>393</v>
      </c>
      <c r="G16" s="200" t="s">
        <v>434</v>
      </c>
    </row>
    <row r="17" spans="1:7">
      <c r="A17" s="199" t="s">
        <v>79</v>
      </c>
      <c r="B17" s="200">
        <v>463</v>
      </c>
      <c r="C17" s="200">
        <v>0</v>
      </c>
      <c r="D17" s="201" t="s">
        <v>282</v>
      </c>
      <c r="E17" s="201" t="s">
        <v>317</v>
      </c>
      <c r="F17" s="200" t="s">
        <v>413</v>
      </c>
      <c r="G17" s="200" t="s">
        <v>434</v>
      </c>
    </row>
    <row r="18" spans="1:7">
      <c r="A18" s="199" t="s">
        <v>79</v>
      </c>
      <c r="B18" s="200">
        <v>926</v>
      </c>
      <c r="C18" s="200">
        <v>0</v>
      </c>
      <c r="D18" s="201" t="s">
        <v>282</v>
      </c>
      <c r="E18" s="201" t="s">
        <v>317</v>
      </c>
      <c r="F18" s="200" t="s">
        <v>403</v>
      </c>
      <c r="G18" s="200" t="s">
        <v>434</v>
      </c>
    </row>
    <row r="19" spans="1:7">
      <c r="A19" s="199" t="s">
        <v>79</v>
      </c>
      <c r="B19" s="200">
        <v>-153310</v>
      </c>
      <c r="C19" s="200">
        <v>0</v>
      </c>
      <c r="D19" s="201" t="s">
        <v>282</v>
      </c>
      <c r="E19" s="201" t="s">
        <v>317</v>
      </c>
      <c r="F19" s="200" t="s">
        <v>441</v>
      </c>
      <c r="G19" s="200" t="s">
        <v>434</v>
      </c>
    </row>
    <row r="20" spans="1:7">
      <c r="A20" s="199" t="s">
        <v>79</v>
      </c>
      <c r="B20" s="200">
        <v>926</v>
      </c>
      <c r="C20" s="200">
        <v>0</v>
      </c>
      <c r="D20" s="201" t="s">
        <v>282</v>
      </c>
      <c r="E20" s="201" t="s">
        <v>317</v>
      </c>
      <c r="F20" s="200" t="s">
        <v>411</v>
      </c>
      <c r="G20" s="200" t="s">
        <v>434</v>
      </c>
    </row>
    <row r="21" spans="1:7" hidden="1">
      <c r="A21" s="199" t="s">
        <v>79</v>
      </c>
      <c r="B21" s="200">
        <v>-816</v>
      </c>
      <c r="C21" s="200">
        <v>0</v>
      </c>
      <c r="D21" s="201" t="s">
        <v>442</v>
      </c>
      <c r="E21" s="201" t="s">
        <v>317</v>
      </c>
      <c r="F21" s="200" t="s">
        <v>394</v>
      </c>
      <c r="G21" s="200" t="s">
        <v>434</v>
      </c>
    </row>
    <row r="22" spans="1:7" hidden="1">
      <c r="A22" s="199" t="s">
        <v>443</v>
      </c>
      <c r="B22" s="200">
        <v>3969950</v>
      </c>
      <c r="C22" s="200">
        <v>0</v>
      </c>
      <c r="D22" s="201" t="s">
        <v>440</v>
      </c>
      <c r="E22" s="201" t="s">
        <v>39</v>
      </c>
      <c r="F22" s="200" t="s">
        <v>394</v>
      </c>
      <c r="G22" s="200" t="s">
        <v>434</v>
      </c>
    </row>
    <row r="23" spans="1:7">
      <c r="A23" s="199" t="s">
        <v>444</v>
      </c>
      <c r="B23" s="200">
        <v>20375</v>
      </c>
      <c r="C23" s="200">
        <v>0</v>
      </c>
      <c r="D23" s="201" t="s">
        <v>282</v>
      </c>
      <c r="E23" s="201" t="s">
        <v>317</v>
      </c>
      <c r="F23" s="200" t="s">
        <v>394</v>
      </c>
      <c r="G23" s="200" t="s">
        <v>434</v>
      </c>
    </row>
    <row r="24" spans="1:7">
      <c r="A24" s="199" t="s">
        <v>444</v>
      </c>
      <c r="B24" s="200">
        <v>9446</v>
      </c>
      <c r="C24" s="200">
        <v>0</v>
      </c>
      <c r="D24" s="201" t="s">
        <v>282</v>
      </c>
      <c r="E24" s="201" t="s">
        <v>317</v>
      </c>
      <c r="F24" s="200" t="s">
        <v>445</v>
      </c>
      <c r="G24" s="200" t="s">
        <v>434</v>
      </c>
    </row>
    <row r="25" spans="1:7">
      <c r="A25" s="199" t="s">
        <v>444</v>
      </c>
      <c r="B25" s="200">
        <v>-29821</v>
      </c>
      <c r="C25" s="200">
        <v>0</v>
      </c>
      <c r="D25" s="201" t="s">
        <v>282</v>
      </c>
      <c r="E25" s="201" t="s">
        <v>317</v>
      </c>
      <c r="F25" s="200" t="s">
        <v>393</v>
      </c>
      <c r="G25" s="200" t="s">
        <v>434</v>
      </c>
    </row>
    <row r="26" spans="1:7">
      <c r="A26" s="199" t="s">
        <v>446</v>
      </c>
      <c r="B26" s="200">
        <v>-141540</v>
      </c>
      <c r="C26" s="200">
        <v>0</v>
      </c>
      <c r="D26" s="201" t="s">
        <v>282</v>
      </c>
      <c r="E26" s="201" t="s">
        <v>447</v>
      </c>
      <c r="F26" s="200" t="s">
        <v>394</v>
      </c>
      <c r="G26" s="200" t="s">
        <v>434</v>
      </c>
    </row>
    <row r="27" spans="1:7">
      <c r="A27" s="199" t="s">
        <v>446</v>
      </c>
      <c r="B27" s="200">
        <v>141540</v>
      </c>
      <c r="C27" s="200">
        <v>0</v>
      </c>
      <c r="D27" s="201" t="s">
        <v>282</v>
      </c>
      <c r="E27" s="201" t="s">
        <v>447</v>
      </c>
      <c r="F27" s="200" t="s">
        <v>397</v>
      </c>
      <c r="G27" s="200" t="s">
        <v>434</v>
      </c>
    </row>
    <row r="28" spans="1:7">
      <c r="A28" s="199" t="s">
        <v>448</v>
      </c>
      <c r="B28" s="200">
        <v>2454</v>
      </c>
      <c r="C28" s="200">
        <v>0</v>
      </c>
      <c r="D28" s="201" t="s">
        <v>282</v>
      </c>
      <c r="E28" s="201" t="s">
        <v>317</v>
      </c>
      <c r="F28" s="200" t="s">
        <v>394</v>
      </c>
      <c r="G28" s="200" t="s">
        <v>434</v>
      </c>
    </row>
    <row r="29" spans="1:7">
      <c r="A29" s="199" t="s">
        <v>448</v>
      </c>
      <c r="B29" s="200">
        <v>-2454</v>
      </c>
      <c r="C29" s="200">
        <v>0</v>
      </c>
      <c r="D29" s="201" t="s">
        <v>282</v>
      </c>
      <c r="E29" s="201" t="s">
        <v>317</v>
      </c>
      <c r="F29" s="200" t="s">
        <v>449</v>
      </c>
      <c r="G29" s="200" t="s">
        <v>434</v>
      </c>
    </row>
    <row r="30" spans="1:7" hidden="1">
      <c r="A30" s="199" t="s">
        <v>399</v>
      </c>
      <c r="B30" s="200">
        <v>32740</v>
      </c>
      <c r="C30" s="200">
        <v>0</v>
      </c>
      <c r="D30" s="201" t="s">
        <v>437</v>
      </c>
      <c r="E30" s="201" t="s">
        <v>317</v>
      </c>
      <c r="F30" s="200" t="s">
        <v>394</v>
      </c>
      <c r="G30" s="200" t="s">
        <v>434</v>
      </c>
    </row>
    <row r="31" spans="1:7" hidden="1">
      <c r="A31" s="199" t="s">
        <v>399</v>
      </c>
      <c r="B31" s="200">
        <v>-32740</v>
      </c>
      <c r="C31" s="200">
        <v>0</v>
      </c>
      <c r="D31" s="201" t="s">
        <v>437</v>
      </c>
      <c r="E31" s="201" t="s">
        <v>317</v>
      </c>
      <c r="F31" s="200" t="s">
        <v>441</v>
      </c>
      <c r="G31" s="200" t="s">
        <v>434</v>
      </c>
    </row>
    <row r="32" spans="1:7">
      <c r="A32" s="199" t="s">
        <v>399</v>
      </c>
      <c r="B32" s="200">
        <v>-1700</v>
      </c>
      <c r="C32" s="200">
        <v>0</v>
      </c>
      <c r="D32" s="201" t="s">
        <v>282</v>
      </c>
      <c r="E32" s="201" t="s">
        <v>317</v>
      </c>
      <c r="F32" s="200" t="s">
        <v>412</v>
      </c>
      <c r="G32" s="200" t="s">
        <v>434</v>
      </c>
    </row>
    <row r="33" spans="1:7">
      <c r="A33" s="199" t="s">
        <v>399</v>
      </c>
      <c r="B33" s="200">
        <v>-20659</v>
      </c>
      <c r="C33" s="200">
        <v>0</v>
      </c>
      <c r="D33" s="201" t="s">
        <v>282</v>
      </c>
      <c r="E33" s="201" t="s">
        <v>317</v>
      </c>
      <c r="F33" s="200" t="s">
        <v>394</v>
      </c>
      <c r="G33" s="200" t="s">
        <v>434</v>
      </c>
    </row>
    <row r="34" spans="1:7">
      <c r="A34" s="199" t="s">
        <v>399</v>
      </c>
      <c r="B34" s="200">
        <v>-6492</v>
      </c>
      <c r="C34" s="200">
        <v>0</v>
      </c>
      <c r="D34" s="201" t="s">
        <v>282</v>
      </c>
      <c r="E34" s="201" t="s">
        <v>317</v>
      </c>
      <c r="F34" s="200" t="s">
        <v>408</v>
      </c>
      <c r="G34" s="200" t="s">
        <v>434</v>
      </c>
    </row>
    <row r="35" spans="1:7">
      <c r="A35" s="199" t="s">
        <v>399</v>
      </c>
      <c r="B35" s="200">
        <v>-8521</v>
      </c>
      <c r="C35" s="200">
        <v>0</v>
      </c>
      <c r="D35" s="201" t="s">
        <v>282</v>
      </c>
      <c r="E35" s="201" t="s">
        <v>317</v>
      </c>
      <c r="F35" s="200" t="s">
        <v>393</v>
      </c>
      <c r="G35" s="200" t="s">
        <v>434</v>
      </c>
    </row>
    <row r="36" spans="1:7">
      <c r="A36" s="199" t="s">
        <v>399</v>
      </c>
      <c r="B36" s="200">
        <v>4632</v>
      </c>
      <c r="C36" s="200">
        <v>0</v>
      </c>
      <c r="D36" s="201" t="s">
        <v>282</v>
      </c>
      <c r="E36" s="201" t="s">
        <v>317</v>
      </c>
      <c r="F36" s="200" t="s">
        <v>413</v>
      </c>
      <c r="G36" s="200" t="s">
        <v>434</v>
      </c>
    </row>
    <row r="37" spans="1:7">
      <c r="A37" s="199" t="s">
        <v>399</v>
      </c>
      <c r="B37" s="200">
        <v>32740</v>
      </c>
      <c r="C37" s="200">
        <v>0</v>
      </c>
      <c r="D37" s="201" t="s">
        <v>282</v>
      </c>
      <c r="E37" s="201" t="s">
        <v>317</v>
      </c>
      <c r="F37" s="200" t="s">
        <v>441</v>
      </c>
      <c r="G37" s="200" t="s">
        <v>434</v>
      </c>
    </row>
    <row r="38" spans="1:7" hidden="1">
      <c r="A38" s="199" t="s">
        <v>399</v>
      </c>
      <c r="B38" s="200">
        <v>1933</v>
      </c>
      <c r="C38" s="200">
        <v>0</v>
      </c>
      <c r="D38" s="201" t="s">
        <v>442</v>
      </c>
      <c r="E38" s="201" t="s">
        <v>317</v>
      </c>
      <c r="F38" s="200" t="s">
        <v>394</v>
      </c>
      <c r="G38" s="200" t="s">
        <v>434</v>
      </c>
    </row>
    <row r="39" spans="1:7">
      <c r="A39" s="199" t="s">
        <v>450</v>
      </c>
      <c r="B39" s="200">
        <v>324</v>
      </c>
      <c r="C39" s="200">
        <v>0</v>
      </c>
      <c r="D39" s="201" t="s">
        <v>282</v>
      </c>
      <c r="E39" s="201" t="s">
        <v>319</v>
      </c>
      <c r="F39" s="200" t="s">
        <v>408</v>
      </c>
      <c r="G39" s="200" t="s">
        <v>434</v>
      </c>
    </row>
    <row r="40" spans="1:7">
      <c r="A40" s="199" t="s">
        <v>450</v>
      </c>
      <c r="B40" s="200">
        <v>-324</v>
      </c>
      <c r="C40" s="200">
        <v>0</v>
      </c>
      <c r="D40" s="201" t="s">
        <v>282</v>
      </c>
      <c r="E40" s="201" t="s">
        <v>319</v>
      </c>
      <c r="F40" s="200" t="s">
        <v>393</v>
      </c>
      <c r="G40" s="200" t="s">
        <v>434</v>
      </c>
    </row>
    <row r="41" spans="1:7">
      <c r="A41" s="199" t="s">
        <v>451</v>
      </c>
      <c r="B41" s="200">
        <v>-324</v>
      </c>
      <c r="C41" s="200">
        <v>0</v>
      </c>
      <c r="D41" s="201" t="s">
        <v>282</v>
      </c>
      <c r="E41" s="201" t="s">
        <v>319</v>
      </c>
      <c r="F41" s="200" t="s">
        <v>408</v>
      </c>
      <c r="G41" s="200" t="s">
        <v>434</v>
      </c>
    </row>
    <row r="42" spans="1:7">
      <c r="A42" s="199" t="s">
        <v>451</v>
      </c>
      <c r="B42" s="200">
        <v>324</v>
      </c>
      <c r="C42" s="200">
        <v>0</v>
      </c>
      <c r="D42" s="201" t="s">
        <v>282</v>
      </c>
      <c r="E42" s="201" t="s">
        <v>319</v>
      </c>
      <c r="F42" s="200" t="s">
        <v>393</v>
      </c>
      <c r="G42" s="200" t="s">
        <v>434</v>
      </c>
    </row>
    <row r="43" spans="1:7" hidden="1">
      <c r="A43" s="199" t="s">
        <v>452</v>
      </c>
      <c r="B43" s="200">
        <v>1.9994331523776054E-8</v>
      </c>
      <c r="C43" s="200">
        <v>0</v>
      </c>
      <c r="D43" s="201" t="s">
        <v>440</v>
      </c>
      <c r="E43" s="201" t="s">
        <v>317</v>
      </c>
      <c r="F43" s="200" t="s">
        <v>394</v>
      </c>
      <c r="G43" s="200" t="s">
        <v>434</v>
      </c>
    </row>
    <row r="44" spans="1:7" hidden="1">
      <c r="A44" s="199" t="s">
        <v>452</v>
      </c>
      <c r="B44" s="200">
        <v>32400</v>
      </c>
      <c r="C44" s="200">
        <v>0</v>
      </c>
      <c r="D44" s="201" t="s">
        <v>442</v>
      </c>
      <c r="E44" s="201" t="s">
        <v>317</v>
      </c>
      <c r="F44" s="200" t="s">
        <v>394</v>
      </c>
      <c r="G44" s="200" t="s">
        <v>434</v>
      </c>
    </row>
    <row r="45" spans="1:7" hidden="1">
      <c r="A45" s="199" t="s">
        <v>38</v>
      </c>
      <c r="B45" s="200">
        <v>4637</v>
      </c>
      <c r="C45" s="200">
        <v>0</v>
      </c>
      <c r="D45" s="201" t="s">
        <v>283</v>
      </c>
      <c r="E45" s="201" t="s">
        <v>320</v>
      </c>
      <c r="F45" s="200" t="s">
        <v>394</v>
      </c>
      <c r="G45" s="200" t="s">
        <v>434</v>
      </c>
    </row>
    <row r="46" spans="1:7" hidden="1">
      <c r="A46" s="199" t="s">
        <v>38</v>
      </c>
      <c r="B46" s="200">
        <v>-4637</v>
      </c>
      <c r="C46" s="200">
        <v>0</v>
      </c>
      <c r="D46" s="201" t="s">
        <v>283</v>
      </c>
      <c r="E46" s="201" t="s">
        <v>320</v>
      </c>
      <c r="F46" s="200" t="s">
        <v>408</v>
      </c>
      <c r="G46" s="200" t="s">
        <v>434</v>
      </c>
    </row>
    <row r="47" spans="1:7">
      <c r="A47" s="199" t="s">
        <v>38</v>
      </c>
      <c r="B47" s="200">
        <v>-10789</v>
      </c>
      <c r="C47" s="200">
        <v>0</v>
      </c>
      <c r="D47" s="201" t="s">
        <v>282</v>
      </c>
      <c r="E47" s="201" t="s">
        <v>320</v>
      </c>
      <c r="F47" s="200" t="s">
        <v>394</v>
      </c>
      <c r="G47" s="200" t="s">
        <v>434</v>
      </c>
    </row>
    <row r="48" spans="1:7">
      <c r="A48" s="199" t="s">
        <v>38</v>
      </c>
      <c r="B48" s="200">
        <v>-4637</v>
      </c>
      <c r="C48" s="200">
        <v>0</v>
      </c>
      <c r="D48" s="201" t="s">
        <v>282</v>
      </c>
      <c r="E48" s="201" t="s">
        <v>320</v>
      </c>
      <c r="F48" s="200" t="s">
        <v>408</v>
      </c>
      <c r="G48" s="200" t="s">
        <v>434</v>
      </c>
    </row>
    <row r="49" spans="1:7">
      <c r="A49" s="199" t="s">
        <v>38</v>
      </c>
      <c r="B49" s="200">
        <v>15426</v>
      </c>
      <c r="C49" s="200">
        <v>0</v>
      </c>
      <c r="D49" s="201" t="s">
        <v>282</v>
      </c>
      <c r="E49" s="201" t="s">
        <v>320</v>
      </c>
      <c r="F49" s="200" t="s">
        <v>449</v>
      </c>
      <c r="G49" s="200" t="s">
        <v>434</v>
      </c>
    </row>
    <row r="50" spans="1:7" hidden="1">
      <c r="A50" s="199" t="s">
        <v>38</v>
      </c>
      <c r="B50" s="200">
        <v>18172</v>
      </c>
      <c r="C50" s="200">
        <v>0</v>
      </c>
      <c r="D50" s="201" t="s">
        <v>442</v>
      </c>
      <c r="E50" s="201" t="s">
        <v>320</v>
      </c>
      <c r="F50" s="200" t="s">
        <v>394</v>
      </c>
      <c r="G50" s="200" t="s">
        <v>434</v>
      </c>
    </row>
    <row r="51" spans="1:7" hidden="1">
      <c r="A51" s="199" t="s">
        <v>453</v>
      </c>
      <c r="B51" s="200">
        <v>8250</v>
      </c>
      <c r="C51" s="200">
        <v>0</v>
      </c>
      <c r="D51" s="201" t="s">
        <v>437</v>
      </c>
      <c r="E51" s="201" t="s">
        <v>324</v>
      </c>
      <c r="F51" s="200" t="s">
        <v>394</v>
      </c>
      <c r="G51" s="200" t="s">
        <v>434</v>
      </c>
    </row>
    <row r="52" spans="1:7" hidden="1">
      <c r="A52" s="199" t="s">
        <v>454</v>
      </c>
      <c r="B52" s="200">
        <v>-8250</v>
      </c>
      <c r="C52" s="200">
        <v>0</v>
      </c>
      <c r="D52" s="201" t="s">
        <v>437</v>
      </c>
      <c r="E52" s="201" t="s">
        <v>324</v>
      </c>
      <c r="F52" s="200" t="s">
        <v>394</v>
      </c>
      <c r="G52" s="200" t="s">
        <v>434</v>
      </c>
    </row>
    <row r="53" spans="1:7" hidden="1">
      <c r="A53" s="199" t="s">
        <v>455</v>
      </c>
      <c r="B53" s="200">
        <v>5217</v>
      </c>
      <c r="C53" s="200">
        <v>0</v>
      </c>
      <c r="D53" s="201" t="s">
        <v>283</v>
      </c>
      <c r="E53" s="201" t="s">
        <v>324</v>
      </c>
      <c r="F53" s="200" t="s">
        <v>394</v>
      </c>
      <c r="G53" s="200" t="s">
        <v>434</v>
      </c>
    </row>
    <row r="54" spans="1:7" hidden="1">
      <c r="A54" s="199" t="s">
        <v>455</v>
      </c>
      <c r="B54" s="200">
        <v>345</v>
      </c>
      <c r="C54" s="200">
        <v>0</v>
      </c>
      <c r="D54" s="201" t="s">
        <v>283</v>
      </c>
      <c r="E54" s="201" t="s">
        <v>324</v>
      </c>
      <c r="F54" s="200" t="s">
        <v>408</v>
      </c>
      <c r="G54" s="200" t="s">
        <v>434</v>
      </c>
    </row>
    <row r="55" spans="1:7">
      <c r="A55" s="199" t="s">
        <v>455</v>
      </c>
      <c r="B55" s="200">
        <v>-806</v>
      </c>
      <c r="C55" s="200">
        <v>0</v>
      </c>
      <c r="D55" s="201" t="s">
        <v>282</v>
      </c>
      <c r="E55" s="201" t="s">
        <v>324</v>
      </c>
      <c r="F55" s="200" t="s">
        <v>394</v>
      </c>
      <c r="G55" s="200" t="s">
        <v>434</v>
      </c>
    </row>
    <row r="56" spans="1:7">
      <c r="A56" s="199" t="s">
        <v>455</v>
      </c>
      <c r="B56" s="200">
        <v>6368</v>
      </c>
      <c r="C56" s="200">
        <v>0</v>
      </c>
      <c r="D56" s="201" t="s">
        <v>282</v>
      </c>
      <c r="E56" s="201" t="s">
        <v>324</v>
      </c>
      <c r="F56" s="200" t="s">
        <v>408</v>
      </c>
      <c r="G56" s="200" t="s">
        <v>434</v>
      </c>
    </row>
    <row r="57" spans="1:7" hidden="1">
      <c r="A57" s="199" t="s">
        <v>456</v>
      </c>
      <c r="B57" s="200">
        <v>-5217</v>
      </c>
      <c r="C57" s="200">
        <v>0</v>
      </c>
      <c r="D57" s="201" t="s">
        <v>283</v>
      </c>
      <c r="E57" s="201" t="s">
        <v>324</v>
      </c>
      <c r="F57" s="200" t="s">
        <v>394</v>
      </c>
      <c r="G57" s="200" t="s">
        <v>434</v>
      </c>
    </row>
    <row r="58" spans="1:7" hidden="1">
      <c r="A58" s="199" t="s">
        <v>456</v>
      </c>
      <c r="B58" s="200">
        <v>-345</v>
      </c>
      <c r="C58" s="200">
        <v>0</v>
      </c>
      <c r="D58" s="201" t="s">
        <v>283</v>
      </c>
      <c r="E58" s="201" t="s">
        <v>324</v>
      </c>
      <c r="F58" s="200" t="s">
        <v>408</v>
      </c>
      <c r="G58" s="200" t="s">
        <v>434</v>
      </c>
    </row>
    <row r="59" spans="1:7">
      <c r="A59" s="199" t="s">
        <v>456</v>
      </c>
      <c r="B59" s="200">
        <v>806</v>
      </c>
      <c r="C59" s="200">
        <v>0</v>
      </c>
      <c r="D59" s="201" t="s">
        <v>282</v>
      </c>
      <c r="E59" s="201" t="s">
        <v>324</v>
      </c>
      <c r="F59" s="200" t="s">
        <v>394</v>
      </c>
      <c r="G59" s="200" t="s">
        <v>434</v>
      </c>
    </row>
    <row r="60" spans="1:7">
      <c r="A60" s="199" t="s">
        <v>456</v>
      </c>
      <c r="B60" s="200">
        <v>-6368</v>
      </c>
      <c r="C60" s="200">
        <v>0</v>
      </c>
      <c r="D60" s="201" t="s">
        <v>282</v>
      </c>
      <c r="E60" s="201" t="s">
        <v>324</v>
      </c>
      <c r="F60" s="200" t="s">
        <v>408</v>
      </c>
      <c r="G60" s="200" t="s">
        <v>434</v>
      </c>
    </row>
    <row r="61" spans="1:7">
      <c r="A61" s="199" t="s">
        <v>457</v>
      </c>
      <c r="B61" s="200">
        <v>-1210</v>
      </c>
      <c r="C61" s="200">
        <v>0</v>
      </c>
      <c r="D61" s="201" t="s">
        <v>282</v>
      </c>
      <c r="E61" s="201" t="s">
        <v>39</v>
      </c>
      <c r="F61" s="200" t="s">
        <v>394</v>
      </c>
      <c r="G61" s="200" t="s">
        <v>434</v>
      </c>
    </row>
    <row r="62" spans="1:7">
      <c r="A62" s="199" t="s">
        <v>457</v>
      </c>
      <c r="B62" s="200">
        <v>1210</v>
      </c>
      <c r="C62" s="200">
        <v>0</v>
      </c>
      <c r="D62" s="201" t="s">
        <v>282</v>
      </c>
      <c r="E62" s="201" t="s">
        <v>39</v>
      </c>
      <c r="F62" s="200" t="s">
        <v>393</v>
      </c>
      <c r="G62" s="200" t="s">
        <v>434</v>
      </c>
    </row>
    <row r="63" spans="1:7" hidden="1">
      <c r="A63" s="199" t="s">
        <v>137</v>
      </c>
      <c r="B63" s="200">
        <v>3060</v>
      </c>
      <c r="C63" s="200">
        <v>0</v>
      </c>
      <c r="D63" s="201" t="s">
        <v>283</v>
      </c>
      <c r="E63" s="201" t="s">
        <v>317</v>
      </c>
      <c r="F63" s="200" t="s">
        <v>394</v>
      </c>
      <c r="G63" s="200" t="s">
        <v>434</v>
      </c>
    </row>
    <row r="64" spans="1:7" hidden="1">
      <c r="A64" s="199" t="s">
        <v>137</v>
      </c>
      <c r="B64" s="200">
        <v>-3061</v>
      </c>
      <c r="C64" s="200">
        <v>0</v>
      </c>
      <c r="D64" s="201" t="s">
        <v>283</v>
      </c>
      <c r="E64" s="201" t="s">
        <v>317</v>
      </c>
      <c r="F64" s="200" t="s">
        <v>441</v>
      </c>
      <c r="G64" s="200" t="s">
        <v>434</v>
      </c>
    </row>
    <row r="65" spans="1:7">
      <c r="A65" s="199" t="s">
        <v>137</v>
      </c>
      <c r="B65" s="200">
        <v>-791</v>
      </c>
      <c r="C65" s="200">
        <v>0</v>
      </c>
      <c r="D65" s="201" t="s">
        <v>282</v>
      </c>
      <c r="E65" s="201" t="s">
        <v>317</v>
      </c>
      <c r="F65" s="200" t="s">
        <v>394</v>
      </c>
      <c r="G65" s="200" t="s">
        <v>434</v>
      </c>
    </row>
    <row r="66" spans="1:7">
      <c r="A66" s="199" t="s">
        <v>137</v>
      </c>
      <c r="B66" s="200">
        <v>-5960</v>
      </c>
      <c r="C66" s="200">
        <v>0</v>
      </c>
      <c r="D66" s="201" t="s">
        <v>282</v>
      </c>
      <c r="E66" s="201" t="s">
        <v>317</v>
      </c>
      <c r="F66" s="200" t="s">
        <v>445</v>
      </c>
      <c r="G66" s="200" t="s">
        <v>434</v>
      </c>
    </row>
    <row r="67" spans="1:7">
      <c r="A67" s="199" t="s">
        <v>137</v>
      </c>
      <c r="B67" s="200">
        <v>2026</v>
      </c>
      <c r="C67" s="200">
        <v>0</v>
      </c>
      <c r="D67" s="201" t="s">
        <v>282</v>
      </c>
      <c r="E67" s="201" t="s">
        <v>317</v>
      </c>
      <c r="F67" s="200" t="s">
        <v>408</v>
      </c>
      <c r="G67" s="200" t="s">
        <v>434</v>
      </c>
    </row>
    <row r="68" spans="1:7">
      <c r="A68" s="199" t="s">
        <v>137</v>
      </c>
      <c r="B68" s="200">
        <v>4445</v>
      </c>
      <c r="C68" s="200">
        <v>0</v>
      </c>
      <c r="D68" s="201" t="s">
        <v>282</v>
      </c>
      <c r="E68" s="201" t="s">
        <v>317</v>
      </c>
      <c r="F68" s="200" t="s">
        <v>393</v>
      </c>
      <c r="G68" s="200" t="s">
        <v>434</v>
      </c>
    </row>
    <row r="69" spans="1:7">
      <c r="A69" s="199" t="s">
        <v>137</v>
      </c>
      <c r="B69" s="200">
        <v>1113</v>
      </c>
      <c r="C69" s="200">
        <v>0</v>
      </c>
      <c r="D69" s="201" t="s">
        <v>282</v>
      </c>
      <c r="E69" s="201" t="s">
        <v>317</v>
      </c>
      <c r="F69" s="200" t="s">
        <v>413</v>
      </c>
      <c r="G69" s="200" t="s">
        <v>434</v>
      </c>
    </row>
    <row r="70" spans="1:7">
      <c r="A70" s="199" t="s">
        <v>137</v>
      </c>
      <c r="B70" s="200">
        <v>-3893</v>
      </c>
      <c r="C70" s="200">
        <v>0</v>
      </c>
      <c r="D70" s="201" t="s">
        <v>282</v>
      </c>
      <c r="E70" s="201" t="s">
        <v>317</v>
      </c>
      <c r="F70" s="200" t="s">
        <v>403</v>
      </c>
      <c r="G70" s="200" t="s">
        <v>434</v>
      </c>
    </row>
    <row r="71" spans="1:7">
      <c r="A71" s="199" t="s">
        <v>137</v>
      </c>
      <c r="B71" s="200">
        <v>3061</v>
      </c>
      <c r="C71" s="200">
        <v>0</v>
      </c>
      <c r="D71" s="201" t="s">
        <v>282</v>
      </c>
      <c r="E71" s="201" t="s">
        <v>317</v>
      </c>
      <c r="F71" s="200" t="s">
        <v>441</v>
      </c>
      <c r="G71" s="200" t="s">
        <v>434</v>
      </c>
    </row>
    <row r="72" spans="1:7">
      <c r="A72" s="199" t="s">
        <v>458</v>
      </c>
      <c r="B72" s="200">
        <v>106</v>
      </c>
      <c r="C72" s="200">
        <v>0</v>
      </c>
      <c r="D72" s="201" t="s">
        <v>282</v>
      </c>
      <c r="E72" s="201" t="s">
        <v>319</v>
      </c>
      <c r="F72" s="200" t="s">
        <v>394</v>
      </c>
      <c r="G72" s="200" t="s">
        <v>434</v>
      </c>
    </row>
    <row r="73" spans="1:7">
      <c r="A73" s="199" t="s">
        <v>458</v>
      </c>
      <c r="B73" s="200">
        <v>-106</v>
      </c>
      <c r="C73" s="200">
        <v>0</v>
      </c>
      <c r="D73" s="201" t="s">
        <v>282</v>
      </c>
      <c r="E73" s="201" t="s">
        <v>319</v>
      </c>
      <c r="F73" s="200" t="s">
        <v>408</v>
      </c>
      <c r="G73" s="200" t="s">
        <v>434</v>
      </c>
    </row>
    <row r="74" spans="1:7">
      <c r="A74" s="199" t="s">
        <v>459</v>
      </c>
      <c r="B74" s="200">
        <v>-106</v>
      </c>
      <c r="C74" s="200">
        <v>0</v>
      </c>
      <c r="D74" s="201" t="s">
        <v>282</v>
      </c>
      <c r="E74" s="201" t="s">
        <v>319</v>
      </c>
      <c r="F74" s="200" t="s">
        <v>394</v>
      </c>
      <c r="G74" s="200" t="s">
        <v>434</v>
      </c>
    </row>
    <row r="75" spans="1:7">
      <c r="A75" s="199" t="s">
        <v>459</v>
      </c>
      <c r="B75" s="200">
        <v>106</v>
      </c>
      <c r="C75" s="200">
        <v>0</v>
      </c>
      <c r="D75" s="201" t="s">
        <v>282</v>
      </c>
      <c r="E75" s="201" t="s">
        <v>319</v>
      </c>
      <c r="F75" s="200" t="s">
        <v>408</v>
      </c>
      <c r="G75" s="200" t="s">
        <v>434</v>
      </c>
    </row>
    <row r="76" spans="1:7">
      <c r="A76" s="199" t="s">
        <v>460</v>
      </c>
      <c r="B76" s="200">
        <v>11328</v>
      </c>
      <c r="C76" s="200">
        <v>0</v>
      </c>
      <c r="D76" s="201" t="s">
        <v>282</v>
      </c>
      <c r="E76" s="201" t="s">
        <v>317</v>
      </c>
      <c r="F76" s="200" t="s">
        <v>394</v>
      </c>
      <c r="G76" s="200" t="s">
        <v>434</v>
      </c>
    </row>
    <row r="77" spans="1:7">
      <c r="A77" s="199" t="s">
        <v>460</v>
      </c>
      <c r="B77" s="200">
        <v>5649</v>
      </c>
      <c r="C77" s="200">
        <v>0</v>
      </c>
      <c r="D77" s="201" t="s">
        <v>282</v>
      </c>
      <c r="E77" s="201" t="s">
        <v>317</v>
      </c>
      <c r="F77" s="200" t="s">
        <v>445</v>
      </c>
      <c r="G77" s="200" t="s">
        <v>434</v>
      </c>
    </row>
    <row r="78" spans="1:7">
      <c r="A78" s="199" t="s">
        <v>460</v>
      </c>
      <c r="B78" s="200">
        <v>-11795</v>
      </c>
      <c r="C78" s="200">
        <v>0</v>
      </c>
      <c r="D78" s="201" t="s">
        <v>282</v>
      </c>
      <c r="E78" s="201" t="s">
        <v>317</v>
      </c>
      <c r="F78" s="200" t="s">
        <v>397</v>
      </c>
      <c r="G78" s="200" t="s">
        <v>434</v>
      </c>
    </row>
    <row r="79" spans="1:7">
      <c r="A79" s="199" t="s">
        <v>460</v>
      </c>
      <c r="B79" s="200">
        <v>-5182</v>
      </c>
      <c r="C79" s="200">
        <v>0</v>
      </c>
      <c r="D79" s="201" t="s">
        <v>282</v>
      </c>
      <c r="E79" s="201" t="s">
        <v>317</v>
      </c>
      <c r="F79" s="200" t="s">
        <v>393</v>
      </c>
      <c r="G79" s="200" t="s">
        <v>434</v>
      </c>
    </row>
    <row r="80" spans="1:7">
      <c r="A80" s="199" t="s">
        <v>461</v>
      </c>
      <c r="B80" s="200">
        <v>7124</v>
      </c>
      <c r="C80" s="200">
        <v>0</v>
      </c>
      <c r="D80" s="201" t="s">
        <v>282</v>
      </c>
      <c r="E80" s="201" t="s">
        <v>39</v>
      </c>
      <c r="F80" s="200" t="s">
        <v>394</v>
      </c>
      <c r="G80" s="200" t="s">
        <v>434</v>
      </c>
    </row>
    <row r="81" spans="1:7">
      <c r="A81" s="199" t="s">
        <v>461</v>
      </c>
      <c r="B81" s="200">
        <v>-8428</v>
      </c>
      <c r="C81" s="200">
        <v>0</v>
      </c>
      <c r="D81" s="201" t="s">
        <v>282</v>
      </c>
      <c r="E81" s="201" t="s">
        <v>39</v>
      </c>
      <c r="F81" s="200" t="s">
        <v>445</v>
      </c>
      <c r="G81" s="200" t="s">
        <v>434</v>
      </c>
    </row>
    <row r="82" spans="1:7">
      <c r="A82" s="199" t="s">
        <v>461</v>
      </c>
      <c r="B82" s="200">
        <v>1304</v>
      </c>
      <c r="C82" s="200">
        <v>0</v>
      </c>
      <c r="D82" s="201" t="s">
        <v>282</v>
      </c>
      <c r="E82" s="201" t="s">
        <v>39</v>
      </c>
      <c r="F82" s="200" t="s">
        <v>393</v>
      </c>
      <c r="G82" s="200" t="s">
        <v>434</v>
      </c>
    </row>
    <row r="83" spans="1:7" hidden="1">
      <c r="A83" s="199" t="s">
        <v>462</v>
      </c>
      <c r="B83" s="200">
        <v>1000000</v>
      </c>
      <c r="C83" s="200">
        <v>0</v>
      </c>
      <c r="D83" s="201" t="s">
        <v>463</v>
      </c>
      <c r="E83" s="201" t="s">
        <v>464</v>
      </c>
      <c r="F83" s="200" t="s">
        <v>394</v>
      </c>
      <c r="G83" s="200" t="s">
        <v>434</v>
      </c>
    </row>
    <row r="84" spans="1:7">
      <c r="A84" s="199" t="s">
        <v>465</v>
      </c>
      <c r="B84" s="200">
        <v>11351</v>
      </c>
      <c r="C84" s="200">
        <v>0</v>
      </c>
      <c r="D84" s="201" t="s">
        <v>282</v>
      </c>
      <c r="E84" s="201" t="s">
        <v>317</v>
      </c>
      <c r="F84" s="200" t="s">
        <v>394</v>
      </c>
      <c r="G84" s="200" t="s">
        <v>434</v>
      </c>
    </row>
    <row r="85" spans="1:7">
      <c r="A85" s="199" t="s">
        <v>465</v>
      </c>
      <c r="B85" s="200">
        <v>-24865</v>
      </c>
      <c r="C85" s="200">
        <v>0</v>
      </c>
      <c r="D85" s="201" t="s">
        <v>282</v>
      </c>
      <c r="E85" s="201" t="s">
        <v>317</v>
      </c>
      <c r="F85" s="200" t="s">
        <v>445</v>
      </c>
      <c r="G85" s="200" t="s">
        <v>434</v>
      </c>
    </row>
    <row r="86" spans="1:7">
      <c r="A86" s="199" t="s">
        <v>465</v>
      </c>
      <c r="B86" s="200">
        <v>13514</v>
      </c>
      <c r="C86" s="200">
        <v>0</v>
      </c>
      <c r="D86" s="201" t="s">
        <v>282</v>
      </c>
      <c r="E86" s="201" t="s">
        <v>317</v>
      </c>
      <c r="F86" s="200" t="s">
        <v>393</v>
      </c>
      <c r="G86" s="200" t="s">
        <v>434</v>
      </c>
    </row>
    <row r="87" spans="1:7">
      <c r="A87" s="199" t="s">
        <v>128</v>
      </c>
      <c r="B87" s="200">
        <v>-96</v>
      </c>
      <c r="C87" s="200">
        <v>0</v>
      </c>
      <c r="D87" s="201" t="s">
        <v>282</v>
      </c>
      <c r="E87" s="201" t="s">
        <v>317</v>
      </c>
      <c r="F87" s="200" t="s">
        <v>394</v>
      </c>
      <c r="G87" s="200" t="s">
        <v>434</v>
      </c>
    </row>
    <row r="88" spans="1:7">
      <c r="A88" s="199" t="s">
        <v>128</v>
      </c>
      <c r="B88" s="200">
        <v>96</v>
      </c>
      <c r="C88" s="200">
        <v>0</v>
      </c>
      <c r="D88" s="201" t="s">
        <v>282</v>
      </c>
      <c r="E88" s="201" t="s">
        <v>317</v>
      </c>
      <c r="F88" s="200" t="s">
        <v>393</v>
      </c>
      <c r="G88" s="200" t="s">
        <v>434</v>
      </c>
    </row>
    <row r="89" spans="1:7" hidden="1">
      <c r="A89" s="199" t="s">
        <v>466</v>
      </c>
      <c r="B89" s="200">
        <v>469413</v>
      </c>
      <c r="C89" s="200">
        <v>0</v>
      </c>
      <c r="D89" s="201" t="s">
        <v>440</v>
      </c>
      <c r="E89" s="201" t="s">
        <v>39</v>
      </c>
      <c r="F89" s="200" t="s">
        <v>394</v>
      </c>
      <c r="G89" s="200" t="s">
        <v>434</v>
      </c>
    </row>
    <row r="90" spans="1:7" hidden="1">
      <c r="A90" s="199" t="s">
        <v>466</v>
      </c>
      <c r="B90" s="200">
        <v>-469413</v>
      </c>
      <c r="C90" s="200">
        <v>0</v>
      </c>
      <c r="D90" s="201" t="s">
        <v>440</v>
      </c>
      <c r="E90" s="201" t="s">
        <v>39</v>
      </c>
      <c r="F90" s="200" t="s">
        <v>402</v>
      </c>
      <c r="G90" s="200" t="s">
        <v>434</v>
      </c>
    </row>
    <row r="91" spans="1:7" hidden="1">
      <c r="A91" s="199" t="s">
        <v>467</v>
      </c>
      <c r="B91" s="200">
        <v>-700000</v>
      </c>
      <c r="C91" s="200">
        <v>0</v>
      </c>
      <c r="D91" s="201" t="s">
        <v>463</v>
      </c>
      <c r="E91" s="201" t="s">
        <v>464</v>
      </c>
      <c r="F91" s="200" t="s">
        <v>394</v>
      </c>
      <c r="G91" s="200" t="s">
        <v>434</v>
      </c>
    </row>
    <row r="92" spans="1:7" hidden="1">
      <c r="A92" s="199" t="s">
        <v>467</v>
      </c>
      <c r="B92" s="200">
        <v>1500000</v>
      </c>
      <c r="C92" s="200">
        <v>0</v>
      </c>
      <c r="D92" s="201" t="s">
        <v>463</v>
      </c>
      <c r="E92" s="201" t="s">
        <v>464</v>
      </c>
      <c r="F92" s="200" t="s">
        <v>468</v>
      </c>
      <c r="G92" s="200" t="s">
        <v>434</v>
      </c>
    </row>
    <row r="93" spans="1:7" hidden="1">
      <c r="A93" s="199" t="s">
        <v>467</v>
      </c>
      <c r="B93" s="200">
        <v>-1074000</v>
      </c>
      <c r="C93" s="200">
        <v>0</v>
      </c>
      <c r="D93" s="201" t="s">
        <v>463</v>
      </c>
      <c r="E93" s="201" t="s">
        <v>464</v>
      </c>
      <c r="F93" s="200" t="s">
        <v>413</v>
      </c>
      <c r="G93" s="200" t="s">
        <v>434</v>
      </c>
    </row>
    <row r="94" spans="1:7" hidden="1">
      <c r="A94" s="199" t="s">
        <v>467</v>
      </c>
      <c r="B94" s="200">
        <v>274000</v>
      </c>
      <c r="C94" s="200">
        <v>0</v>
      </c>
      <c r="D94" s="201" t="s">
        <v>463</v>
      </c>
      <c r="E94" s="201" t="s">
        <v>464</v>
      </c>
      <c r="F94" s="200" t="s">
        <v>469</v>
      </c>
      <c r="G94" s="200" t="s">
        <v>434</v>
      </c>
    </row>
    <row r="95" spans="1:7" hidden="1">
      <c r="A95" s="199" t="s">
        <v>470</v>
      </c>
      <c r="B95" s="200">
        <v>320000</v>
      </c>
      <c r="C95" s="200">
        <v>0</v>
      </c>
      <c r="D95" s="201" t="s">
        <v>440</v>
      </c>
      <c r="E95" s="201" t="s">
        <v>39</v>
      </c>
      <c r="F95" s="200" t="s">
        <v>394</v>
      </c>
      <c r="G95" s="200" t="s">
        <v>434</v>
      </c>
    </row>
    <row r="96" spans="1:7" hidden="1">
      <c r="A96" s="199" t="s">
        <v>470</v>
      </c>
      <c r="B96" s="200">
        <v>-320000</v>
      </c>
      <c r="C96" s="200">
        <v>0</v>
      </c>
      <c r="D96" s="201" t="s">
        <v>440</v>
      </c>
      <c r="E96" s="201" t="s">
        <v>39</v>
      </c>
      <c r="F96" s="200" t="s">
        <v>402</v>
      </c>
      <c r="G96" s="200" t="s">
        <v>434</v>
      </c>
    </row>
    <row r="97" spans="1:7" hidden="1">
      <c r="A97" s="199" t="s">
        <v>471</v>
      </c>
      <c r="B97" s="200">
        <v>3330000</v>
      </c>
      <c r="C97" s="200">
        <v>0</v>
      </c>
      <c r="D97" s="201" t="s">
        <v>463</v>
      </c>
      <c r="E97" s="201" t="s">
        <v>464</v>
      </c>
      <c r="F97" s="200" t="s">
        <v>468</v>
      </c>
      <c r="G97" s="200" t="s">
        <v>434</v>
      </c>
    </row>
    <row r="98" spans="1:7" hidden="1">
      <c r="A98" s="199" t="s">
        <v>471</v>
      </c>
      <c r="B98" s="200">
        <v>-4660000</v>
      </c>
      <c r="C98" s="200">
        <v>0</v>
      </c>
      <c r="D98" s="201" t="s">
        <v>463</v>
      </c>
      <c r="E98" s="201" t="s">
        <v>464</v>
      </c>
      <c r="F98" s="200" t="s">
        <v>397</v>
      </c>
      <c r="G98" s="200" t="s">
        <v>434</v>
      </c>
    </row>
    <row r="99" spans="1:7" hidden="1">
      <c r="A99" s="199" t="s">
        <v>471</v>
      </c>
      <c r="B99" s="200">
        <v>1330000</v>
      </c>
      <c r="C99" s="200">
        <v>0</v>
      </c>
      <c r="D99" s="201" t="s">
        <v>463</v>
      </c>
      <c r="E99" s="201" t="s">
        <v>464</v>
      </c>
      <c r="F99" s="200" t="s">
        <v>469</v>
      </c>
      <c r="G99" s="200" t="s">
        <v>434</v>
      </c>
    </row>
    <row r="100" spans="1:7" hidden="1">
      <c r="A100" s="199" t="s">
        <v>472</v>
      </c>
      <c r="B100" s="200">
        <v>-12150000</v>
      </c>
      <c r="C100" s="200">
        <v>0</v>
      </c>
      <c r="D100" s="201" t="s">
        <v>463</v>
      </c>
      <c r="E100" s="201" t="s">
        <v>464</v>
      </c>
      <c r="F100" s="200" t="s">
        <v>397</v>
      </c>
      <c r="G100" s="200" t="s">
        <v>434</v>
      </c>
    </row>
    <row r="101" spans="1:7" hidden="1">
      <c r="A101" s="199" t="s">
        <v>472</v>
      </c>
      <c r="B101" s="200">
        <v>11850000</v>
      </c>
      <c r="C101" s="200">
        <v>0</v>
      </c>
      <c r="D101" s="201" t="s">
        <v>463</v>
      </c>
      <c r="E101" s="201" t="s">
        <v>464</v>
      </c>
      <c r="F101" s="200" t="s">
        <v>413</v>
      </c>
      <c r="G101" s="200" t="s">
        <v>434</v>
      </c>
    </row>
    <row r="102" spans="1:7" hidden="1">
      <c r="A102" s="199" t="s">
        <v>472</v>
      </c>
      <c r="B102" s="200">
        <v>300000</v>
      </c>
      <c r="C102" s="200">
        <v>0</v>
      </c>
      <c r="D102" s="201" t="s">
        <v>463</v>
      </c>
      <c r="E102" s="201" t="s">
        <v>464</v>
      </c>
      <c r="F102" s="200" t="s">
        <v>469</v>
      </c>
      <c r="G102" s="200" t="s">
        <v>434</v>
      </c>
    </row>
    <row r="103" spans="1:7" hidden="1">
      <c r="A103" s="199" t="s">
        <v>473</v>
      </c>
      <c r="B103" s="200">
        <v>-1570</v>
      </c>
      <c r="C103" s="200">
        <v>0</v>
      </c>
      <c r="D103" s="201" t="s">
        <v>440</v>
      </c>
      <c r="E103" s="201" t="s">
        <v>39</v>
      </c>
      <c r="F103" s="200" t="s">
        <v>394</v>
      </c>
      <c r="G103" s="200" t="s">
        <v>434</v>
      </c>
    </row>
    <row r="104" spans="1:7" hidden="1">
      <c r="A104" s="199" t="s">
        <v>473</v>
      </c>
      <c r="B104" s="200">
        <v>1570</v>
      </c>
      <c r="C104" s="200">
        <v>0</v>
      </c>
      <c r="D104" s="201" t="s">
        <v>440</v>
      </c>
      <c r="E104" s="201" t="s">
        <v>39</v>
      </c>
      <c r="F104" s="200" t="s">
        <v>441</v>
      </c>
      <c r="G104" s="200" t="s">
        <v>434</v>
      </c>
    </row>
    <row r="105" spans="1:7" hidden="1">
      <c r="A105" s="199" t="s">
        <v>473</v>
      </c>
      <c r="B105" s="200">
        <v>-3802</v>
      </c>
      <c r="C105" s="200">
        <v>0</v>
      </c>
      <c r="D105" s="201" t="s">
        <v>442</v>
      </c>
      <c r="E105" s="201" t="s">
        <v>39</v>
      </c>
      <c r="F105" s="200" t="s">
        <v>394</v>
      </c>
      <c r="G105" s="200" t="s">
        <v>434</v>
      </c>
    </row>
    <row r="106" spans="1:7" hidden="1">
      <c r="A106" s="199" t="s">
        <v>473</v>
      </c>
      <c r="B106" s="200">
        <v>-1570</v>
      </c>
      <c r="C106" s="200">
        <v>0</v>
      </c>
      <c r="D106" s="201" t="s">
        <v>442</v>
      </c>
      <c r="E106" s="201" t="s">
        <v>39</v>
      </c>
      <c r="F106" s="200" t="s">
        <v>441</v>
      </c>
      <c r="G106" s="200" t="s">
        <v>434</v>
      </c>
    </row>
    <row r="107" spans="1:7" hidden="1">
      <c r="A107" s="199" t="s">
        <v>473</v>
      </c>
      <c r="B107" s="200">
        <v>54717</v>
      </c>
      <c r="C107" s="200">
        <v>0</v>
      </c>
      <c r="D107" s="201" t="s">
        <v>474</v>
      </c>
      <c r="E107" s="201" t="s">
        <v>39</v>
      </c>
      <c r="F107" s="200" t="s">
        <v>394</v>
      </c>
      <c r="G107" s="200" t="s">
        <v>434</v>
      </c>
    </row>
    <row r="108" spans="1:7" hidden="1">
      <c r="A108" s="199" t="s">
        <v>473</v>
      </c>
      <c r="B108" s="200">
        <v>-54717</v>
      </c>
      <c r="C108" s="200">
        <v>0</v>
      </c>
      <c r="D108" s="201" t="s">
        <v>474</v>
      </c>
      <c r="E108" s="201" t="s">
        <v>39</v>
      </c>
      <c r="F108" s="200" t="s">
        <v>402</v>
      </c>
      <c r="G108" s="200" t="s">
        <v>434</v>
      </c>
    </row>
    <row r="109" spans="1:7">
      <c r="A109" s="199" t="s">
        <v>475</v>
      </c>
      <c r="B109" s="200">
        <v>-104001</v>
      </c>
      <c r="C109" s="200">
        <v>0</v>
      </c>
      <c r="D109" s="201" t="s">
        <v>282</v>
      </c>
      <c r="E109" s="201" t="s">
        <v>317</v>
      </c>
      <c r="F109" s="200" t="s">
        <v>394</v>
      </c>
      <c r="G109" s="200" t="s">
        <v>434</v>
      </c>
    </row>
    <row r="110" spans="1:7">
      <c r="A110" s="199" t="s">
        <v>475</v>
      </c>
      <c r="B110" s="200">
        <v>6561</v>
      </c>
      <c r="C110" s="200">
        <v>0</v>
      </c>
      <c r="D110" s="201" t="s">
        <v>282</v>
      </c>
      <c r="E110" s="201" t="s">
        <v>317</v>
      </c>
      <c r="F110" s="200" t="s">
        <v>445</v>
      </c>
      <c r="G110" s="200" t="s">
        <v>434</v>
      </c>
    </row>
    <row r="111" spans="1:7">
      <c r="A111" s="199" t="s">
        <v>475</v>
      </c>
      <c r="B111" s="200">
        <v>97440</v>
      </c>
      <c r="C111" s="200">
        <v>0</v>
      </c>
      <c r="D111" s="201" t="s">
        <v>282</v>
      </c>
      <c r="E111" s="201" t="s">
        <v>317</v>
      </c>
      <c r="F111" s="200" t="s">
        <v>393</v>
      </c>
      <c r="G111" s="200" t="s">
        <v>434</v>
      </c>
    </row>
    <row r="112" spans="1:7" hidden="1">
      <c r="A112" s="199" t="s">
        <v>476</v>
      </c>
      <c r="B112" s="200">
        <v>-25000000</v>
      </c>
      <c r="C112" s="200">
        <v>0</v>
      </c>
      <c r="D112" s="201" t="s">
        <v>463</v>
      </c>
      <c r="E112" s="201" t="s">
        <v>477</v>
      </c>
      <c r="F112" s="200" t="s">
        <v>394</v>
      </c>
      <c r="G112" s="200" t="s">
        <v>434</v>
      </c>
    </row>
    <row r="113" spans="1:7" hidden="1">
      <c r="A113" s="199" t="s">
        <v>476</v>
      </c>
      <c r="B113" s="200">
        <v>25000000</v>
      </c>
      <c r="C113" s="200">
        <v>0</v>
      </c>
      <c r="D113" s="201" t="s">
        <v>463</v>
      </c>
      <c r="E113" s="201" t="s">
        <v>477</v>
      </c>
      <c r="F113" s="200" t="s">
        <v>393</v>
      </c>
      <c r="G113" s="200" t="s">
        <v>434</v>
      </c>
    </row>
    <row r="114" spans="1:7" hidden="1">
      <c r="A114" s="199" t="s">
        <v>478</v>
      </c>
      <c r="B114" s="200">
        <v>25000000</v>
      </c>
      <c r="C114" s="200">
        <v>0</v>
      </c>
      <c r="D114" s="201" t="s">
        <v>463</v>
      </c>
      <c r="E114" s="201" t="s">
        <v>477</v>
      </c>
      <c r="F114" s="200" t="s">
        <v>394</v>
      </c>
      <c r="G114" s="200" t="s">
        <v>434</v>
      </c>
    </row>
    <row r="115" spans="1:7" hidden="1">
      <c r="A115" s="199" t="s">
        <v>478</v>
      </c>
      <c r="B115" s="200">
        <v>-25000000</v>
      </c>
      <c r="C115" s="200">
        <v>0</v>
      </c>
      <c r="D115" s="201" t="s">
        <v>463</v>
      </c>
      <c r="E115" s="201" t="s">
        <v>477</v>
      </c>
      <c r="F115" s="200" t="s">
        <v>393</v>
      </c>
      <c r="G115" s="200" t="s">
        <v>434</v>
      </c>
    </row>
    <row r="116" spans="1:7" hidden="1">
      <c r="A116" s="199" t="s">
        <v>479</v>
      </c>
      <c r="B116" s="200">
        <v>-15825000</v>
      </c>
      <c r="C116" s="200">
        <v>0</v>
      </c>
      <c r="D116" s="201" t="s">
        <v>480</v>
      </c>
      <c r="E116" s="201" t="s">
        <v>477</v>
      </c>
      <c r="F116" s="200" t="s">
        <v>394</v>
      </c>
      <c r="G116" s="200" t="s">
        <v>434</v>
      </c>
    </row>
    <row r="117" spans="1:7" hidden="1">
      <c r="A117" s="199" t="s">
        <v>479</v>
      </c>
      <c r="B117" s="200">
        <v>15825000</v>
      </c>
      <c r="C117" s="200">
        <v>0</v>
      </c>
      <c r="D117" s="201" t="s">
        <v>480</v>
      </c>
      <c r="E117" s="201" t="s">
        <v>477</v>
      </c>
      <c r="F117" s="200" t="s">
        <v>481</v>
      </c>
      <c r="G117" s="200" t="s">
        <v>434</v>
      </c>
    </row>
    <row r="118" spans="1:7">
      <c r="A118" s="199" t="s">
        <v>479</v>
      </c>
      <c r="B118" s="200">
        <v>-7925000</v>
      </c>
      <c r="C118" s="200">
        <v>0</v>
      </c>
      <c r="D118" s="201" t="s">
        <v>282</v>
      </c>
      <c r="E118" s="201" t="s">
        <v>477</v>
      </c>
      <c r="F118" s="200" t="s">
        <v>394</v>
      </c>
      <c r="G118" s="200" t="s">
        <v>434</v>
      </c>
    </row>
    <row r="119" spans="1:7">
      <c r="A119" s="199" t="s">
        <v>479</v>
      </c>
      <c r="B119" s="200">
        <v>7925000</v>
      </c>
      <c r="C119" s="200">
        <v>0</v>
      </c>
      <c r="D119" s="201" t="s">
        <v>282</v>
      </c>
      <c r="E119" s="201" t="s">
        <v>477</v>
      </c>
      <c r="F119" s="200" t="s">
        <v>481</v>
      </c>
      <c r="G119" s="200" t="s">
        <v>434</v>
      </c>
    </row>
    <row r="120" spans="1:7" hidden="1">
      <c r="A120" s="199" t="s">
        <v>482</v>
      </c>
      <c r="B120" s="200">
        <v>34631250</v>
      </c>
      <c r="C120" s="200">
        <v>0</v>
      </c>
      <c r="D120" s="201" t="s">
        <v>480</v>
      </c>
      <c r="E120" s="201" t="s">
        <v>477</v>
      </c>
      <c r="F120" s="200" t="s">
        <v>394</v>
      </c>
      <c r="G120" s="200" t="s">
        <v>434</v>
      </c>
    </row>
    <row r="121" spans="1:7">
      <c r="A121" s="199" t="s">
        <v>482</v>
      </c>
      <c r="B121" s="200">
        <v>12868750</v>
      </c>
      <c r="C121" s="200">
        <v>0</v>
      </c>
      <c r="D121" s="201" t="s">
        <v>282</v>
      </c>
      <c r="E121" s="201" t="s">
        <v>477</v>
      </c>
      <c r="F121" s="200" t="s">
        <v>394</v>
      </c>
      <c r="G121" s="200" t="s">
        <v>434</v>
      </c>
    </row>
    <row r="122" spans="1:7">
      <c r="A122" s="199" t="s">
        <v>483</v>
      </c>
      <c r="B122" s="200">
        <v>-19028</v>
      </c>
      <c r="C122" s="200">
        <v>0</v>
      </c>
      <c r="D122" s="201" t="s">
        <v>282</v>
      </c>
      <c r="E122" s="201" t="s">
        <v>320</v>
      </c>
      <c r="F122" s="200" t="s">
        <v>394</v>
      </c>
      <c r="G122" s="200" t="s">
        <v>434</v>
      </c>
    </row>
    <row r="123" spans="1:7">
      <c r="A123" s="199" t="s">
        <v>483</v>
      </c>
      <c r="B123" s="200">
        <v>19028</v>
      </c>
      <c r="C123" s="200">
        <v>0</v>
      </c>
      <c r="D123" s="201" t="s">
        <v>282</v>
      </c>
      <c r="E123" s="201" t="s">
        <v>320</v>
      </c>
      <c r="F123" s="200" t="s">
        <v>393</v>
      </c>
      <c r="G123" s="200" t="s">
        <v>434</v>
      </c>
    </row>
    <row r="124" spans="1:7">
      <c r="A124" s="199" t="s">
        <v>80</v>
      </c>
      <c r="B124" s="200">
        <v>2324</v>
      </c>
      <c r="C124" s="200">
        <v>0</v>
      </c>
      <c r="D124" s="201" t="s">
        <v>282</v>
      </c>
      <c r="E124" s="201" t="s">
        <v>317</v>
      </c>
      <c r="F124" s="200" t="s">
        <v>394</v>
      </c>
      <c r="G124" s="200" t="s">
        <v>434</v>
      </c>
    </row>
    <row r="125" spans="1:7">
      <c r="A125" s="199" t="s">
        <v>80</v>
      </c>
      <c r="B125" s="200">
        <v>-2324</v>
      </c>
      <c r="C125" s="200">
        <v>0</v>
      </c>
      <c r="D125" s="201" t="s">
        <v>282</v>
      </c>
      <c r="E125" s="201" t="s">
        <v>317</v>
      </c>
      <c r="F125" s="200" t="s">
        <v>393</v>
      </c>
      <c r="G125" s="200" t="s">
        <v>434</v>
      </c>
    </row>
    <row r="126" spans="1:7">
      <c r="A126" s="199" t="s">
        <v>484</v>
      </c>
      <c r="B126" s="200">
        <v>46517</v>
      </c>
      <c r="C126" s="200">
        <v>0</v>
      </c>
      <c r="D126" s="201" t="s">
        <v>282</v>
      </c>
      <c r="E126" s="201" t="s">
        <v>320</v>
      </c>
      <c r="F126" s="200" t="s">
        <v>394</v>
      </c>
      <c r="G126" s="200" t="s">
        <v>434</v>
      </c>
    </row>
    <row r="127" spans="1:7">
      <c r="A127" s="199" t="s">
        <v>484</v>
      </c>
      <c r="B127" s="200">
        <v>-37768</v>
      </c>
      <c r="C127" s="200">
        <v>0</v>
      </c>
      <c r="D127" s="201" t="s">
        <v>282</v>
      </c>
      <c r="E127" s="201" t="s">
        <v>320</v>
      </c>
      <c r="F127" s="200" t="s">
        <v>445</v>
      </c>
      <c r="G127" s="200" t="s">
        <v>434</v>
      </c>
    </row>
    <row r="128" spans="1:7">
      <c r="A128" s="199" t="s">
        <v>484</v>
      </c>
      <c r="B128" s="200">
        <v>-8749</v>
      </c>
      <c r="C128" s="200">
        <v>0</v>
      </c>
      <c r="D128" s="201" t="s">
        <v>282</v>
      </c>
      <c r="E128" s="201" t="s">
        <v>320</v>
      </c>
      <c r="F128" s="200" t="s">
        <v>393</v>
      </c>
      <c r="G128" s="200" t="s">
        <v>434</v>
      </c>
    </row>
    <row r="129" spans="1:7" hidden="1">
      <c r="A129" s="199" t="s">
        <v>485</v>
      </c>
      <c r="B129" s="200">
        <v>367</v>
      </c>
      <c r="C129" s="200">
        <v>0</v>
      </c>
      <c r="D129" s="201" t="s">
        <v>440</v>
      </c>
      <c r="E129" s="201" t="s">
        <v>486</v>
      </c>
      <c r="F129" s="200" t="s">
        <v>394</v>
      </c>
      <c r="G129" s="200" t="s">
        <v>434</v>
      </c>
    </row>
    <row r="130" spans="1:7" hidden="1">
      <c r="A130" s="199" t="s">
        <v>485</v>
      </c>
      <c r="B130" s="200">
        <v>85</v>
      </c>
      <c r="C130" s="200">
        <v>0</v>
      </c>
      <c r="D130" s="201" t="s">
        <v>437</v>
      </c>
      <c r="E130" s="201" t="s">
        <v>486</v>
      </c>
      <c r="F130" s="200" t="s">
        <v>394</v>
      </c>
      <c r="G130" s="200" t="s">
        <v>434</v>
      </c>
    </row>
    <row r="131" spans="1:7" hidden="1">
      <c r="A131" s="199" t="s">
        <v>485</v>
      </c>
      <c r="B131" s="200">
        <v>-33</v>
      </c>
      <c r="C131" s="200">
        <v>0</v>
      </c>
      <c r="D131" s="201" t="s">
        <v>437</v>
      </c>
      <c r="E131" s="201" t="s">
        <v>486</v>
      </c>
      <c r="F131" s="200" t="s">
        <v>396</v>
      </c>
      <c r="G131" s="200" t="s">
        <v>434</v>
      </c>
    </row>
    <row r="132" spans="1:7" hidden="1">
      <c r="A132" s="199" t="s">
        <v>485</v>
      </c>
      <c r="B132" s="200">
        <v>-21</v>
      </c>
      <c r="C132" s="200">
        <v>0</v>
      </c>
      <c r="D132" s="201" t="s">
        <v>442</v>
      </c>
      <c r="E132" s="201" t="s">
        <v>486</v>
      </c>
      <c r="F132" s="200" t="s">
        <v>394</v>
      </c>
      <c r="G132" s="200" t="s">
        <v>434</v>
      </c>
    </row>
    <row r="133" spans="1:7" hidden="1">
      <c r="A133" s="199" t="s">
        <v>487</v>
      </c>
      <c r="B133" s="200">
        <v>887</v>
      </c>
      <c r="C133" s="200">
        <v>0</v>
      </c>
      <c r="D133" s="201" t="s">
        <v>440</v>
      </c>
      <c r="E133" s="201" t="s">
        <v>488</v>
      </c>
      <c r="F133" s="200" t="s">
        <v>394</v>
      </c>
      <c r="G133" s="200" t="s">
        <v>434</v>
      </c>
    </row>
    <row r="134" spans="1:7" hidden="1">
      <c r="A134" s="199" t="s">
        <v>489</v>
      </c>
      <c r="B134" s="200">
        <v>-887</v>
      </c>
      <c r="C134" s="200">
        <v>0</v>
      </c>
      <c r="D134" s="201" t="s">
        <v>440</v>
      </c>
      <c r="E134" s="201" t="s">
        <v>488</v>
      </c>
      <c r="F134" s="200" t="s">
        <v>394</v>
      </c>
      <c r="G134" s="200" t="s">
        <v>434</v>
      </c>
    </row>
    <row r="135" spans="1:7" hidden="1">
      <c r="A135" s="199" t="s">
        <v>490</v>
      </c>
      <c r="B135" s="200">
        <v>887</v>
      </c>
      <c r="C135" s="200">
        <v>0</v>
      </c>
      <c r="D135" s="201" t="s">
        <v>440</v>
      </c>
      <c r="E135" s="201" t="s">
        <v>488</v>
      </c>
      <c r="F135" s="200" t="s">
        <v>394</v>
      </c>
      <c r="G135" s="200" t="s">
        <v>434</v>
      </c>
    </row>
    <row r="136" spans="1:7" hidden="1">
      <c r="A136" s="199" t="s">
        <v>491</v>
      </c>
      <c r="B136" s="200">
        <v>-512</v>
      </c>
      <c r="C136" s="200">
        <v>0</v>
      </c>
      <c r="D136" s="201" t="s">
        <v>440</v>
      </c>
      <c r="E136" s="201" t="s">
        <v>486</v>
      </c>
      <c r="F136" s="200" t="s">
        <v>394</v>
      </c>
      <c r="G136" s="200" t="s">
        <v>434</v>
      </c>
    </row>
    <row r="137" spans="1:7" hidden="1">
      <c r="A137" s="199" t="s">
        <v>492</v>
      </c>
      <c r="B137" s="200">
        <v>3612</v>
      </c>
      <c r="C137" s="200">
        <v>0</v>
      </c>
      <c r="D137" s="201" t="s">
        <v>442</v>
      </c>
      <c r="E137" s="201" t="s">
        <v>317</v>
      </c>
      <c r="F137" s="200" t="s">
        <v>394</v>
      </c>
      <c r="G137" s="200" t="s">
        <v>434</v>
      </c>
    </row>
    <row r="138" spans="1:7" hidden="1">
      <c r="A138" s="199" t="s">
        <v>134</v>
      </c>
      <c r="B138" s="200">
        <v>930</v>
      </c>
      <c r="C138" s="200">
        <v>0</v>
      </c>
      <c r="D138" s="201" t="s">
        <v>283</v>
      </c>
      <c r="E138" s="201" t="s">
        <v>317</v>
      </c>
      <c r="F138" s="200" t="s">
        <v>394</v>
      </c>
      <c r="G138" s="200" t="s">
        <v>434</v>
      </c>
    </row>
    <row r="139" spans="1:7" hidden="1">
      <c r="A139" s="199" t="s">
        <v>134</v>
      </c>
      <c r="B139" s="200">
        <v>-930</v>
      </c>
      <c r="C139" s="200">
        <v>0</v>
      </c>
      <c r="D139" s="201" t="s">
        <v>283</v>
      </c>
      <c r="E139" s="201" t="s">
        <v>317</v>
      </c>
      <c r="F139" s="200" t="s">
        <v>441</v>
      </c>
      <c r="G139" s="200" t="s">
        <v>434</v>
      </c>
    </row>
    <row r="140" spans="1:7">
      <c r="A140" s="199" t="s">
        <v>134</v>
      </c>
      <c r="B140" s="200">
        <v>8655</v>
      </c>
      <c r="C140" s="200">
        <v>0</v>
      </c>
      <c r="D140" s="201" t="s">
        <v>282</v>
      </c>
      <c r="E140" s="201" t="s">
        <v>317</v>
      </c>
      <c r="F140" s="200" t="s">
        <v>394</v>
      </c>
      <c r="G140" s="200" t="s">
        <v>434</v>
      </c>
    </row>
    <row r="141" spans="1:7">
      <c r="A141" s="199" t="s">
        <v>134</v>
      </c>
      <c r="B141" s="200">
        <v>-3011</v>
      </c>
      <c r="C141" s="200">
        <v>0</v>
      </c>
      <c r="D141" s="201" t="s">
        <v>282</v>
      </c>
      <c r="E141" s="201" t="s">
        <v>317</v>
      </c>
      <c r="F141" s="200" t="s">
        <v>408</v>
      </c>
      <c r="G141" s="200" t="s">
        <v>434</v>
      </c>
    </row>
    <row r="142" spans="1:7">
      <c r="A142" s="199" t="s">
        <v>134</v>
      </c>
      <c r="B142" s="200">
        <v>-2141</v>
      </c>
      <c r="C142" s="200">
        <v>0</v>
      </c>
      <c r="D142" s="201" t="s">
        <v>282</v>
      </c>
      <c r="E142" s="201" t="s">
        <v>317</v>
      </c>
      <c r="F142" s="200" t="s">
        <v>393</v>
      </c>
      <c r="G142" s="200" t="s">
        <v>434</v>
      </c>
    </row>
    <row r="143" spans="1:7">
      <c r="A143" s="199" t="s">
        <v>134</v>
      </c>
      <c r="B143" s="200">
        <v>-1649</v>
      </c>
      <c r="C143" s="200">
        <v>0</v>
      </c>
      <c r="D143" s="201" t="s">
        <v>282</v>
      </c>
      <c r="E143" s="201" t="s">
        <v>317</v>
      </c>
      <c r="F143" s="200" t="s">
        <v>413</v>
      </c>
      <c r="G143" s="200" t="s">
        <v>434</v>
      </c>
    </row>
    <row r="144" spans="1:7">
      <c r="A144" s="199" t="s">
        <v>134</v>
      </c>
      <c r="B144" s="200">
        <v>-2784</v>
      </c>
      <c r="C144" s="200">
        <v>0</v>
      </c>
      <c r="D144" s="201" t="s">
        <v>282</v>
      </c>
      <c r="E144" s="201" t="s">
        <v>317</v>
      </c>
      <c r="F144" s="200" t="s">
        <v>403</v>
      </c>
      <c r="G144" s="200" t="s">
        <v>434</v>
      </c>
    </row>
    <row r="145" spans="1:7">
      <c r="A145" s="199" t="s">
        <v>134</v>
      </c>
      <c r="B145" s="200">
        <v>930</v>
      </c>
      <c r="C145" s="200">
        <v>0</v>
      </c>
      <c r="D145" s="201" t="s">
        <v>282</v>
      </c>
      <c r="E145" s="201" t="s">
        <v>317</v>
      </c>
      <c r="F145" s="200" t="s">
        <v>441</v>
      </c>
      <c r="G145" s="200" t="s">
        <v>434</v>
      </c>
    </row>
    <row r="146" spans="1:7">
      <c r="A146" s="199" t="s">
        <v>493</v>
      </c>
      <c r="B146" s="200">
        <v>-121</v>
      </c>
      <c r="C146" s="200">
        <v>0</v>
      </c>
      <c r="D146" s="201" t="s">
        <v>282</v>
      </c>
      <c r="E146" s="201" t="s">
        <v>319</v>
      </c>
      <c r="F146" s="200" t="s">
        <v>408</v>
      </c>
      <c r="G146" s="200" t="s">
        <v>434</v>
      </c>
    </row>
    <row r="147" spans="1:7">
      <c r="A147" s="199" t="s">
        <v>493</v>
      </c>
      <c r="B147" s="200">
        <v>121</v>
      </c>
      <c r="C147" s="200">
        <v>0</v>
      </c>
      <c r="D147" s="201" t="s">
        <v>282</v>
      </c>
      <c r="E147" s="201" t="s">
        <v>319</v>
      </c>
      <c r="F147" s="200" t="s">
        <v>393</v>
      </c>
      <c r="G147" s="200" t="s">
        <v>434</v>
      </c>
    </row>
    <row r="148" spans="1:7">
      <c r="A148" s="199" t="s">
        <v>494</v>
      </c>
      <c r="B148" s="200">
        <v>147</v>
      </c>
      <c r="C148" s="200">
        <v>0</v>
      </c>
      <c r="D148" s="201" t="s">
        <v>282</v>
      </c>
      <c r="E148" s="201" t="s">
        <v>319</v>
      </c>
      <c r="F148" s="200" t="s">
        <v>394</v>
      </c>
      <c r="G148" s="200" t="s">
        <v>434</v>
      </c>
    </row>
    <row r="149" spans="1:7">
      <c r="A149" s="199" t="s">
        <v>494</v>
      </c>
      <c r="B149" s="200">
        <v>216</v>
      </c>
      <c r="C149" s="200">
        <v>0</v>
      </c>
      <c r="D149" s="201" t="s">
        <v>282</v>
      </c>
      <c r="E149" s="201" t="s">
        <v>319</v>
      </c>
      <c r="F149" s="200" t="s">
        <v>408</v>
      </c>
      <c r="G149" s="200" t="s">
        <v>434</v>
      </c>
    </row>
    <row r="150" spans="1:7">
      <c r="A150" s="199" t="s">
        <v>494</v>
      </c>
      <c r="B150" s="200">
        <v>-363</v>
      </c>
      <c r="C150" s="200">
        <v>0</v>
      </c>
      <c r="D150" s="201" t="s">
        <v>282</v>
      </c>
      <c r="E150" s="201" t="s">
        <v>319</v>
      </c>
      <c r="F150" s="200" t="s">
        <v>393</v>
      </c>
      <c r="G150" s="200" t="s">
        <v>434</v>
      </c>
    </row>
    <row r="151" spans="1:7">
      <c r="A151" s="199" t="s">
        <v>495</v>
      </c>
      <c r="B151" s="200">
        <v>120</v>
      </c>
      <c r="C151" s="200">
        <v>0</v>
      </c>
      <c r="D151" s="201" t="s">
        <v>282</v>
      </c>
      <c r="E151" s="201" t="s">
        <v>319</v>
      </c>
      <c r="F151" s="200" t="s">
        <v>408</v>
      </c>
      <c r="G151" s="200" t="s">
        <v>434</v>
      </c>
    </row>
    <row r="152" spans="1:7">
      <c r="A152" s="199" t="s">
        <v>495</v>
      </c>
      <c r="B152" s="200">
        <v>-120</v>
      </c>
      <c r="C152" s="200">
        <v>0</v>
      </c>
      <c r="D152" s="201" t="s">
        <v>282</v>
      </c>
      <c r="E152" s="201" t="s">
        <v>319</v>
      </c>
      <c r="F152" s="200" t="s">
        <v>393</v>
      </c>
      <c r="G152" s="200" t="s">
        <v>434</v>
      </c>
    </row>
    <row r="153" spans="1:7">
      <c r="A153" s="199" t="s">
        <v>496</v>
      </c>
      <c r="B153" s="200">
        <v>93</v>
      </c>
      <c r="C153" s="200">
        <v>0</v>
      </c>
      <c r="D153" s="201" t="s">
        <v>282</v>
      </c>
      <c r="E153" s="201" t="s">
        <v>319</v>
      </c>
      <c r="F153" s="200" t="s">
        <v>394</v>
      </c>
      <c r="G153" s="200" t="s">
        <v>434</v>
      </c>
    </row>
    <row r="154" spans="1:7">
      <c r="A154" s="199" t="s">
        <v>496</v>
      </c>
      <c r="B154" s="200">
        <v>-93</v>
      </c>
      <c r="C154" s="200">
        <v>0</v>
      </c>
      <c r="D154" s="201" t="s">
        <v>282</v>
      </c>
      <c r="E154" s="201" t="s">
        <v>319</v>
      </c>
      <c r="F154" s="200" t="s">
        <v>408</v>
      </c>
      <c r="G154" s="200" t="s">
        <v>434</v>
      </c>
    </row>
    <row r="155" spans="1:7">
      <c r="A155" s="199" t="s">
        <v>497</v>
      </c>
      <c r="B155" s="200">
        <v>-147</v>
      </c>
      <c r="C155" s="200">
        <v>0</v>
      </c>
      <c r="D155" s="201" t="s">
        <v>282</v>
      </c>
      <c r="E155" s="201" t="s">
        <v>319</v>
      </c>
      <c r="F155" s="200" t="s">
        <v>394</v>
      </c>
      <c r="G155" s="200" t="s">
        <v>434</v>
      </c>
    </row>
    <row r="156" spans="1:7">
      <c r="A156" s="199" t="s">
        <v>497</v>
      </c>
      <c r="B156" s="200">
        <v>-214</v>
      </c>
      <c r="C156" s="200">
        <v>0</v>
      </c>
      <c r="D156" s="201" t="s">
        <v>282</v>
      </c>
      <c r="E156" s="201" t="s">
        <v>319</v>
      </c>
      <c r="F156" s="200" t="s">
        <v>408</v>
      </c>
      <c r="G156" s="200" t="s">
        <v>434</v>
      </c>
    </row>
    <row r="157" spans="1:7">
      <c r="A157" s="199" t="s">
        <v>497</v>
      </c>
      <c r="B157" s="200">
        <v>361</v>
      </c>
      <c r="C157" s="200">
        <v>0</v>
      </c>
      <c r="D157" s="201" t="s">
        <v>282</v>
      </c>
      <c r="E157" s="201" t="s">
        <v>319</v>
      </c>
      <c r="F157" s="200" t="s">
        <v>393</v>
      </c>
      <c r="G157" s="200" t="s">
        <v>434</v>
      </c>
    </row>
    <row r="158" spans="1:7">
      <c r="A158" s="199" t="s">
        <v>498</v>
      </c>
      <c r="B158" s="200">
        <v>-93</v>
      </c>
      <c r="C158" s="200">
        <v>0</v>
      </c>
      <c r="D158" s="201" t="s">
        <v>282</v>
      </c>
      <c r="E158" s="201" t="s">
        <v>319</v>
      </c>
      <c r="F158" s="200" t="s">
        <v>394</v>
      </c>
      <c r="G158" s="200" t="s">
        <v>434</v>
      </c>
    </row>
    <row r="159" spans="1:7">
      <c r="A159" s="199" t="s">
        <v>498</v>
      </c>
      <c r="B159" s="200">
        <v>93</v>
      </c>
      <c r="C159" s="200">
        <v>0</v>
      </c>
      <c r="D159" s="201" t="s">
        <v>282</v>
      </c>
      <c r="E159" s="201" t="s">
        <v>319</v>
      </c>
      <c r="F159" s="200" t="s">
        <v>408</v>
      </c>
      <c r="G159" s="200" t="s">
        <v>434</v>
      </c>
    </row>
    <row r="160" spans="1:7">
      <c r="A160" s="199" t="s">
        <v>499</v>
      </c>
      <c r="B160" s="200">
        <v>-65</v>
      </c>
      <c r="C160" s="200">
        <v>0</v>
      </c>
      <c r="D160" s="201" t="s">
        <v>282</v>
      </c>
      <c r="E160" s="201" t="s">
        <v>317</v>
      </c>
      <c r="F160" s="200" t="s">
        <v>394</v>
      </c>
      <c r="G160" s="200" t="s">
        <v>434</v>
      </c>
    </row>
    <row r="161" spans="1:7">
      <c r="A161" s="199" t="s">
        <v>499</v>
      </c>
      <c r="B161" s="200">
        <v>-12633</v>
      </c>
      <c r="C161" s="200">
        <v>0</v>
      </c>
      <c r="D161" s="201" t="s">
        <v>282</v>
      </c>
      <c r="E161" s="201" t="s">
        <v>317</v>
      </c>
      <c r="F161" s="200" t="s">
        <v>445</v>
      </c>
      <c r="G161" s="200" t="s">
        <v>434</v>
      </c>
    </row>
    <row r="162" spans="1:7">
      <c r="A162" s="199" t="s">
        <v>499</v>
      </c>
      <c r="B162" s="200">
        <v>4718</v>
      </c>
      <c r="C162" s="200">
        <v>0</v>
      </c>
      <c r="D162" s="201" t="s">
        <v>282</v>
      </c>
      <c r="E162" s="201" t="s">
        <v>317</v>
      </c>
      <c r="F162" s="200" t="s">
        <v>397</v>
      </c>
      <c r="G162" s="200" t="s">
        <v>434</v>
      </c>
    </row>
    <row r="163" spans="1:7">
      <c r="A163" s="199" t="s">
        <v>499</v>
      </c>
      <c r="B163" s="200">
        <v>7980</v>
      </c>
      <c r="C163" s="200">
        <v>0</v>
      </c>
      <c r="D163" s="201" t="s">
        <v>282</v>
      </c>
      <c r="E163" s="201" t="s">
        <v>317</v>
      </c>
      <c r="F163" s="200" t="s">
        <v>393</v>
      </c>
      <c r="G163" s="200" t="s">
        <v>434</v>
      </c>
    </row>
    <row r="164" spans="1:7">
      <c r="A164" s="199" t="s">
        <v>500</v>
      </c>
      <c r="B164" s="200">
        <v>8979</v>
      </c>
      <c r="C164" s="200">
        <v>0</v>
      </c>
      <c r="D164" s="201" t="s">
        <v>282</v>
      </c>
      <c r="E164" s="201" t="s">
        <v>317</v>
      </c>
      <c r="F164" s="200" t="s">
        <v>445</v>
      </c>
      <c r="G164" s="200" t="s">
        <v>434</v>
      </c>
    </row>
    <row r="165" spans="1:7">
      <c r="A165" s="199" t="s">
        <v>500</v>
      </c>
      <c r="B165" s="200">
        <v>-8979</v>
      </c>
      <c r="C165" s="200">
        <v>0</v>
      </c>
      <c r="D165" s="201" t="s">
        <v>282</v>
      </c>
      <c r="E165" s="201" t="s">
        <v>317</v>
      </c>
      <c r="F165" s="200" t="s">
        <v>393</v>
      </c>
      <c r="G165" s="200" t="s">
        <v>434</v>
      </c>
    </row>
    <row r="166" spans="1:7">
      <c r="A166" s="199" t="s">
        <v>501</v>
      </c>
      <c r="B166" s="200">
        <v>-3055</v>
      </c>
      <c r="C166" s="200">
        <v>0</v>
      </c>
      <c r="D166" s="201" t="s">
        <v>282</v>
      </c>
      <c r="E166" s="201" t="s">
        <v>317</v>
      </c>
      <c r="F166" s="200" t="s">
        <v>394</v>
      </c>
      <c r="G166" s="200" t="s">
        <v>434</v>
      </c>
    </row>
    <row r="167" spans="1:7">
      <c r="A167" s="199" t="s">
        <v>501</v>
      </c>
      <c r="B167" s="200">
        <v>-99</v>
      </c>
      <c r="C167" s="200">
        <v>0</v>
      </c>
      <c r="D167" s="201" t="s">
        <v>282</v>
      </c>
      <c r="E167" s="201" t="s">
        <v>317</v>
      </c>
      <c r="F167" s="200" t="s">
        <v>393</v>
      </c>
      <c r="G167" s="200" t="s">
        <v>434</v>
      </c>
    </row>
    <row r="168" spans="1:7">
      <c r="A168" s="199" t="s">
        <v>501</v>
      </c>
      <c r="B168" s="200">
        <v>3154</v>
      </c>
      <c r="C168" s="200">
        <v>0</v>
      </c>
      <c r="D168" s="201" t="s">
        <v>282</v>
      </c>
      <c r="E168" s="201" t="s">
        <v>317</v>
      </c>
      <c r="F168" s="200" t="s">
        <v>403</v>
      </c>
      <c r="G168" s="200" t="s">
        <v>434</v>
      </c>
    </row>
    <row r="169" spans="1:7" hidden="1">
      <c r="A169" s="199" t="s">
        <v>502</v>
      </c>
      <c r="B169" s="200">
        <v>-207130</v>
      </c>
      <c r="C169" s="200">
        <v>0</v>
      </c>
      <c r="D169" s="201" t="s">
        <v>437</v>
      </c>
      <c r="E169" s="201" t="s">
        <v>320</v>
      </c>
      <c r="F169" s="200" t="s">
        <v>394</v>
      </c>
      <c r="G169" s="200" t="s">
        <v>434</v>
      </c>
    </row>
    <row r="170" spans="1:7" hidden="1">
      <c r="A170" s="199" t="s">
        <v>502</v>
      </c>
      <c r="B170" s="200">
        <v>207130</v>
      </c>
      <c r="C170" s="200">
        <v>0</v>
      </c>
      <c r="D170" s="201" t="s">
        <v>437</v>
      </c>
      <c r="E170" s="201" t="s">
        <v>320</v>
      </c>
      <c r="F170" s="200" t="s">
        <v>402</v>
      </c>
      <c r="G170" s="200" t="s">
        <v>434</v>
      </c>
    </row>
    <row r="171" spans="1:7" hidden="1">
      <c r="A171" s="199" t="s">
        <v>502</v>
      </c>
      <c r="B171" s="200">
        <v>15270</v>
      </c>
      <c r="C171" s="200">
        <v>0</v>
      </c>
      <c r="D171" s="201" t="s">
        <v>442</v>
      </c>
      <c r="E171" s="201" t="s">
        <v>320</v>
      </c>
      <c r="F171" s="200" t="s">
        <v>394</v>
      </c>
      <c r="G171" s="200" t="s">
        <v>434</v>
      </c>
    </row>
    <row r="172" spans="1:7" hidden="1">
      <c r="A172" s="199" t="s">
        <v>148</v>
      </c>
      <c r="B172" s="200">
        <v>-11245</v>
      </c>
      <c r="C172" s="200">
        <v>0</v>
      </c>
      <c r="D172" s="201" t="s">
        <v>283</v>
      </c>
      <c r="E172" s="201" t="s">
        <v>320</v>
      </c>
      <c r="F172" s="200" t="s">
        <v>394</v>
      </c>
      <c r="G172" s="200" t="s">
        <v>434</v>
      </c>
    </row>
    <row r="173" spans="1:7" hidden="1">
      <c r="A173" s="199" t="s">
        <v>148</v>
      </c>
      <c r="B173" s="200">
        <v>11245</v>
      </c>
      <c r="C173" s="200">
        <v>0</v>
      </c>
      <c r="D173" s="201" t="s">
        <v>283</v>
      </c>
      <c r="E173" s="201" t="s">
        <v>320</v>
      </c>
      <c r="F173" s="200" t="s">
        <v>441</v>
      </c>
      <c r="G173" s="200" t="s">
        <v>434</v>
      </c>
    </row>
    <row r="174" spans="1:7">
      <c r="A174" s="199" t="s">
        <v>148</v>
      </c>
      <c r="B174" s="200">
        <v>11523</v>
      </c>
      <c r="C174" s="200">
        <v>0</v>
      </c>
      <c r="D174" s="201" t="s">
        <v>282</v>
      </c>
      <c r="E174" s="201" t="s">
        <v>320</v>
      </c>
      <c r="F174" s="200" t="s">
        <v>394</v>
      </c>
      <c r="G174" s="200" t="s">
        <v>434</v>
      </c>
    </row>
    <row r="175" spans="1:7">
      <c r="A175" s="199" t="s">
        <v>148</v>
      </c>
      <c r="B175" s="200">
        <v>-278</v>
      </c>
      <c r="C175" s="200">
        <v>0</v>
      </c>
      <c r="D175" s="201" t="s">
        <v>282</v>
      </c>
      <c r="E175" s="201" t="s">
        <v>320</v>
      </c>
      <c r="F175" s="200" t="s">
        <v>413</v>
      </c>
      <c r="G175" s="200" t="s">
        <v>434</v>
      </c>
    </row>
    <row r="176" spans="1:7">
      <c r="A176" s="199" t="s">
        <v>148</v>
      </c>
      <c r="B176" s="200">
        <v>-11245</v>
      </c>
      <c r="C176" s="200">
        <v>0</v>
      </c>
      <c r="D176" s="201" t="s">
        <v>282</v>
      </c>
      <c r="E176" s="201" t="s">
        <v>320</v>
      </c>
      <c r="F176" s="200" t="s">
        <v>441</v>
      </c>
      <c r="G176" s="200" t="s">
        <v>434</v>
      </c>
    </row>
    <row r="177" spans="1:7" hidden="1">
      <c r="A177" s="199" t="s">
        <v>503</v>
      </c>
      <c r="B177" s="200">
        <v>6192</v>
      </c>
      <c r="C177" s="200">
        <v>0</v>
      </c>
      <c r="D177" s="201" t="s">
        <v>442</v>
      </c>
      <c r="E177" s="201" t="s">
        <v>320</v>
      </c>
      <c r="F177" s="200" t="s">
        <v>394</v>
      </c>
      <c r="G177" s="200" t="s">
        <v>434</v>
      </c>
    </row>
    <row r="178" spans="1:7" hidden="1">
      <c r="A178" s="199" t="s">
        <v>503</v>
      </c>
      <c r="B178" s="200">
        <v>-5341</v>
      </c>
      <c r="C178" s="200">
        <v>0</v>
      </c>
      <c r="D178" s="201" t="s">
        <v>442</v>
      </c>
      <c r="E178" s="201" t="s">
        <v>320</v>
      </c>
      <c r="F178" s="200" t="s">
        <v>409</v>
      </c>
      <c r="G178" s="200" t="s">
        <v>434</v>
      </c>
    </row>
    <row r="179" spans="1:7" hidden="1">
      <c r="A179" s="199" t="s">
        <v>504</v>
      </c>
      <c r="B179" s="200">
        <v>-12040</v>
      </c>
      <c r="C179" s="200">
        <v>0</v>
      </c>
      <c r="D179" s="201" t="s">
        <v>440</v>
      </c>
      <c r="E179" s="201" t="s">
        <v>439</v>
      </c>
      <c r="F179" s="200" t="s">
        <v>394</v>
      </c>
      <c r="G179" s="200" t="s">
        <v>434</v>
      </c>
    </row>
    <row r="180" spans="1:7" hidden="1">
      <c r="A180" s="199" t="s">
        <v>505</v>
      </c>
      <c r="B180" s="200">
        <v>17369</v>
      </c>
      <c r="C180" s="200">
        <v>0</v>
      </c>
      <c r="D180" s="201" t="s">
        <v>283</v>
      </c>
      <c r="E180" s="201" t="s">
        <v>320</v>
      </c>
      <c r="F180" s="200" t="s">
        <v>394</v>
      </c>
      <c r="G180" s="200" t="s">
        <v>434</v>
      </c>
    </row>
    <row r="181" spans="1:7" hidden="1">
      <c r="A181" s="199" t="s">
        <v>505</v>
      </c>
      <c r="B181" s="200">
        <v>-17369</v>
      </c>
      <c r="C181" s="200">
        <v>0</v>
      </c>
      <c r="D181" s="201" t="s">
        <v>283</v>
      </c>
      <c r="E181" s="201" t="s">
        <v>320</v>
      </c>
      <c r="F181" s="200" t="s">
        <v>441</v>
      </c>
      <c r="G181" s="200" t="s">
        <v>434</v>
      </c>
    </row>
    <row r="182" spans="1:7">
      <c r="A182" s="199" t="s">
        <v>505</v>
      </c>
      <c r="B182" s="200">
        <v>-43768</v>
      </c>
      <c r="C182" s="200">
        <v>0</v>
      </c>
      <c r="D182" s="201" t="s">
        <v>282</v>
      </c>
      <c r="E182" s="201" t="s">
        <v>320</v>
      </c>
      <c r="F182" s="200" t="s">
        <v>394</v>
      </c>
      <c r="G182" s="200" t="s">
        <v>434</v>
      </c>
    </row>
    <row r="183" spans="1:7">
      <c r="A183" s="199" t="s">
        <v>505</v>
      </c>
      <c r="B183" s="200">
        <v>26399</v>
      </c>
      <c r="C183" s="200">
        <v>0</v>
      </c>
      <c r="D183" s="201" t="s">
        <v>282</v>
      </c>
      <c r="E183" s="201" t="s">
        <v>320</v>
      </c>
      <c r="F183" s="200" t="s">
        <v>393</v>
      </c>
      <c r="G183" s="200" t="s">
        <v>434</v>
      </c>
    </row>
    <row r="184" spans="1:7">
      <c r="A184" s="199" t="s">
        <v>505</v>
      </c>
      <c r="B184" s="200">
        <v>17369</v>
      </c>
      <c r="C184" s="200">
        <v>0</v>
      </c>
      <c r="D184" s="201" t="s">
        <v>282</v>
      </c>
      <c r="E184" s="201" t="s">
        <v>320</v>
      </c>
      <c r="F184" s="200" t="s">
        <v>441</v>
      </c>
      <c r="G184" s="200" t="s">
        <v>434</v>
      </c>
    </row>
    <row r="185" spans="1:7">
      <c r="A185" s="199" t="s">
        <v>506</v>
      </c>
      <c r="B185" s="200">
        <v>-4021</v>
      </c>
      <c r="C185" s="200">
        <v>0</v>
      </c>
      <c r="D185" s="201" t="s">
        <v>282</v>
      </c>
      <c r="E185" s="201" t="s">
        <v>317</v>
      </c>
      <c r="F185" s="200" t="s">
        <v>394</v>
      </c>
      <c r="G185" s="200" t="s">
        <v>434</v>
      </c>
    </row>
    <row r="186" spans="1:7">
      <c r="A186" s="199" t="s">
        <v>506</v>
      </c>
      <c r="B186" s="200">
        <v>1320</v>
      </c>
      <c r="C186" s="200">
        <v>0</v>
      </c>
      <c r="D186" s="201" t="s">
        <v>282</v>
      </c>
      <c r="E186" s="201" t="s">
        <v>317</v>
      </c>
      <c r="F186" s="200" t="s">
        <v>445</v>
      </c>
      <c r="G186" s="200" t="s">
        <v>434</v>
      </c>
    </row>
    <row r="187" spans="1:7">
      <c r="A187" s="199" t="s">
        <v>506</v>
      </c>
      <c r="B187" s="200">
        <v>2701</v>
      </c>
      <c r="C187" s="200">
        <v>0</v>
      </c>
      <c r="D187" s="201" t="s">
        <v>282</v>
      </c>
      <c r="E187" s="201" t="s">
        <v>317</v>
      </c>
      <c r="F187" s="200" t="s">
        <v>403</v>
      </c>
      <c r="G187" s="200" t="s">
        <v>434</v>
      </c>
    </row>
    <row r="188" spans="1:7" hidden="1">
      <c r="A188" s="199" t="s">
        <v>507</v>
      </c>
      <c r="B188" s="200">
        <v>19119</v>
      </c>
      <c r="C188" s="200">
        <v>0</v>
      </c>
      <c r="D188" s="201" t="s">
        <v>442</v>
      </c>
      <c r="E188" s="201" t="s">
        <v>39</v>
      </c>
      <c r="F188" s="200" t="s">
        <v>394</v>
      </c>
      <c r="G188" s="200" t="s">
        <v>434</v>
      </c>
    </row>
    <row r="189" spans="1:7" hidden="1">
      <c r="A189" s="199" t="s">
        <v>358</v>
      </c>
      <c r="B189" s="200">
        <v>71</v>
      </c>
      <c r="C189" s="200">
        <v>0</v>
      </c>
      <c r="D189" s="201" t="s">
        <v>283</v>
      </c>
      <c r="E189" s="201" t="s">
        <v>322</v>
      </c>
      <c r="F189" s="200" t="s">
        <v>394</v>
      </c>
      <c r="G189" s="200" t="s">
        <v>434</v>
      </c>
    </row>
    <row r="190" spans="1:7" hidden="1">
      <c r="A190" s="199" t="s">
        <v>358</v>
      </c>
      <c r="B190" s="200">
        <v>-71</v>
      </c>
      <c r="C190" s="200">
        <v>0</v>
      </c>
      <c r="D190" s="201" t="s">
        <v>283</v>
      </c>
      <c r="E190" s="201" t="s">
        <v>322</v>
      </c>
      <c r="F190" s="200" t="s">
        <v>409</v>
      </c>
      <c r="G190" s="200" t="s">
        <v>434</v>
      </c>
    </row>
    <row r="191" spans="1:7" hidden="1">
      <c r="A191" s="199" t="s">
        <v>358</v>
      </c>
      <c r="B191" s="200">
        <v>-26</v>
      </c>
      <c r="C191" s="200">
        <v>0</v>
      </c>
      <c r="D191" s="201" t="s">
        <v>437</v>
      </c>
      <c r="E191" s="201" t="s">
        <v>322</v>
      </c>
      <c r="F191" s="200" t="s">
        <v>394</v>
      </c>
      <c r="G191" s="200" t="s">
        <v>434</v>
      </c>
    </row>
    <row r="192" spans="1:7" hidden="1">
      <c r="A192" s="199" t="s">
        <v>508</v>
      </c>
      <c r="B192" s="200">
        <v>-60</v>
      </c>
      <c r="C192" s="200">
        <v>0</v>
      </c>
      <c r="D192" s="201" t="s">
        <v>283</v>
      </c>
      <c r="E192" s="201" t="s">
        <v>315</v>
      </c>
      <c r="F192" s="200" t="s">
        <v>394</v>
      </c>
      <c r="G192" s="200" t="s">
        <v>434</v>
      </c>
    </row>
    <row r="193" spans="1:7" hidden="1">
      <c r="A193" s="199" t="s">
        <v>508</v>
      </c>
      <c r="B193" s="200">
        <v>-93</v>
      </c>
      <c r="C193" s="200">
        <v>0</v>
      </c>
      <c r="D193" s="201" t="s">
        <v>437</v>
      </c>
      <c r="E193" s="201" t="s">
        <v>315</v>
      </c>
      <c r="F193" s="200" t="s">
        <v>394</v>
      </c>
      <c r="G193" s="200" t="s">
        <v>434</v>
      </c>
    </row>
    <row r="194" spans="1:7">
      <c r="A194" s="199" t="s">
        <v>508</v>
      </c>
      <c r="B194" s="200">
        <v>-60</v>
      </c>
      <c r="C194" s="200">
        <v>0</v>
      </c>
      <c r="D194" s="201" t="s">
        <v>282</v>
      </c>
      <c r="E194" s="201" t="s">
        <v>315</v>
      </c>
      <c r="F194" s="200" t="s">
        <v>394</v>
      </c>
      <c r="G194" s="200" t="s">
        <v>434</v>
      </c>
    </row>
    <row r="195" spans="1:7" hidden="1">
      <c r="A195" s="199" t="s">
        <v>509</v>
      </c>
      <c r="B195" s="200">
        <v>60</v>
      </c>
      <c r="C195" s="200">
        <v>0</v>
      </c>
      <c r="D195" s="201" t="s">
        <v>283</v>
      </c>
      <c r="E195" s="201" t="s">
        <v>315</v>
      </c>
      <c r="F195" s="200" t="s">
        <v>394</v>
      </c>
      <c r="G195" s="200" t="s">
        <v>434</v>
      </c>
    </row>
    <row r="196" spans="1:7" hidden="1">
      <c r="A196" s="199" t="s">
        <v>509</v>
      </c>
      <c r="B196" s="200">
        <v>93</v>
      </c>
      <c r="C196" s="200">
        <v>0</v>
      </c>
      <c r="D196" s="201" t="s">
        <v>437</v>
      </c>
      <c r="E196" s="201" t="s">
        <v>315</v>
      </c>
      <c r="F196" s="200" t="s">
        <v>394</v>
      </c>
      <c r="G196" s="200" t="s">
        <v>434</v>
      </c>
    </row>
    <row r="197" spans="1:7">
      <c r="A197" s="199" t="s">
        <v>509</v>
      </c>
      <c r="B197" s="200">
        <v>60</v>
      </c>
      <c r="C197" s="200">
        <v>0</v>
      </c>
      <c r="D197" s="201" t="s">
        <v>282</v>
      </c>
      <c r="E197" s="201" t="s">
        <v>315</v>
      </c>
      <c r="F197" s="200" t="s">
        <v>394</v>
      </c>
      <c r="G197" s="200" t="s">
        <v>434</v>
      </c>
    </row>
    <row r="198" spans="1:7" hidden="1">
      <c r="A198" s="199" t="s">
        <v>510</v>
      </c>
      <c r="B198" s="200">
        <v>20853</v>
      </c>
      <c r="C198" s="200">
        <v>0</v>
      </c>
      <c r="D198" s="201" t="s">
        <v>283</v>
      </c>
      <c r="E198" s="201" t="s">
        <v>320</v>
      </c>
      <c r="F198" s="200" t="s">
        <v>394</v>
      </c>
      <c r="G198" s="200" t="s">
        <v>434</v>
      </c>
    </row>
    <row r="199" spans="1:7">
      <c r="A199" s="199" t="s">
        <v>510</v>
      </c>
      <c r="B199" s="200">
        <v>-20853</v>
      </c>
      <c r="C199" s="200">
        <v>0</v>
      </c>
      <c r="D199" s="201" t="s">
        <v>282</v>
      </c>
      <c r="E199" s="201" t="s">
        <v>320</v>
      </c>
      <c r="F199" s="200" t="s">
        <v>394</v>
      </c>
      <c r="G199" s="200" t="s">
        <v>434</v>
      </c>
    </row>
    <row r="200" spans="1:7">
      <c r="A200" s="199" t="s">
        <v>510</v>
      </c>
      <c r="B200" s="200">
        <v>41706</v>
      </c>
      <c r="C200" s="200">
        <v>0</v>
      </c>
      <c r="D200" s="201" t="s">
        <v>282</v>
      </c>
      <c r="E200" s="201" t="s">
        <v>320</v>
      </c>
      <c r="F200" s="200" t="s">
        <v>393</v>
      </c>
      <c r="G200" s="200" t="s">
        <v>434</v>
      </c>
    </row>
    <row r="201" spans="1:7" hidden="1">
      <c r="A201" s="199" t="s">
        <v>511</v>
      </c>
      <c r="B201" s="200">
        <v>188</v>
      </c>
      <c r="C201" s="200">
        <v>0</v>
      </c>
      <c r="D201" s="201" t="s">
        <v>283</v>
      </c>
      <c r="E201" s="201" t="s">
        <v>324</v>
      </c>
      <c r="F201" s="200" t="s">
        <v>394</v>
      </c>
      <c r="G201" s="200" t="s">
        <v>434</v>
      </c>
    </row>
    <row r="202" spans="1:7">
      <c r="A202" s="199" t="s">
        <v>511</v>
      </c>
      <c r="B202" s="200">
        <v>-188</v>
      </c>
      <c r="C202" s="200">
        <v>0</v>
      </c>
      <c r="D202" s="201" t="s">
        <v>282</v>
      </c>
      <c r="E202" s="201" t="s">
        <v>324</v>
      </c>
      <c r="F202" s="200" t="s">
        <v>394</v>
      </c>
      <c r="G202" s="200" t="s">
        <v>434</v>
      </c>
    </row>
    <row r="203" spans="1:7">
      <c r="A203" s="199" t="s">
        <v>511</v>
      </c>
      <c r="B203" s="200">
        <v>375</v>
      </c>
      <c r="C203" s="200">
        <v>0</v>
      </c>
      <c r="D203" s="201" t="s">
        <v>282</v>
      </c>
      <c r="E203" s="201" t="s">
        <v>324</v>
      </c>
      <c r="F203" s="200" t="s">
        <v>408</v>
      </c>
      <c r="G203" s="200" t="s">
        <v>434</v>
      </c>
    </row>
    <row r="204" spans="1:7" hidden="1">
      <c r="A204" s="199" t="s">
        <v>512</v>
      </c>
      <c r="B204" s="200">
        <v>464</v>
      </c>
      <c r="C204" s="200">
        <v>0</v>
      </c>
      <c r="D204" s="201" t="s">
        <v>283</v>
      </c>
      <c r="E204" s="201" t="s">
        <v>324</v>
      </c>
      <c r="F204" s="200" t="s">
        <v>394</v>
      </c>
      <c r="G204" s="200" t="s">
        <v>434</v>
      </c>
    </row>
    <row r="205" spans="1:7">
      <c r="A205" s="199" t="s">
        <v>512</v>
      </c>
      <c r="B205" s="200">
        <v>-464</v>
      </c>
      <c r="C205" s="200">
        <v>0</v>
      </c>
      <c r="D205" s="201" t="s">
        <v>282</v>
      </c>
      <c r="E205" s="201" t="s">
        <v>324</v>
      </c>
      <c r="F205" s="200" t="s">
        <v>394</v>
      </c>
      <c r="G205" s="200" t="s">
        <v>434</v>
      </c>
    </row>
    <row r="206" spans="1:7">
      <c r="A206" s="199" t="s">
        <v>512</v>
      </c>
      <c r="B206" s="200">
        <v>927</v>
      </c>
      <c r="C206" s="200">
        <v>0</v>
      </c>
      <c r="D206" s="201" t="s">
        <v>282</v>
      </c>
      <c r="E206" s="201" t="s">
        <v>324</v>
      </c>
      <c r="F206" s="200" t="s">
        <v>408</v>
      </c>
      <c r="G206" s="200" t="s">
        <v>434</v>
      </c>
    </row>
    <row r="207" spans="1:7">
      <c r="A207" s="199" t="s">
        <v>513</v>
      </c>
      <c r="B207" s="200">
        <v>75568</v>
      </c>
      <c r="C207" s="200">
        <v>0</v>
      </c>
      <c r="D207" s="201" t="s">
        <v>282</v>
      </c>
      <c r="E207" s="201" t="s">
        <v>320</v>
      </c>
      <c r="F207" s="200" t="s">
        <v>394</v>
      </c>
      <c r="G207" s="200" t="s">
        <v>434</v>
      </c>
    </row>
    <row r="208" spans="1:7">
      <c r="A208" s="199" t="s">
        <v>513</v>
      </c>
      <c r="B208" s="200">
        <v>-75568</v>
      </c>
      <c r="C208" s="200">
        <v>0</v>
      </c>
      <c r="D208" s="201" t="s">
        <v>282</v>
      </c>
      <c r="E208" s="201" t="s">
        <v>320</v>
      </c>
      <c r="F208" s="200" t="s">
        <v>393</v>
      </c>
      <c r="G208" s="200" t="s">
        <v>434</v>
      </c>
    </row>
    <row r="209" spans="1:7" hidden="1">
      <c r="A209" s="199" t="s">
        <v>514</v>
      </c>
      <c r="B209" s="200">
        <v>-2306480</v>
      </c>
      <c r="C209" s="200">
        <v>0</v>
      </c>
      <c r="D209" s="201" t="s">
        <v>440</v>
      </c>
      <c r="E209" s="201" t="s">
        <v>320</v>
      </c>
      <c r="F209" s="200" t="s">
        <v>394</v>
      </c>
      <c r="G209" s="200" t="s">
        <v>434</v>
      </c>
    </row>
    <row r="210" spans="1:7" hidden="1">
      <c r="A210" s="199" t="s">
        <v>514</v>
      </c>
      <c r="B210" s="200">
        <v>-48940</v>
      </c>
      <c r="C210" s="200">
        <v>0</v>
      </c>
      <c r="D210" s="201" t="s">
        <v>440</v>
      </c>
      <c r="E210" s="201" t="s">
        <v>320</v>
      </c>
      <c r="F210" s="200" t="s">
        <v>397</v>
      </c>
      <c r="G210" s="200" t="s">
        <v>434</v>
      </c>
    </row>
    <row r="211" spans="1:7" hidden="1">
      <c r="A211" s="199" t="s">
        <v>514</v>
      </c>
      <c r="B211" s="200">
        <v>-64000</v>
      </c>
      <c r="C211" s="200">
        <v>0</v>
      </c>
      <c r="D211" s="201" t="s">
        <v>440</v>
      </c>
      <c r="E211" s="201" t="s">
        <v>320</v>
      </c>
      <c r="F211" s="200" t="s">
        <v>410</v>
      </c>
      <c r="G211" s="200" t="s">
        <v>434</v>
      </c>
    </row>
    <row r="212" spans="1:7" hidden="1">
      <c r="A212" s="199" t="s">
        <v>514</v>
      </c>
      <c r="B212" s="200">
        <v>80000</v>
      </c>
      <c r="C212" s="200">
        <v>0</v>
      </c>
      <c r="D212" s="201" t="s">
        <v>440</v>
      </c>
      <c r="E212" s="201" t="s">
        <v>320</v>
      </c>
      <c r="F212" s="200" t="s">
        <v>441</v>
      </c>
      <c r="G212" s="200" t="s">
        <v>434</v>
      </c>
    </row>
    <row r="213" spans="1:7" hidden="1">
      <c r="A213" s="199" t="s">
        <v>514</v>
      </c>
      <c r="B213" s="200">
        <v>415000</v>
      </c>
      <c r="C213" s="200">
        <v>0</v>
      </c>
      <c r="D213" s="201" t="s">
        <v>440</v>
      </c>
      <c r="E213" s="201" t="s">
        <v>320</v>
      </c>
      <c r="F213" s="200" t="s">
        <v>402</v>
      </c>
      <c r="G213" s="200" t="s">
        <v>434</v>
      </c>
    </row>
    <row r="214" spans="1:7" hidden="1">
      <c r="A214" s="199" t="s">
        <v>514</v>
      </c>
      <c r="B214" s="200">
        <v>-70000</v>
      </c>
      <c r="C214" s="200">
        <v>0</v>
      </c>
      <c r="D214" s="201" t="s">
        <v>437</v>
      </c>
      <c r="E214" s="201" t="s">
        <v>320</v>
      </c>
      <c r="F214" s="200" t="s">
        <v>410</v>
      </c>
      <c r="G214" s="200" t="s">
        <v>434</v>
      </c>
    </row>
    <row r="215" spans="1:7" hidden="1">
      <c r="A215" s="199" t="s">
        <v>514</v>
      </c>
      <c r="B215" s="200">
        <v>-80000</v>
      </c>
      <c r="C215" s="200">
        <v>0</v>
      </c>
      <c r="D215" s="201" t="s">
        <v>437</v>
      </c>
      <c r="E215" s="201" t="s">
        <v>320</v>
      </c>
      <c r="F215" s="200" t="s">
        <v>441</v>
      </c>
      <c r="G215" s="200" t="s">
        <v>434</v>
      </c>
    </row>
    <row r="216" spans="1:7" hidden="1">
      <c r="A216" s="199" t="s">
        <v>514</v>
      </c>
      <c r="B216" s="200">
        <v>150000</v>
      </c>
      <c r="C216" s="200">
        <v>0</v>
      </c>
      <c r="D216" s="201" t="s">
        <v>437</v>
      </c>
      <c r="E216" s="201" t="s">
        <v>320</v>
      </c>
      <c r="F216" s="200" t="s">
        <v>402</v>
      </c>
      <c r="G216" s="200" t="s">
        <v>434</v>
      </c>
    </row>
    <row r="217" spans="1:7" hidden="1">
      <c r="A217" s="199" t="s">
        <v>514</v>
      </c>
      <c r="B217" s="200">
        <v>-66072</v>
      </c>
      <c r="C217" s="200">
        <v>0</v>
      </c>
      <c r="D217" s="201" t="s">
        <v>442</v>
      </c>
      <c r="E217" s="201" t="s">
        <v>320</v>
      </c>
      <c r="F217" s="200" t="s">
        <v>394</v>
      </c>
      <c r="G217" s="200" t="s">
        <v>434</v>
      </c>
    </row>
    <row r="218" spans="1:7">
      <c r="A218" s="199" t="s">
        <v>149</v>
      </c>
      <c r="B218" s="200">
        <v>-75425</v>
      </c>
      <c r="C218" s="200">
        <v>0</v>
      </c>
      <c r="D218" s="201" t="s">
        <v>282</v>
      </c>
      <c r="E218" s="201" t="s">
        <v>320</v>
      </c>
      <c r="F218" s="200" t="s">
        <v>394</v>
      </c>
      <c r="G218" s="200" t="s">
        <v>434</v>
      </c>
    </row>
    <row r="219" spans="1:7">
      <c r="A219" s="199" t="s">
        <v>149</v>
      </c>
      <c r="B219" s="200">
        <v>20837</v>
      </c>
      <c r="C219" s="200">
        <v>0</v>
      </c>
      <c r="D219" s="201" t="s">
        <v>282</v>
      </c>
      <c r="E219" s="201" t="s">
        <v>320</v>
      </c>
      <c r="F219" s="200" t="s">
        <v>445</v>
      </c>
      <c r="G219" s="200" t="s">
        <v>434</v>
      </c>
    </row>
    <row r="220" spans="1:7">
      <c r="A220" s="199" t="s">
        <v>149</v>
      </c>
      <c r="B220" s="200">
        <v>32171</v>
      </c>
      <c r="C220" s="200">
        <v>0</v>
      </c>
      <c r="D220" s="201" t="s">
        <v>282</v>
      </c>
      <c r="E220" s="201" t="s">
        <v>320</v>
      </c>
      <c r="F220" s="200" t="s">
        <v>393</v>
      </c>
      <c r="G220" s="200" t="s">
        <v>434</v>
      </c>
    </row>
    <row r="221" spans="1:7">
      <c r="A221" s="199" t="s">
        <v>149</v>
      </c>
      <c r="B221" s="200">
        <v>22417</v>
      </c>
      <c r="C221" s="200">
        <v>0</v>
      </c>
      <c r="D221" s="201" t="s">
        <v>282</v>
      </c>
      <c r="E221" s="201" t="s">
        <v>320</v>
      </c>
      <c r="F221" s="200" t="s">
        <v>403</v>
      </c>
      <c r="G221" s="200" t="s">
        <v>434</v>
      </c>
    </row>
    <row r="222" spans="1:7">
      <c r="A222" s="199" t="s">
        <v>515</v>
      </c>
      <c r="B222" s="200">
        <v>-324</v>
      </c>
      <c r="C222" s="200">
        <v>0</v>
      </c>
      <c r="D222" s="201" t="s">
        <v>282</v>
      </c>
      <c r="E222" s="201" t="s">
        <v>324</v>
      </c>
      <c r="F222" s="200" t="s">
        <v>394</v>
      </c>
      <c r="G222" s="200" t="s">
        <v>434</v>
      </c>
    </row>
    <row r="223" spans="1:7">
      <c r="A223" s="199" t="s">
        <v>515</v>
      </c>
      <c r="B223" s="200">
        <v>324</v>
      </c>
      <c r="C223" s="200">
        <v>0</v>
      </c>
      <c r="D223" s="201" t="s">
        <v>282</v>
      </c>
      <c r="E223" s="201" t="s">
        <v>324</v>
      </c>
      <c r="F223" s="200" t="s">
        <v>408</v>
      </c>
      <c r="G223" s="200" t="s">
        <v>434</v>
      </c>
    </row>
    <row r="224" spans="1:7">
      <c r="A224" s="199" t="s">
        <v>516</v>
      </c>
      <c r="B224" s="200">
        <v>1641</v>
      </c>
      <c r="C224" s="200">
        <v>0</v>
      </c>
      <c r="D224" s="201" t="s">
        <v>282</v>
      </c>
      <c r="E224" s="201" t="s">
        <v>317</v>
      </c>
      <c r="F224" s="200" t="s">
        <v>394</v>
      </c>
      <c r="G224" s="200" t="s">
        <v>434</v>
      </c>
    </row>
    <row r="225" spans="1:7">
      <c r="A225" s="199" t="s">
        <v>516</v>
      </c>
      <c r="B225" s="200">
        <v>-1641</v>
      </c>
      <c r="C225" s="200">
        <v>0</v>
      </c>
      <c r="D225" s="201" t="s">
        <v>282</v>
      </c>
      <c r="E225" s="201" t="s">
        <v>317</v>
      </c>
      <c r="F225" s="200" t="s">
        <v>393</v>
      </c>
      <c r="G225" s="200" t="s">
        <v>434</v>
      </c>
    </row>
    <row r="226" spans="1:7" hidden="1">
      <c r="A226" s="199" t="s">
        <v>45</v>
      </c>
      <c r="B226" s="200">
        <v>60860</v>
      </c>
      <c r="C226" s="200">
        <v>0</v>
      </c>
      <c r="D226" s="201" t="s">
        <v>437</v>
      </c>
      <c r="E226" s="201" t="s">
        <v>320</v>
      </c>
      <c r="F226" s="200" t="s">
        <v>394</v>
      </c>
      <c r="G226" s="200" t="s">
        <v>434</v>
      </c>
    </row>
    <row r="227" spans="1:7" hidden="1">
      <c r="A227" s="199" t="s">
        <v>45</v>
      </c>
      <c r="B227" s="200">
        <v>-60860</v>
      </c>
      <c r="C227" s="200">
        <v>0</v>
      </c>
      <c r="D227" s="201" t="s">
        <v>437</v>
      </c>
      <c r="E227" s="201" t="s">
        <v>320</v>
      </c>
      <c r="F227" s="200" t="s">
        <v>393</v>
      </c>
      <c r="G227" s="200" t="s">
        <v>434</v>
      </c>
    </row>
    <row r="228" spans="1:7" hidden="1">
      <c r="A228" s="199" t="s">
        <v>395</v>
      </c>
      <c r="B228" s="200">
        <v>1025</v>
      </c>
      <c r="C228" s="200">
        <v>0</v>
      </c>
      <c r="D228" s="201" t="s">
        <v>283</v>
      </c>
      <c r="E228" s="201" t="s">
        <v>517</v>
      </c>
      <c r="F228" s="200" t="s">
        <v>394</v>
      </c>
      <c r="G228" s="200" t="s">
        <v>434</v>
      </c>
    </row>
    <row r="229" spans="1:7">
      <c r="A229" s="199" t="s">
        <v>395</v>
      </c>
      <c r="B229" s="200">
        <v>883</v>
      </c>
      <c r="C229" s="200">
        <v>0</v>
      </c>
      <c r="D229" s="201" t="s">
        <v>282</v>
      </c>
      <c r="E229" s="201" t="s">
        <v>517</v>
      </c>
      <c r="F229" s="200" t="s">
        <v>394</v>
      </c>
      <c r="G229" s="200" t="s">
        <v>434</v>
      </c>
    </row>
    <row r="230" spans="1:7">
      <c r="A230" s="199" t="s">
        <v>395</v>
      </c>
      <c r="B230" s="200">
        <v>139</v>
      </c>
      <c r="C230" s="200">
        <v>0</v>
      </c>
      <c r="D230" s="201" t="s">
        <v>282</v>
      </c>
      <c r="E230" s="201" t="s">
        <v>517</v>
      </c>
      <c r="F230" s="200" t="s">
        <v>393</v>
      </c>
      <c r="G230" s="200" t="s">
        <v>434</v>
      </c>
    </row>
    <row r="231" spans="1:7" hidden="1">
      <c r="A231" s="199" t="s">
        <v>518</v>
      </c>
      <c r="B231" s="200">
        <v>-140000</v>
      </c>
      <c r="C231" s="200">
        <v>0</v>
      </c>
      <c r="D231" s="201" t="s">
        <v>440</v>
      </c>
      <c r="E231" s="201" t="s">
        <v>39</v>
      </c>
      <c r="F231" s="200" t="s">
        <v>394</v>
      </c>
      <c r="G231" s="200" t="s">
        <v>434</v>
      </c>
    </row>
    <row r="232" spans="1:7" hidden="1">
      <c r="A232" s="199" t="s">
        <v>518</v>
      </c>
      <c r="B232" s="200">
        <v>-16500</v>
      </c>
      <c r="C232" s="200">
        <v>0</v>
      </c>
      <c r="D232" s="201" t="s">
        <v>440</v>
      </c>
      <c r="E232" s="201" t="s">
        <v>39</v>
      </c>
      <c r="F232" s="200" t="s">
        <v>441</v>
      </c>
      <c r="G232" s="200" t="s">
        <v>434</v>
      </c>
    </row>
    <row r="233" spans="1:7" hidden="1">
      <c r="A233" s="199" t="s">
        <v>518</v>
      </c>
      <c r="B233" s="200">
        <v>210000</v>
      </c>
      <c r="C233" s="200">
        <v>0</v>
      </c>
      <c r="D233" s="201" t="s">
        <v>440</v>
      </c>
      <c r="E233" s="201" t="s">
        <v>39</v>
      </c>
      <c r="F233" s="200" t="s">
        <v>411</v>
      </c>
      <c r="G233" s="200" t="s">
        <v>434</v>
      </c>
    </row>
    <row r="234" spans="1:7" hidden="1">
      <c r="A234" s="199" t="s">
        <v>518</v>
      </c>
      <c r="B234" s="200">
        <v>-53500</v>
      </c>
      <c r="C234" s="200">
        <v>0</v>
      </c>
      <c r="D234" s="201" t="s">
        <v>440</v>
      </c>
      <c r="E234" s="201" t="s">
        <v>39</v>
      </c>
      <c r="F234" s="200" t="s">
        <v>402</v>
      </c>
      <c r="G234" s="200" t="s">
        <v>434</v>
      </c>
    </row>
    <row r="235" spans="1:7" hidden="1">
      <c r="A235" s="199" t="s">
        <v>519</v>
      </c>
      <c r="B235" s="200">
        <v>-16500</v>
      </c>
      <c r="C235" s="200">
        <v>0</v>
      </c>
      <c r="D235" s="201" t="s">
        <v>440</v>
      </c>
      <c r="E235" s="201" t="s">
        <v>39</v>
      </c>
      <c r="F235" s="200" t="s">
        <v>394</v>
      </c>
      <c r="G235" s="200" t="s">
        <v>434</v>
      </c>
    </row>
    <row r="236" spans="1:7" hidden="1">
      <c r="A236" s="199" t="s">
        <v>519</v>
      </c>
      <c r="B236" s="200">
        <v>16500</v>
      </c>
      <c r="C236" s="200">
        <v>0</v>
      </c>
      <c r="D236" s="201" t="s">
        <v>440</v>
      </c>
      <c r="E236" s="201" t="s">
        <v>39</v>
      </c>
      <c r="F236" s="200" t="s">
        <v>441</v>
      </c>
      <c r="G236" s="200" t="s">
        <v>434</v>
      </c>
    </row>
    <row r="237" spans="1:7">
      <c r="A237" s="199" t="s">
        <v>303</v>
      </c>
      <c r="B237" s="200">
        <v>-5405</v>
      </c>
      <c r="C237" s="200">
        <v>0</v>
      </c>
      <c r="D237" s="201" t="s">
        <v>282</v>
      </c>
      <c r="E237" s="201" t="s">
        <v>317</v>
      </c>
      <c r="F237" s="200" t="s">
        <v>394</v>
      </c>
      <c r="G237" s="200" t="s">
        <v>434</v>
      </c>
    </row>
    <row r="238" spans="1:7">
      <c r="A238" s="199" t="s">
        <v>303</v>
      </c>
      <c r="B238" s="200">
        <v>5656</v>
      </c>
      <c r="C238" s="200">
        <v>0</v>
      </c>
      <c r="D238" s="201" t="s">
        <v>282</v>
      </c>
      <c r="E238" s="201" t="s">
        <v>317</v>
      </c>
      <c r="F238" s="200" t="s">
        <v>445</v>
      </c>
      <c r="G238" s="200" t="s">
        <v>434</v>
      </c>
    </row>
    <row r="239" spans="1:7">
      <c r="A239" s="199" t="s">
        <v>303</v>
      </c>
      <c r="B239" s="200">
        <v>491</v>
      </c>
      <c r="C239" s="200">
        <v>0</v>
      </c>
      <c r="D239" s="201" t="s">
        <v>282</v>
      </c>
      <c r="E239" s="201" t="s">
        <v>317</v>
      </c>
      <c r="F239" s="200" t="s">
        <v>393</v>
      </c>
      <c r="G239" s="200" t="s">
        <v>434</v>
      </c>
    </row>
    <row r="240" spans="1:7">
      <c r="A240" s="199" t="s">
        <v>303</v>
      </c>
      <c r="B240" s="200">
        <v>-742</v>
      </c>
      <c r="C240" s="200">
        <v>0</v>
      </c>
      <c r="D240" s="201" t="s">
        <v>282</v>
      </c>
      <c r="E240" s="201" t="s">
        <v>317</v>
      </c>
      <c r="F240" s="200" t="s">
        <v>403</v>
      </c>
      <c r="G240" s="200" t="s">
        <v>434</v>
      </c>
    </row>
    <row r="241" spans="1:7" hidden="1">
      <c r="A241" s="199" t="s">
        <v>520</v>
      </c>
      <c r="B241" s="200">
        <v>460000</v>
      </c>
      <c r="C241" s="200">
        <v>0</v>
      </c>
      <c r="D241" s="201" t="s">
        <v>437</v>
      </c>
      <c r="E241" s="201" t="s">
        <v>320</v>
      </c>
      <c r="F241" s="200" t="s">
        <v>394</v>
      </c>
      <c r="G241" s="200" t="s">
        <v>434</v>
      </c>
    </row>
    <row r="242" spans="1:7" hidden="1">
      <c r="A242" s="199" t="s">
        <v>520</v>
      </c>
      <c r="B242" s="200">
        <v>-460000</v>
      </c>
      <c r="C242" s="200">
        <v>0</v>
      </c>
      <c r="D242" s="201" t="s">
        <v>437</v>
      </c>
      <c r="E242" s="201" t="s">
        <v>320</v>
      </c>
      <c r="F242" s="200" t="s">
        <v>393</v>
      </c>
      <c r="G242" s="200" t="s">
        <v>434</v>
      </c>
    </row>
    <row r="243" spans="1:7" hidden="1">
      <c r="A243" s="199" t="s">
        <v>521</v>
      </c>
      <c r="B243" s="200">
        <v>-14373</v>
      </c>
      <c r="C243" s="200">
        <v>0</v>
      </c>
      <c r="D243" s="201" t="s">
        <v>442</v>
      </c>
      <c r="E243" s="201" t="s">
        <v>522</v>
      </c>
      <c r="F243" s="200" t="s">
        <v>394</v>
      </c>
      <c r="G243" s="200" t="s">
        <v>434</v>
      </c>
    </row>
    <row r="244" spans="1:7" hidden="1">
      <c r="A244" s="199" t="s">
        <v>523</v>
      </c>
      <c r="B244" s="200">
        <v>100000</v>
      </c>
      <c r="C244" s="200">
        <v>0</v>
      </c>
      <c r="D244" s="201" t="s">
        <v>474</v>
      </c>
      <c r="E244" s="201" t="s">
        <v>320</v>
      </c>
      <c r="F244" s="200" t="s">
        <v>394</v>
      </c>
      <c r="G244" s="200" t="s">
        <v>434</v>
      </c>
    </row>
    <row r="245" spans="1:7" hidden="1">
      <c r="A245" s="199" t="s">
        <v>523</v>
      </c>
      <c r="B245" s="200">
        <v>-100000</v>
      </c>
      <c r="C245" s="200">
        <v>0</v>
      </c>
      <c r="D245" s="201" t="s">
        <v>474</v>
      </c>
      <c r="E245" s="201" t="s">
        <v>320</v>
      </c>
      <c r="F245" s="200" t="s">
        <v>402</v>
      </c>
      <c r="G245" s="200" t="s">
        <v>434</v>
      </c>
    </row>
    <row r="246" spans="1:7" hidden="1">
      <c r="A246" s="199" t="s">
        <v>89</v>
      </c>
      <c r="B246" s="200">
        <v>-4637</v>
      </c>
      <c r="C246" s="200">
        <v>0</v>
      </c>
      <c r="D246" s="201" t="s">
        <v>283</v>
      </c>
      <c r="E246" s="201" t="s">
        <v>320</v>
      </c>
      <c r="F246" s="200" t="s">
        <v>394</v>
      </c>
      <c r="G246" s="200" t="s">
        <v>434</v>
      </c>
    </row>
    <row r="247" spans="1:7" hidden="1">
      <c r="A247" s="199" t="s">
        <v>89</v>
      </c>
      <c r="B247" s="200">
        <v>4637</v>
      </c>
      <c r="C247" s="200">
        <v>0</v>
      </c>
      <c r="D247" s="201" t="s">
        <v>283</v>
      </c>
      <c r="E247" s="201" t="s">
        <v>320</v>
      </c>
      <c r="F247" s="200" t="s">
        <v>441</v>
      </c>
      <c r="G247" s="200" t="s">
        <v>434</v>
      </c>
    </row>
    <row r="248" spans="1:7">
      <c r="A248" s="199" t="s">
        <v>89</v>
      </c>
      <c r="B248" s="200">
        <v>-67638</v>
      </c>
      <c r="C248" s="200">
        <v>0</v>
      </c>
      <c r="D248" s="201" t="s">
        <v>282</v>
      </c>
      <c r="E248" s="201" t="s">
        <v>320</v>
      </c>
      <c r="F248" s="200" t="s">
        <v>394</v>
      </c>
      <c r="G248" s="200" t="s">
        <v>434</v>
      </c>
    </row>
    <row r="249" spans="1:7">
      <c r="A249" s="199" t="s">
        <v>89</v>
      </c>
      <c r="B249" s="200">
        <v>42563</v>
      </c>
      <c r="C249" s="200">
        <v>0</v>
      </c>
      <c r="D249" s="201" t="s">
        <v>282</v>
      </c>
      <c r="E249" s="201" t="s">
        <v>320</v>
      </c>
      <c r="F249" s="200" t="s">
        <v>393</v>
      </c>
      <c r="G249" s="200" t="s">
        <v>434</v>
      </c>
    </row>
    <row r="250" spans="1:7">
      <c r="A250" s="199" t="s">
        <v>89</v>
      </c>
      <c r="B250" s="200">
        <v>16211</v>
      </c>
      <c r="C250" s="200">
        <v>0</v>
      </c>
      <c r="D250" s="201" t="s">
        <v>282</v>
      </c>
      <c r="E250" s="201" t="s">
        <v>320</v>
      </c>
      <c r="F250" s="200" t="s">
        <v>413</v>
      </c>
      <c r="G250" s="200" t="s">
        <v>434</v>
      </c>
    </row>
    <row r="251" spans="1:7">
      <c r="A251" s="199" t="s">
        <v>89</v>
      </c>
      <c r="B251" s="200">
        <v>26229</v>
      </c>
      <c r="C251" s="200">
        <v>0</v>
      </c>
      <c r="D251" s="201" t="s">
        <v>282</v>
      </c>
      <c r="E251" s="201" t="s">
        <v>320</v>
      </c>
      <c r="F251" s="200" t="s">
        <v>403</v>
      </c>
      <c r="G251" s="200" t="s">
        <v>434</v>
      </c>
    </row>
    <row r="252" spans="1:7">
      <c r="A252" s="199" t="s">
        <v>89</v>
      </c>
      <c r="B252" s="200">
        <v>-4637</v>
      </c>
      <c r="C252" s="200">
        <v>0</v>
      </c>
      <c r="D252" s="201" t="s">
        <v>282</v>
      </c>
      <c r="E252" s="201" t="s">
        <v>320</v>
      </c>
      <c r="F252" s="200" t="s">
        <v>441</v>
      </c>
      <c r="G252" s="200" t="s">
        <v>434</v>
      </c>
    </row>
    <row r="253" spans="1:7">
      <c r="A253" s="199" t="s">
        <v>89</v>
      </c>
      <c r="B253" s="200">
        <v>-12728</v>
      </c>
      <c r="C253" s="200">
        <v>0</v>
      </c>
      <c r="D253" s="201" t="s">
        <v>282</v>
      </c>
      <c r="E253" s="201" t="s">
        <v>320</v>
      </c>
      <c r="F253" s="200" t="s">
        <v>411</v>
      </c>
      <c r="G253" s="200" t="s">
        <v>434</v>
      </c>
    </row>
    <row r="254" spans="1:7" hidden="1">
      <c r="A254" s="199" t="s">
        <v>234</v>
      </c>
      <c r="B254" s="200">
        <v>695</v>
      </c>
      <c r="C254" s="200">
        <v>0</v>
      </c>
      <c r="D254" s="201" t="s">
        <v>283</v>
      </c>
      <c r="E254" s="201" t="s">
        <v>319</v>
      </c>
      <c r="F254" s="200" t="s">
        <v>441</v>
      </c>
      <c r="G254" s="200" t="s">
        <v>434</v>
      </c>
    </row>
    <row r="255" spans="1:7">
      <c r="A255" s="199" t="s">
        <v>234</v>
      </c>
      <c r="B255" s="200">
        <v>1390</v>
      </c>
      <c r="C255" s="200">
        <v>0</v>
      </c>
      <c r="D255" s="201" t="s">
        <v>282</v>
      </c>
      <c r="E255" s="201" t="s">
        <v>319</v>
      </c>
      <c r="F255" s="200" t="s">
        <v>408</v>
      </c>
      <c r="G255" s="200" t="s">
        <v>434</v>
      </c>
    </row>
    <row r="256" spans="1:7">
      <c r="A256" s="199" t="s">
        <v>234</v>
      </c>
      <c r="B256" s="200">
        <v>-695</v>
      </c>
      <c r="C256" s="200">
        <v>0</v>
      </c>
      <c r="D256" s="201" t="s">
        <v>282</v>
      </c>
      <c r="E256" s="201" t="s">
        <v>319</v>
      </c>
      <c r="F256" s="200" t="s">
        <v>441</v>
      </c>
      <c r="G256" s="200" t="s">
        <v>434</v>
      </c>
    </row>
    <row r="257" spans="1:7" hidden="1">
      <c r="A257" s="199" t="s">
        <v>524</v>
      </c>
      <c r="B257" s="200">
        <v>10631200</v>
      </c>
      <c r="C257" s="200">
        <v>0</v>
      </c>
      <c r="D257" s="201" t="s">
        <v>437</v>
      </c>
      <c r="E257" s="201" t="s">
        <v>525</v>
      </c>
      <c r="F257" s="200" t="s">
        <v>394</v>
      </c>
      <c r="G257" s="200" t="s">
        <v>434</v>
      </c>
    </row>
    <row r="258" spans="1:7" hidden="1">
      <c r="A258" s="199" t="s">
        <v>524</v>
      </c>
      <c r="B258" s="200">
        <v>-10631200</v>
      </c>
      <c r="C258" s="200">
        <v>0</v>
      </c>
      <c r="D258" s="201" t="s">
        <v>437</v>
      </c>
      <c r="E258" s="201" t="s">
        <v>525</v>
      </c>
      <c r="F258" s="200" t="s">
        <v>393</v>
      </c>
      <c r="G258" s="200" t="s">
        <v>434</v>
      </c>
    </row>
    <row r="259" spans="1:7">
      <c r="A259" s="199" t="s">
        <v>524</v>
      </c>
      <c r="B259" s="200">
        <v>10631200</v>
      </c>
      <c r="C259" s="200">
        <v>0</v>
      </c>
      <c r="D259" s="201" t="s">
        <v>282</v>
      </c>
      <c r="E259" s="201" t="s">
        <v>525</v>
      </c>
      <c r="F259" s="200" t="s">
        <v>394</v>
      </c>
      <c r="G259" s="200" t="s">
        <v>434</v>
      </c>
    </row>
    <row r="260" spans="1:7">
      <c r="A260" s="199" t="s">
        <v>524</v>
      </c>
      <c r="B260" s="200">
        <v>-10631200</v>
      </c>
      <c r="C260" s="200">
        <v>0</v>
      </c>
      <c r="D260" s="201" t="s">
        <v>282</v>
      </c>
      <c r="E260" s="201" t="s">
        <v>525</v>
      </c>
      <c r="F260" s="200" t="s">
        <v>393</v>
      </c>
      <c r="G260" s="200" t="s">
        <v>434</v>
      </c>
    </row>
    <row r="261" spans="1:7" hidden="1">
      <c r="A261" s="199" t="s">
        <v>526</v>
      </c>
      <c r="B261" s="200">
        <v>4230877</v>
      </c>
      <c r="C261" s="200">
        <v>0</v>
      </c>
      <c r="D261" s="201" t="s">
        <v>440</v>
      </c>
      <c r="E261" s="201" t="s">
        <v>39</v>
      </c>
      <c r="F261" s="200" t="s">
        <v>394</v>
      </c>
      <c r="G261" s="200" t="s">
        <v>434</v>
      </c>
    </row>
    <row r="262" spans="1:7" hidden="1">
      <c r="A262" s="199" t="s">
        <v>526</v>
      </c>
      <c r="B262" s="200">
        <v>178206</v>
      </c>
      <c r="C262" s="200">
        <v>0</v>
      </c>
      <c r="D262" s="201" t="s">
        <v>442</v>
      </c>
      <c r="E262" s="201" t="s">
        <v>39</v>
      </c>
      <c r="F262" s="200" t="s">
        <v>394</v>
      </c>
      <c r="G262" s="200" t="s">
        <v>434</v>
      </c>
    </row>
    <row r="263" spans="1:7" hidden="1">
      <c r="A263" s="199" t="s">
        <v>527</v>
      </c>
      <c r="B263" s="200">
        <v>-37600</v>
      </c>
      <c r="C263" s="200">
        <v>0</v>
      </c>
      <c r="D263" s="201" t="s">
        <v>440</v>
      </c>
      <c r="E263" s="201" t="s">
        <v>327</v>
      </c>
      <c r="F263" s="200" t="s">
        <v>394</v>
      </c>
      <c r="G263" s="200" t="s">
        <v>434</v>
      </c>
    </row>
    <row r="264" spans="1:7" hidden="1">
      <c r="A264" s="199" t="s">
        <v>528</v>
      </c>
      <c r="B264" s="200">
        <v>-37600</v>
      </c>
      <c r="C264" s="200">
        <v>0</v>
      </c>
      <c r="D264" s="201" t="s">
        <v>440</v>
      </c>
      <c r="E264" s="201" t="s">
        <v>327</v>
      </c>
      <c r="F264" s="200" t="s">
        <v>394</v>
      </c>
      <c r="G264" s="200" t="s">
        <v>434</v>
      </c>
    </row>
    <row r="265" spans="1:7" hidden="1">
      <c r="A265" s="199" t="s">
        <v>529</v>
      </c>
      <c r="B265" s="200">
        <v>37600</v>
      </c>
      <c r="C265" s="200">
        <v>0</v>
      </c>
      <c r="D265" s="201" t="s">
        <v>440</v>
      </c>
      <c r="E265" s="201" t="s">
        <v>327</v>
      </c>
      <c r="F265" s="200" t="s">
        <v>394</v>
      </c>
      <c r="G265" s="200" t="s">
        <v>434</v>
      </c>
    </row>
    <row r="266" spans="1:7" hidden="1">
      <c r="A266" s="199" t="s">
        <v>530</v>
      </c>
      <c r="B266" s="200">
        <v>-39320</v>
      </c>
      <c r="C266" s="200">
        <v>0</v>
      </c>
      <c r="D266" s="201" t="s">
        <v>440</v>
      </c>
      <c r="E266" s="201" t="s">
        <v>327</v>
      </c>
      <c r="F266" s="200" t="s">
        <v>409</v>
      </c>
      <c r="G266" s="200" t="s">
        <v>434</v>
      </c>
    </row>
    <row r="267" spans="1:7" hidden="1">
      <c r="A267" s="199" t="s">
        <v>531</v>
      </c>
      <c r="B267" s="200">
        <v>-39320</v>
      </c>
      <c r="C267" s="200">
        <v>0</v>
      </c>
      <c r="D267" s="201" t="s">
        <v>440</v>
      </c>
      <c r="E267" s="201" t="s">
        <v>327</v>
      </c>
      <c r="F267" s="200" t="s">
        <v>409</v>
      </c>
      <c r="G267" s="200" t="s">
        <v>434</v>
      </c>
    </row>
    <row r="268" spans="1:7" hidden="1">
      <c r="A268" s="199" t="s">
        <v>532</v>
      </c>
      <c r="B268" s="200">
        <v>39320</v>
      </c>
      <c r="C268" s="200">
        <v>0</v>
      </c>
      <c r="D268" s="201" t="s">
        <v>440</v>
      </c>
      <c r="E268" s="201" t="s">
        <v>327</v>
      </c>
      <c r="F268" s="200" t="s">
        <v>409</v>
      </c>
      <c r="G268" s="200" t="s">
        <v>434</v>
      </c>
    </row>
    <row r="269" spans="1:7" hidden="1">
      <c r="A269" s="199" t="s">
        <v>144</v>
      </c>
      <c r="B269" s="200">
        <v>11122</v>
      </c>
      <c r="C269" s="200">
        <v>0</v>
      </c>
      <c r="D269" s="201" t="s">
        <v>437</v>
      </c>
      <c r="E269" s="201" t="s">
        <v>320</v>
      </c>
      <c r="F269" s="200" t="s">
        <v>394</v>
      </c>
      <c r="G269" s="200" t="s">
        <v>434</v>
      </c>
    </row>
    <row r="270" spans="1:7" hidden="1">
      <c r="A270" s="199" t="s">
        <v>144</v>
      </c>
      <c r="B270" s="200">
        <v>-11122</v>
      </c>
      <c r="C270" s="200">
        <v>0</v>
      </c>
      <c r="D270" s="201" t="s">
        <v>437</v>
      </c>
      <c r="E270" s="201" t="s">
        <v>320</v>
      </c>
      <c r="F270" s="200" t="s">
        <v>402</v>
      </c>
      <c r="G270" s="200" t="s">
        <v>434</v>
      </c>
    </row>
    <row r="271" spans="1:7">
      <c r="A271" s="199" t="s">
        <v>144</v>
      </c>
      <c r="B271" s="200">
        <v>11667</v>
      </c>
      <c r="C271" s="200">
        <v>0</v>
      </c>
      <c r="D271" s="201" t="s">
        <v>282</v>
      </c>
      <c r="E271" s="201" t="s">
        <v>320</v>
      </c>
      <c r="F271" s="200" t="s">
        <v>394</v>
      </c>
      <c r="G271" s="200" t="s">
        <v>434</v>
      </c>
    </row>
    <row r="272" spans="1:7">
      <c r="A272" s="199" t="s">
        <v>144</v>
      </c>
      <c r="B272" s="200">
        <v>-11667</v>
      </c>
      <c r="C272" s="200">
        <v>0</v>
      </c>
      <c r="D272" s="201" t="s">
        <v>282</v>
      </c>
      <c r="E272" s="201" t="s">
        <v>320</v>
      </c>
      <c r="F272" s="200" t="s">
        <v>393</v>
      </c>
      <c r="G272" s="200" t="s">
        <v>434</v>
      </c>
    </row>
    <row r="273" spans="1:7" hidden="1">
      <c r="A273" s="199" t="s">
        <v>144</v>
      </c>
      <c r="B273" s="200">
        <v>-1342</v>
      </c>
      <c r="C273" s="200">
        <v>0</v>
      </c>
      <c r="D273" s="201" t="s">
        <v>442</v>
      </c>
      <c r="E273" s="201" t="s">
        <v>320</v>
      </c>
      <c r="F273" s="200" t="s">
        <v>394</v>
      </c>
      <c r="G273" s="200" t="s">
        <v>434</v>
      </c>
    </row>
    <row r="274" spans="1:7" hidden="1">
      <c r="A274" s="199" t="s">
        <v>533</v>
      </c>
      <c r="B274" s="200">
        <v>17600</v>
      </c>
      <c r="C274" s="200">
        <v>0</v>
      </c>
      <c r="D274" s="201" t="s">
        <v>442</v>
      </c>
      <c r="E274" s="201" t="s">
        <v>39</v>
      </c>
      <c r="F274" s="200" t="s">
        <v>394</v>
      </c>
      <c r="G274" s="200" t="s">
        <v>434</v>
      </c>
    </row>
    <row r="275" spans="1:7" hidden="1">
      <c r="A275" s="199" t="s">
        <v>6</v>
      </c>
      <c r="B275" s="200">
        <v>16304</v>
      </c>
      <c r="C275" s="200">
        <v>0</v>
      </c>
      <c r="D275" s="201" t="s">
        <v>283</v>
      </c>
      <c r="E275" s="201" t="s">
        <v>320</v>
      </c>
      <c r="F275" s="200" t="s">
        <v>394</v>
      </c>
      <c r="G275" s="200" t="s">
        <v>434</v>
      </c>
    </row>
    <row r="276" spans="1:7" hidden="1">
      <c r="A276" s="199" t="s">
        <v>6</v>
      </c>
      <c r="B276" s="200">
        <v>-16304</v>
      </c>
      <c r="C276" s="200">
        <v>0</v>
      </c>
      <c r="D276" s="201" t="s">
        <v>283</v>
      </c>
      <c r="E276" s="201" t="s">
        <v>320</v>
      </c>
      <c r="F276" s="200" t="s">
        <v>441</v>
      </c>
      <c r="G276" s="200" t="s">
        <v>434</v>
      </c>
    </row>
    <row r="277" spans="1:7" hidden="1">
      <c r="A277" s="199" t="s">
        <v>6</v>
      </c>
      <c r="B277" s="200">
        <v>-17130</v>
      </c>
      <c r="C277" s="200">
        <v>0</v>
      </c>
      <c r="D277" s="201" t="s">
        <v>437</v>
      </c>
      <c r="E277" s="201" t="s">
        <v>320</v>
      </c>
      <c r="F277" s="200" t="s">
        <v>394</v>
      </c>
      <c r="G277" s="200" t="s">
        <v>434</v>
      </c>
    </row>
    <row r="278" spans="1:7">
      <c r="A278" s="199" t="s">
        <v>6</v>
      </c>
      <c r="B278" s="200">
        <v>-3964</v>
      </c>
      <c r="C278" s="200">
        <v>0</v>
      </c>
      <c r="D278" s="201" t="s">
        <v>282</v>
      </c>
      <c r="E278" s="201" t="s">
        <v>320</v>
      </c>
      <c r="F278" s="200" t="s">
        <v>394</v>
      </c>
      <c r="G278" s="200" t="s">
        <v>434</v>
      </c>
    </row>
    <row r="279" spans="1:7">
      <c r="A279" s="199" t="s">
        <v>6</v>
      </c>
      <c r="B279" s="200">
        <v>-7106</v>
      </c>
      <c r="C279" s="200">
        <v>0</v>
      </c>
      <c r="D279" s="201" t="s">
        <v>282</v>
      </c>
      <c r="E279" s="201" t="s">
        <v>320</v>
      </c>
      <c r="F279" s="200" t="s">
        <v>445</v>
      </c>
      <c r="G279" s="200" t="s">
        <v>434</v>
      </c>
    </row>
    <row r="280" spans="1:7">
      <c r="A280" s="199" t="s">
        <v>6</v>
      </c>
      <c r="B280" s="200">
        <v>23560</v>
      </c>
      <c r="C280" s="200">
        <v>0</v>
      </c>
      <c r="D280" s="201" t="s">
        <v>282</v>
      </c>
      <c r="E280" s="201" t="s">
        <v>320</v>
      </c>
      <c r="F280" s="200" t="s">
        <v>393</v>
      </c>
      <c r="G280" s="200" t="s">
        <v>434</v>
      </c>
    </row>
    <row r="281" spans="1:7">
      <c r="A281" s="199" t="s">
        <v>6</v>
      </c>
      <c r="B281" s="200">
        <v>-22443</v>
      </c>
      <c r="C281" s="200">
        <v>0</v>
      </c>
      <c r="D281" s="201" t="s">
        <v>282</v>
      </c>
      <c r="E281" s="201" t="s">
        <v>320</v>
      </c>
      <c r="F281" s="200" t="s">
        <v>413</v>
      </c>
      <c r="G281" s="200" t="s">
        <v>434</v>
      </c>
    </row>
    <row r="282" spans="1:7">
      <c r="A282" s="199" t="s">
        <v>6</v>
      </c>
      <c r="B282" s="200">
        <v>-59173</v>
      </c>
      <c r="C282" s="200">
        <v>0</v>
      </c>
      <c r="D282" s="201" t="s">
        <v>282</v>
      </c>
      <c r="E282" s="201" t="s">
        <v>320</v>
      </c>
      <c r="F282" s="200" t="s">
        <v>403</v>
      </c>
      <c r="G282" s="200" t="s">
        <v>434</v>
      </c>
    </row>
    <row r="283" spans="1:7">
      <c r="A283" s="199" t="s">
        <v>6</v>
      </c>
      <c r="B283" s="200">
        <v>16304</v>
      </c>
      <c r="C283" s="200">
        <v>0</v>
      </c>
      <c r="D283" s="201" t="s">
        <v>282</v>
      </c>
      <c r="E283" s="201" t="s">
        <v>320</v>
      </c>
      <c r="F283" s="200" t="s">
        <v>441</v>
      </c>
      <c r="G283" s="200" t="s">
        <v>434</v>
      </c>
    </row>
    <row r="284" spans="1:7">
      <c r="A284" s="199" t="s">
        <v>6</v>
      </c>
      <c r="B284" s="200">
        <v>52822</v>
      </c>
      <c r="C284" s="200">
        <v>0</v>
      </c>
      <c r="D284" s="201" t="s">
        <v>282</v>
      </c>
      <c r="E284" s="201" t="s">
        <v>320</v>
      </c>
      <c r="F284" s="200" t="s">
        <v>449</v>
      </c>
      <c r="G284" s="200" t="s">
        <v>434</v>
      </c>
    </row>
    <row r="285" spans="1:7" hidden="1">
      <c r="A285" s="199" t="s">
        <v>71</v>
      </c>
      <c r="B285" s="200">
        <v>37072</v>
      </c>
      <c r="C285" s="200">
        <v>0</v>
      </c>
      <c r="D285" s="201" t="s">
        <v>283</v>
      </c>
      <c r="E285" s="201" t="s">
        <v>320</v>
      </c>
      <c r="F285" s="200" t="s">
        <v>394</v>
      </c>
      <c r="G285" s="200" t="s">
        <v>434</v>
      </c>
    </row>
    <row r="286" spans="1:7">
      <c r="A286" s="199" t="s">
        <v>71</v>
      </c>
      <c r="B286" s="200">
        <v>-28686</v>
      </c>
      <c r="C286" s="200">
        <v>0</v>
      </c>
      <c r="D286" s="201" t="s">
        <v>282</v>
      </c>
      <c r="E286" s="201" t="s">
        <v>320</v>
      </c>
      <c r="F286" s="200" t="s">
        <v>394</v>
      </c>
      <c r="G286" s="200" t="s">
        <v>434</v>
      </c>
    </row>
    <row r="287" spans="1:7">
      <c r="A287" s="199" t="s">
        <v>71</v>
      </c>
      <c r="B287" s="200">
        <v>-8386</v>
      </c>
      <c r="C287" s="200">
        <v>0</v>
      </c>
      <c r="D287" s="201" t="s">
        <v>282</v>
      </c>
      <c r="E287" s="201" t="s">
        <v>320</v>
      </c>
      <c r="F287" s="200" t="s">
        <v>445</v>
      </c>
      <c r="G287" s="200" t="s">
        <v>434</v>
      </c>
    </row>
    <row r="288" spans="1:7">
      <c r="A288" s="199" t="s">
        <v>71</v>
      </c>
      <c r="B288" s="200">
        <v>74143</v>
      </c>
      <c r="C288" s="200">
        <v>0</v>
      </c>
      <c r="D288" s="201" t="s">
        <v>282</v>
      </c>
      <c r="E288" s="201" t="s">
        <v>320</v>
      </c>
      <c r="F288" s="200" t="s">
        <v>393</v>
      </c>
      <c r="G288" s="200" t="s">
        <v>434</v>
      </c>
    </row>
    <row r="289" spans="1:7" hidden="1">
      <c r="A289" s="199" t="s">
        <v>534</v>
      </c>
      <c r="B289" s="200">
        <v>232</v>
      </c>
      <c r="C289" s="200">
        <v>0</v>
      </c>
      <c r="D289" s="201" t="s">
        <v>283</v>
      </c>
      <c r="E289" s="201" t="s">
        <v>324</v>
      </c>
      <c r="F289" s="200" t="s">
        <v>394</v>
      </c>
      <c r="G289" s="200" t="s">
        <v>434</v>
      </c>
    </row>
    <row r="290" spans="1:7">
      <c r="A290" s="199" t="s">
        <v>534</v>
      </c>
      <c r="B290" s="200">
        <v>-232</v>
      </c>
      <c r="C290" s="200">
        <v>0</v>
      </c>
      <c r="D290" s="201" t="s">
        <v>282</v>
      </c>
      <c r="E290" s="201" t="s">
        <v>324</v>
      </c>
      <c r="F290" s="200" t="s">
        <v>394</v>
      </c>
      <c r="G290" s="200" t="s">
        <v>434</v>
      </c>
    </row>
    <row r="291" spans="1:7">
      <c r="A291" s="199" t="s">
        <v>534</v>
      </c>
      <c r="B291" s="200">
        <v>463</v>
      </c>
      <c r="C291" s="200">
        <v>0</v>
      </c>
      <c r="D291" s="201" t="s">
        <v>282</v>
      </c>
      <c r="E291" s="201" t="s">
        <v>324</v>
      </c>
      <c r="F291" s="200" t="s">
        <v>408</v>
      </c>
      <c r="G291" s="200" t="s">
        <v>434</v>
      </c>
    </row>
    <row r="292" spans="1:7" hidden="1">
      <c r="A292" s="199" t="s">
        <v>535</v>
      </c>
      <c r="B292" s="200">
        <v>602</v>
      </c>
      <c r="C292" s="200">
        <v>0</v>
      </c>
      <c r="D292" s="201" t="s">
        <v>283</v>
      </c>
      <c r="E292" s="201" t="s">
        <v>324</v>
      </c>
      <c r="F292" s="200" t="s">
        <v>394</v>
      </c>
      <c r="G292" s="200" t="s">
        <v>434</v>
      </c>
    </row>
    <row r="293" spans="1:7">
      <c r="A293" s="199" t="s">
        <v>535</v>
      </c>
      <c r="B293" s="200">
        <v>-602</v>
      </c>
      <c r="C293" s="200">
        <v>0</v>
      </c>
      <c r="D293" s="201" t="s">
        <v>282</v>
      </c>
      <c r="E293" s="201" t="s">
        <v>324</v>
      </c>
      <c r="F293" s="200" t="s">
        <v>394</v>
      </c>
      <c r="G293" s="200" t="s">
        <v>434</v>
      </c>
    </row>
    <row r="294" spans="1:7">
      <c r="A294" s="199" t="s">
        <v>535</v>
      </c>
      <c r="B294" s="200">
        <v>1204</v>
      </c>
      <c r="C294" s="200">
        <v>0</v>
      </c>
      <c r="D294" s="201" t="s">
        <v>282</v>
      </c>
      <c r="E294" s="201" t="s">
        <v>324</v>
      </c>
      <c r="F294" s="200" t="s">
        <v>408</v>
      </c>
      <c r="G294" s="200" t="s">
        <v>434</v>
      </c>
    </row>
    <row r="295" spans="1:7" hidden="1">
      <c r="A295" s="199" t="s">
        <v>50</v>
      </c>
      <c r="B295" s="200">
        <v>11474</v>
      </c>
      <c r="C295" s="200">
        <v>0</v>
      </c>
      <c r="D295" s="201" t="s">
        <v>283</v>
      </c>
      <c r="E295" s="201" t="s">
        <v>320</v>
      </c>
      <c r="F295" s="200" t="s">
        <v>408</v>
      </c>
      <c r="G295" s="200" t="s">
        <v>434</v>
      </c>
    </row>
    <row r="296" spans="1:7" hidden="1">
      <c r="A296" s="199" t="s">
        <v>50</v>
      </c>
      <c r="B296" s="200">
        <v>-2318</v>
      </c>
      <c r="C296" s="200">
        <v>0</v>
      </c>
      <c r="D296" s="201" t="s">
        <v>283</v>
      </c>
      <c r="E296" s="201" t="s">
        <v>320</v>
      </c>
      <c r="F296" s="200" t="s">
        <v>393</v>
      </c>
      <c r="G296" s="200" t="s">
        <v>434</v>
      </c>
    </row>
    <row r="297" spans="1:7" hidden="1">
      <c r="A297" s="199" t="s">
        <v>50</v>
      </c>
      <c r="B297" s="200">
        <v>-9156</v>
      </c>
      <c r="C297" s="200">
        <v>0</v>
      </c>
      <c r="D297" s="201" t="s">
        <v>283</v>
      </c>
      <c r="E297" s="201" t="s">
        <v>320</v>
      </c>
      <c r="F297" s="200" t="s">
        <v>413</v>
      </c>
      <c r="G297" s="200" t="s">
        <v>434</v>
      </c>
    </row>
    <row r="298" spans="1:7" hidden="1">
      <c r="A298" s="199" t="s">
        <v>50</v>
      </c>
      <c r="B298" s="200">
        <v>55007</v>
      </c>
      <c r="C298" s="200">
        <v>0</v>
      </c>
      <c r="D298" s="201" t="s">
        <v>437</v>
      </c>
      <c r="E298" s="201" t="s">
        <v>320</v>
      </c>
      <c r="F298" s="200" t="s">
        <v>394</v>
      </c>
      <c r="G298" s="200" t="s">
        <v>434</v>
      </c>
    </row>
    <row r="299" spans="1:7" hidden="1">
      <c r="A299" s="199" t="s">
        <v>50</v>
      </c>
      <c r="B299" s="200">
        <v>-55007</v>
      </c>
      <c r="C299" s="200">
        <v>0</v>
      </c>
      <c r="D299" s="201" t="s">
        <v>437</v>
      </c>
      <c r="E299" s="201" t="s">
        <v>320</v>
      </c>
      <c r="F299" s="200" t="s">
        <v>393</v>
      </c>
      <c r="G299" s="200" t="s">
        <v>434</v>
      </c>
    </row>
    <row r="300" spans="1:7">
      <c r="A300" s="199" t="s">
        <v>50</v>
      </c>
      <c r="B300" s="200">
        <v>16474</v>
      </c>
      <c r="C300" s="200">
        <v>0</v>
      </c>
      <c r="D300" s="201" t="s">
        <v>282</v>
      </c>
      <c r="E300" s="201" t="s">
        <v>320</v>
      </c>
      <c r="F300" s="200" t="s">
        <v>394</v>
      </c>
      <c r="G300" s="200" t="s">
        <v>434</v>
      </c>
    </row>
    <row r="301" spans="1:7">
      <c r="A301" s="199" t="s">
        <v>50</v>
      </c>
      <c r="B301" s="200">
        <v>11474</v>
      </c>
      <c r="C301" s="200">
        <v>0</v>
      </c>
      <c r="D301" s="201" t="s">
        <v>282</v>
      </c>
      <c r="E301" s="201" t="s">
        <v>320</v>
      </c>
      <c r="F301" s="200" t="s">
        <v>408</v>
      </c>
      <c r="G301" s="200" t="s">
        <v>434</v>
      </c>
    </row>
    <row r="302" spans="1:7">
      <c r="A302" s="199" t="s">
        <v>50</v>
      </c>
      <c r="B302" s="200">
        <v>-6407</v>
      </c>
      <c r="C302" s="200">
        <v>0</v>
      </c>
      <c r="D302" s="201" t="s">
        <v>282</v>
      </c>
      <c r="E302" s="201" t="s">
        <v>320</v>
      </c>
      <c r="F302" s="200" t="s">
        <v>393</v>
      </c>
      <c r="G302" s="200" t="s">
        <v>434</v>
      </c>
    </row>
    <row r="303" spans="1:7">
      <c r="A303" s="199" t="s">
        <v>50</v>
      </c>
      <c r="B303" s="200">
        <v>-50804</v>
      </c>
      <c r="C303" s="200">
        <v>0</v>
      </c>
      <c r="D303" s="201" t="s">
        <v>282</v>
      </c>
      <c r="E303" s="201" t="s">
        <v>320</v>
      </c>
      <c r="F303" s="200" t="s">
        <v>413</v>
      </c>
      <c r="G303" s="200" t="s">
        <v>434</v>
      </c>
    </row>
    <row r="304" spans="1:7">
      <c r="A304" s="199" t="s">
        <v>50</v>
      </c>
      <c r="B304" s="200">
        <v>29263</v>
      </c>
      <c r="C304" s="200">
        <v>0</v>
      </c>
      <c r="D304" s="201" t="s">
        <v>282</v>
      </c>
      <c r="E304" s="201" t="s">
        <v>320</v>
      </c>
      <c r="F304" s="200" t="s">
        <v>403</v>
      </c>
      <c r="G304" s="200" t="s">
        <v>434</v>
      </c>
    </row>
    <row r="305" spans="1:7" hidden="1">
      <c r="A305" s="199" t="s">
        <v>50</v>
      </c>
      <c r="B305" s="200">
        <v>6001</v>
      </c>
      <c r="C305" s="200">
        <v>0</v>
      </c>
      <c r="D305" s="201" t="s">
        <v>442</v>
      </c>
      <c r="E305" s="201" t="s">
        <v>320</v>
      </c>
      <c r="F305" s="200" t="s">
        <v>394</v>
      </c>
      <c r="G305" s="200" t="s">
        <v>434</v>
      </c>
    </row>
    <row r="306" spans="1:7" hidden="1">
      <c r="A306" s="199" t="s">
        <v>536</v>
      </c>
      <c r="B306" s="200">
        <v>-139</v>
      </c>
      <c r="C306" s="200">
        <v>0</v>
      </c>
      <c r="D306" s="201" t="s">
        <v>283</v>
      </c>
      <c r="E306" s="201" t="s">
        <v>324</v>
      </c>
      <c r="F306" s="200" t="s">
        <v>394</v>
      </c>
      <c r="G306" s="200" t="s">
        <v>434</v>
      </c>
    </row>
    <row r="307" spans="1:7" hidden="1">
      <c r="A307" s="199" t="s">
        <v>536</v>
      </c>
      <c r="B307" s="200">
        <v>139</v>
      </c>
      <c r="C307" s="200">
        <v>0</v>
      </c>
      <c r="D307" s="201" t="s">
        <v>283</v>
      </c>
      <c r="E307" s="201" t="s">
        <v>324</v>
      </c>
      <c r="F307" s="200" t="s">
        <v>441</v>
      </c>
      <c r="G307" s="200" t="s">
        <v>434</v>
      </c>
    </row>
    <row r="308" spans="1:7">
      <c r="A308" s="199" t="s">
        <v>536</v>
      </c>
      <c r="B308" s="200">
        <v>139</v>
      </c>
      <c r="C308" s="200">
        <v>0</v>
      </c>
      <c r="D308" s="201" t="s">
        <v>282</v>
      </c>
      <c r="E308" s="201" t="s">
        <v>324</v>
      </c>
      <c r="F308" s="200" t="s">
        <v>394</v>
      </c>
      <c r="G308" s="200" t="s">
        <v>434</v>
      </c>
    </row>
    <row r="309" spans="1:7">
      <c r="A309" s="199" t="s">
        <v>536</v>
      </c>
      <c r="B309" s="200">
        <v>-278</v>
      </c>
      <c r="C309" s="200">
        <v>0</v>
      </c>
      <c r="D309" s="201" t="s">
        <v>282</v>
      </c>
      <c r="E309" s="201" t="s">
        <v>324</v>
      </c>
      <c r="F309" s="200" t="s">
        <v>408</v>
      </c>
      <c r="G309" s="200" t="s">
        <v>434</v>
      </c>
    </row>
    <row r="310" spans="1:7">
      <c r="A310" s="199" t="s">
        <v>536</v>
      </c>
      <c r="B310" s="200">
        <v>278</v>
      </c>
      <c r="C310" s="200">
        <v>0</v>
      </c>
      <c r="D310" s="201" t="s">
        <v>282</v>
      </c>
      <c r="E310" s="201" t="s">
        <v>324</v>
      </c>
      <c r="F310" s="200" t="s">
        <v>393</v>
      </c>
      <c r="G310" s="200" t="s">
        <v>434</v>
      </c>
    </row>
    <row r="311" spans="1:7">
      <c r="A311" s="199" t="s">
        <v>536</v>
      </c>
      <c r="B311" s="200">
        <v>-139</v>
      </c>
      <c r="C311" s="200">
        <v>0</v>
      </c>
      <c r="D311" s="201" t="s">
        <v>282</v>
      </c>
      <c r="E311" s="201" t="s">
        <v>324</v>
      </c>
      <c r="F311" s="200" t="s">
        <v>441</v>
      </c>
      <c r="G311" s="200" t="s">
        <v>434</v>
      </c>
    </row>
    <row r="312" spans="1:7" hidden="1">
      <c r="A312" s="199" t="s">
        <v>537</v>
      </c>
      <c r="B312" s="200">
        <v>765</v>
      </c>
      <c r="C312" s="200">
        <v>0</v>
      </c>
      <c r="D312" s="201" t="s">
        <v>283</v>
      </c>
      <c r="E312" s="201" t="s">
        <v>324</v>
      </c>
      <c r="F312" s="200" t="s">
        <v>408</v>
      </c>
      <c r="G312" s="200" t="s">
        <v>434</v>
      </c>
    </row>
    <row r="313" spans="1:7" hidden="1">
      <c r="A313" s="199" t="s">
        <v>537</v>
      </c>
      <c r="B313" s="200">
        <v>787</v>
      </c>
      <c r="C313" s="200">
        <v>0</v>
      </c>
      <c r="D313" s="201" t="s">
        <v>283</v>
      </c>
      <c r="E313" s="201" t="s">
        <v>324</v>
      </c>
      <c r="F313" s="200" t="s">
        <v>441</v>
      </c>
      <c r="G313" s="200" t="s">
        <v>434</v>
      </c>
    </row>
    <row r="314" spans="1:7">
      <c r="A314" s="199" t="s">
        <v>537</v>
      </c>
      <c r="B314" s="200">
        <v>1609</v>
      </c>
      <c r="C314" s="200">
        <v>0</v>
      </c>
      <c r="D314" s="201" t="s">
        <v>282</v>
      </c>
      <c r="E314" s="201" t="s">
        <v>324</v>
      </c>
      <c r="F314" s="200" t="s">
        <v>408</v>
      </c>
      <c r="G314" s="200" t="s">
        <v>434</v>
      </c>
    </row>
    <row r="315" spans="1:7">
      <c r="A315" s="199" t="s">
        <v>537</v>
      </c>
      <c r="B315" s="200">
        <v>731</v>
      </c>
      <c r="C315" s="200">
        <v>0</v>
      </c>
      <c r="D315" s="201" t="s">
        <v>282</v>
      </c>
      <c r="E315" s="201" t="s">
        <v>324</v>
      </c>
      <c r="F315" s="200" t="s">
        <v>393</v>
      </c>
      <c r="G315" s="200" t="s">
        <v>434</v>
      </c>
    </row>
    <row r="316" spans="1:7">
      <c r="A316" s="199" t="s">
        <v>537</v>
      </c>
      <c r="B316" s="200">
        <v>-787</v>
      </c>
      <c r="C316" s="200">
        <v>0</v>
      </c>
      <c r="D316" s="201" t="s">
        <v>282</v>
      </c>
      <c r="E316" s="201" t="s">
        <v>324</v>
      </c>
      <c r="F316" s="200" t="s">
        <v>441</v>
      </c>
      <c r="G316" s="200" t="s">
        <v>434</v>
      </c>
    </row>
    <row r="317" spans="1:7" hidden="1">
      <c r="A317" s="199" t="s">
        <v>538</v>
      </c>
      <c r="B317" s="200">
        <v>139</v>
      </c>
      <c r="C317" s="200">
        <v>0</v>
      </c>
      <c r="D317" s="201" t="s">
        <v>283</v>
      </c>
      <c r="E317" s="201" t="s">
        <v>324</v>
      </c>
      <c r="F317" s="200" t="s">
        <v>394</v>
      </c>
      <c r="G317" s="200" t="s">
        <v>434</v>
      </c>
    </row>
    <row r="318" spans="1:7" hidden="1">
      <c r="A318" s="199" t="s">
        <v>538</v>
      </c>
      <c r="B318" s="200">
        <v>-139</v>
      </c>
      <c r="C318" s="200">
        <v>0</v>
      </c>
      <c r="D318" s="201" t="s">
        <v>283</v>
      </c>
      <c r="E318" s="201" t="s">
        <v>324</v>
      </c>
      <c r="F318" s="200" t="s">
        <v>441</v>
      </c>
      <c r="G318" s="200" t="s">
        <v>434</v>
      </c>
    </row>
    <row r="319" spans="1:7">
      <c r="A319" s="199" t="s">
        <v>538</v>
      </c>
      <c r="B319" s="200">
        <v>-139</v>
      </c>
      <c r="C319" s="200">
        <v>0</v>
      </c>
      <c r="D319" s="201" t="s">
        <v>282</v>
      </c>
      <c r="E319" s="201" t="s">
        <v>324</v>
      </c>
      <c r="F319" s="200" t="s">
        <v>394</v>
      </c>
      <c r="G319" s="200" t="s">
        <v>434</v>
      </c>
    </row>
    <row r="320" spans="1:7">
      <c r="A320" s="199" t="s">
        <v>538</v>
      </c>
      <c r="B320" s="200">
        <v>278</v>
      </c>
      <c r="C320" s="200">
        <v>0</v>
      </c>
      <c r="D320" s="201" t="s">
        <v>282</v>
      </c>
      <c r="E320" s="201" t="s">
        <v>324</v>
      </c>
      <c r="F320" s="200" t="s">
        <v>408</v>
      </c>
      <c r="G320" s="200" t="s">
        <v>434</v>
      </c>
    </row>
    <row r="321" spans="1:7">
      <c r="A321" s="199" t="s">
        <v>538</v>
      </c>
      <c r="B321" s="200">
        <v>-278</v>
      </c>
      <c r="C321" s="200">
        <v>0</v>
      </c>
      <c r="D321" s="201" t="s">
        <v>282</v>
      </c>
      <c r="E321" s="201" t="s">
        <v>324</v>
      </c>
      <c r="F321" s="200" t="s">
        <v>393</v>
      </c>
      <c r="G321" s="200" t="s">
        <v>434</v>
      </c>
    </row>
    <row r="322" spans="1:7">
      <c r="A322" s="199" t="s">
        <v>538</v>
      </c>
      <c r="B322" s="200">
        <v>139</v>
      </c>
      <c r="C322" s="200">
        <v>0</v>
      </c>
      <c r="D322" s="201" t="s">
        <v>282</v>
      </c>
      <c r="E322" s="201" t="s">
        <v>324</v>
      </c>
      <c r="F322" s="200" t="s">
        <v>441</v>
      </c>
      <c r="G322" s="200" t="s">
        <v>434</v>
      </c>
    </row>
    <row r="323" spans="1:7" hidden="1">
      <c r="A323" s="199" t="s">
        <v>539</v>
      </c>
      <c r="B323" s="200">
        <v>580</v>
      </c>
      <c r="C323" s="200">
        <v>0</v>
      </c>
      <c r="D323" s="201" t="s">
        <v>283</v>
      </c>
      <c r="E323" s="201" t="s">
        <v>324</v>
      </c>
      <c r="F323" s="200" t="s">
        <v>394</v>
      </c>
      <c r="G323" s="200" t="s">
        <v>434</v>
      </c>
    </row>
    <row r="324" spans="1:7" hidden="1">
      <c r="A324" s="199" t="s">
        <v>539</v>
      </c>
      <c r="B324" s="200">
        <v>-765</v>
      </c>
      <c r="C324" s="200">
        <v>0</v>
      </c>
      <c r="D324" s="201" t="s">
        <v>283</v>
      </c>
      <c r="E324" s="201" t="s">
        <v>324</v>
      </c>
      <c r="F324" s="200" t="s">
        <v>408</v>
      </c>
      <c r="G324" s="200" t="s">
        <v>434</v>
      </c>
    </row>
    <row r="325" spans="1:7" hidden="1">
      <c r="A325" s="199" t="s">
        <v>539</v>
      </c>
      <c r="B325" s="200">
        <v>-787</v>
      </c>
      <c r="C325" s="200">
        <v>0</v>
      </c>
      <c r="D325" s="201" t="s">
        <v>283</v>
      </c>
      <c r="E325" s="201" t="s">
        <v>324</v>
      </c>
      <c r="F325" s="200" t="s">
        <v>441</v>
      </c>
      <c r="G325" s="200" t="s">
        <v>434</v>
      </c>
    </row>
    <row r="326" spans="1:7">
      <c r="A326" s="199" t="s">
        <v>539</v>
      </c>
      <c r="B326" s="200">
        <v>-580</v>
      </c>
      <c r="C326" s="200">
        <v>0</v>
      </c>
      <c r="D326" s="201" t="s">
        <v>282</v>
      </c>
      <c r="E326" s="201" t="s">
        <v>324</v>
      </c>
      <c r="F326" s="200" t="s">
        <v>394</v>
      </c>
      <c r="G326" s="200" t="s">
        <v>434</v>
      </c>
    </row>
    <row r="327" spans="1:7">
      <c r="A327" s="199" t="s">
        <v>539</v>
      </c>
      <c r="B327" s="200">
        <v>-450</v>
      </c>
      <c r="C327" s="200">
        <v>0</v>
      </c>
      <c r="D327" s="201" t="s">
        <v>282</v>
      </c>
      <c r="E327" s="201" t="s">
        <v>324</v>
      </c>
      <c r="F327" s="200" t="s">
        <v>408</v>
      </c>
      <c r="G327" s="200" t="s">
        <v>434</v>
      </c>
    </row>
    <row r="328" spans="1:7">
      <c r="A328" s="199" t="s">
        <v>539</v>
      </c>
      <c r="B328" s="200">
        <v>-730</v>
      </c>
      <c r="C328" s="200">
        <v>0</v>
      </c>
      <c r="D328" s="201" t="s">
        <v>282</v>
      </c>
      <c r="E328" s="201" t="s">
        <v>324</v>
      </c>
      <c r="F328" s="200" t="s">
        <v>393</v>
      </c>
      <c r="G328" s="200" t="s">
        <v>434</v>
      </c>
    </row>
    <row r="329" spans="1:7">
      <c r="A329" s="199" t="s">
        <v>539</v>
      </c>
      <c r="B329" s="200">
        <v>787</v>
      </c>
      <c r="C329" s="200">
        <v>0</v>
      </c>
      <c r="D329" s="201" t="s">
        <v>282</v>
      </c>
      <c r="E329" s="201" t="s">
        <v>324</v>
      </c>
      <c r="F329" s="200" t="s">
        <v>441</v>
      </c>
      <c r="G329" s="200" t="s">
        <v>434</v>
      </c>
    </row>
    <row r="330" spans="1:7" hidden="1">
      <c r="A330" s="199" t="s">
        <v>540</v>
      </c>
      <c r="B330" s="200">
        <v>-580</v>
      </c>
      <c r="C330" s="200">
        <v>0</v>
      </c>
      <c r="D330" s="201" t="s">
        <v>283</v>
      </c>
      <c r="E330" s="201" t="s">
        <v>324</v>
      </c>
      <c r="F330" s="200" t="s">
        <v>394</v>
      </c>
      <c r="G330" s="200" t="s">
        <v>434</v>
      </c>
    </row>
    <row r="331" spans="1:7">
      <c r="A331" s="199" t="s">
        <v>540</v>
      </c>
      <c r="B331" s="200">
        <v>580</v>
      </c>
      <c r="C331" s="200">
        <v>0</v>
      </c>
      <c r="D331" s="201" t="s">
        <v>282</v>
      </c>
      <c r="E331" s="201" t="s">
        <v>324</v>
      </c>
      <c r="F331" s="200" t="s">
        <v>394</v>
      </c>
      <c r="G331" s="200" t="s">
        <v>434</v>
      </c>
    </row>
    <row r="332" spans="1:7">
      <c r="A332" s="199" t="s">
        <v>540</v>
      </c>
      <c r="B332" s="200">
        <v>-1159</v>
      </c>
      <c r="C332" s="200">
        <v>0</v>
      </c>
      <c r="D332" s="201" t="s">
        <v>282</v>
      </c>
      <c r="E332" s="201" t="s">
        <v>324</v>
      </c>
      <c r="F332" s="200" t="s">
        <v>408</v>
      </c>
      <c r="G332" s="200" t="s">
        <v>434</v>
      </c>
    </row>
    <row r="333" spans="1:7" hidden="1">
      <c r="A333" s="199" t="s">
        <v>276</v>
      </c>
      <c r="B333" s="200">
        <v>929</v>
      </c>
      <c r="C333" s="200">
        <v>0</v>
      </c>
      <c r="D333" s="201" t="s">
        <v>283</v>
      </c>
      <c r="E333" s="201" t="s">
        <v>324</v>
      </c>
      <c r="F333" s="200" t="s">
        <v>394</v>
      </c>
      <c r="G333" s="200" t="s">
        <v>434</v>
      </c>
    </row>
    <row r="334" spans="1:7">
      <c r="A334" s="199" t="s">
        <v>276</v>
      </c>
      <c r="B334" s="200">
        <v>-929</v>
      </c>
      <c r="C334" s="200">
        <v>0</v>
      </c>
      <c r="D334" s="201" t="s">
        <v>282</v>
      </c>
      <c r="E334" s="201" t="s">
        <v>324</v>
      </c>
      <c r="F334" s="200" t="s">
        <v>394</v>
      </c>
      <c r="G334" s="200" t="s">
        <v>434</v>
      </c>
    </row>
    <row r="335" spans="1:7">
      <c r="A335" s="199" t="s">
        <v>276</v>
      </c>
      <c r="B335" s="200">
        <v>1853</v>
      </c>
      <c r="C335" s="200">
        <v>0</v>
      </c>
      <c r="D335" s="201" t="s">
        <v>282</v>
      </c>
      <c r="E335" s="201" t="s">
        <v>324</v>
      </c>
      <c r="F335" s="200" t="s">
        <v>408</v>
      </c>
      <c r="G335" s="200" t="s">
        <v>434</v>
      </c>
    </row>
    <row r="336" spans="1:7" hidden="1">
      <c r="A336" s="199" t="s">
        <v>277</v>
      </c>
      <c r="B336" s="200">
        <v>-926</v>
      </c>
      <c r="C336" s="200">
        <v>0</v>
      </c>
      <c r="D336" s="201" t="s">
        <v>283</v>
      </c>
      <c r="E336" s="201" t="s">
        <v>324</v>
      </c>
      <c r="F336" s="200" t="s">
        <v>394</v>
      </c>
      <c r="G336" s="200" t="s">
        <v>434</v>
      </c>
    </row>
    <row r="337" spans="1:7">
      <c r="A337" s="199" t="s">
        <v>277</v>
      </c>
      <c r="B337" s="200">
        <v>926</v>
      </c>
      <c r="C337" s="200">
        <v>0</v>
      </c>
      <c r="D337" s="201" t="s">
        <v>282</v>
      </c>
      <c r="E337" s="201" t="s">
        <v>324</v>
      </c>
      <c r="F337" s="200" t="s">
        <v>394</v>
      </c>
      <c r="G337" s="200" t="s">
        <v>434</v>
      </c>
    </row>
    <row r="338" spans="1:7">
      <c r="A338" s="199" t="s">
        <v>277</v>
      </c>
      <c r="B338" s="200">
        <v>-1851</v>
      </c>
      <c r="C338" s="200">
        <v>0</v>
      </c>
      <c r="D338" s="201" t="s">
        <v>282</v>
      </c>
      <c r="E338" s="201" t="s">
        <v>324</v>
      </c>
      <c r="F338" s="200" t="s">
        <v>408</v>
      </c>
      <c r="G338" s="200" t="s">
        <v>434</v>
      </c>
    </row>
    <row r="339" spans="1:7" hidden="1">
      <c r="A339" s="199" t="s">
        <v>541</v>
      </c>
      <c r="B339" s="200">
        <v>1060000</v>
      </c>
      <c r="C339" s="200">
        <v>0</v>
      </c>
      <c r="D339" s="201" t="s">
        <v>463</v>
      </c>
      <c r="E339" s="201" t="s">
        <v>464</v>
      </c>
      <c r="F339" s="200" t="s">
        <v>394</v>
      </c>
      <c r="G339" s="200" t="s">
        <v>434</v>
      </c>
    </row>
    <row r="340" spans="1:7" hidden="1">
      <c r="A340" s="199" t="s">
        <v>541</v>
      </c>
      <c r="B340" s="200">
        <v>-860000</v>
      </c>
      <c r="C340" s="200">
        <v>0</v>
      </c>
      <c r="D340" s="201" t="s">
        <v>463</v>
      </c>
      <c r="E340" s="201" t="s">
        <v>464</v>
      </c>
      <c r="F340" s="200" t="s">
        <v>413</v>
      </c>
      <c r="G340" s="200" t="s">
        <v>434</v>
      </c>
    </row>
    <row r="341" spans="1:7" hidden="1">
      <c r="A341" s="199" t="s">
        <v>541</v>
      </c>
      <c r="B341" s="200">
        <v>-200000</v>
      </c>
      <c r="C341" s="200">
        <v>0</v>
      </c>
      <c r="D341" s="201" t="s">
        <v>463</v>
      </c>
      <c r="E341" s="201" t="s">
        <v>464</v>
      </c>
      <c r="F341" s="200" t="s">
        <v>469</v>
      </c>
      <c r="G341" s="200" t="s">
        <v>434</v>
      </c>
    </row>
    <row r="342" spans="1:7" hidden="1">
      <c r="A342" s="199" t="s">
        <v>542</v>
      </c>
      <c r="B342" s="200">
        <v>-5500</v>
      </c>
      <c r="C342" s="200">
        <v>0</v>
      </c>
      <c r="D342" s="201" t="s">
        <v>463</v>
      </c>
      <c r="E342" s="201" t="s">
        <v>320</v>
      </c>
      <c r="F342" s="200" t="s">
        <v>394</v>
      </c>
      <c r="G342" s="200" t="s">
        <v>434</v>
      </c>
    </row>
    <row r="343" spans="1:7" hidden="1">
      <c r="A343" s="199" t="s">
        <v>542</v>
      </c>
      <c r="B343" s="200">
        <v>11100</v>
      </c>
      <c r="C343" s="200">
        <v>0</v>
      </c>
      <c r="D343" s="201" t="s">
        <v>463</v>
      </c>
      <c r="E343" s="201" t="s">
        <v>320</v>
      </c>
      <c r="F343" s="200" t="s">
        <v>402</v>
      </c>
      <c r="G343" s="200" t="s">
        <v>434</v>
      </c>
    </row>
    <row r="344" spans="1:7" hidden="1">
      <c r="A344" s="199" t="s">
        <v>86</v>
      </c>
      <c r="B344" s="200">
        <v>914</v>
      </c>
      <c r="C344" s="200">
        <v>0</v>
      </c>
      <c r="D344" s="201" t="s">
        <v>283</v>
      </c>
      <c r="E344" s="201" t="s">
        <v>317</v>
      </c>
      <c r="F344" s="200" t="s">
        <v>394</v>
      </c>
      <c r="G344" s="200" t="s">
        <v>434</v>
      </c>
    </row>
    <row r="345" spans="1:7" hidden="1">
      <c r="A345" s="199" t="s">
        <v>86</v>
      </c>
      <c r="B345" s="200">
        <v>-914</v>
      </c>
      <c r="C345" s="200">
        <v>0</v>
      </c>
      <c r="D345" s="201" t="s">
        <v>283</v>
      </c>
      <c r="E345" s="201" t="s">
        <v>317</v>
      </c>
      <c r="F345" s="200" t="s">
        <v>441</v>
      </c>
      <c r="G345" s="200" t="s">
        <v>434</v>
      </c>
    </row>
    <row r="346" spans="1:7">
      <c r="A346" s="199" t="s">
        <v>86</v>
      </c>
      <c r="B346" s="200">
        <v>4348</v>
      </c>
      <c r="C346" s="200">
        <v>0</v>
      </c>
      <c r="D346" s="201" t="s">
        <v>282</v>
      </c>
      <c r="E346" s="201" t="s">
        <v>317</v>
      </c>
      <c r="F346" s="200" t="s">
        <v>394</v>
      </c>
      <c r="G346" s="200" t="s">
        <v>434</v>
      </c>
    </row>
    <row r="347" spans="1:7">
      <c r="A347" s="199" t="s">
        <v>86</v>
      </c>
      <c r="B347" s="200">
        <v>602</v>
      </c>
      <c r="C347" s="200">
        <v>0</v>
      </c>
      <c r="D347" s="201" t="s">
        <v>282</v>
      </c>
      <c r="E347" s="201" t="s">
        <v>317</v>
      </c>
      <c r="F347" s="200" t="s">
        <v>445</v>
      </c>
      <c r="G347" s="200" t="s">
        <v>434</v>
      </c>
    </row>
    <row r="348" spans="1:7">
      <c r="A348" s="199" t="s">
        <v>86</v>
      </c>
      <c r="B348" s="200">
        <v>-5864</v>
      </c>
      <c r="C348" s="200">
        <v>0</v>
      </c>
      <c r="D348" s="201" t="s">
        <v>282</v>
      </c>
      <c r="E348" s="201" t="s">
        <v>317</v>
      </c>
      <c r="F348" s="200" t="s">
        <v>393</v>
      </c>
      <c r="G348" s="200" t="s">
        <v>434</v>
      </c>
    </row>
    <row r="349" spans="1:7">
      <c r="A349" s="199" t="s">
        <v>86</v>
      </c>
      <c r="B349" s="200">
        <v>914</v>
      </c>
      <c r="C349" s="200">
        <v>0</v>
      </c>
      <c r="D349" s="201" t="s">
        <v>282</v>
      </c>
      <c r="E349" s="201" t="s">
        <v>317</v>
      </c>
      <c r="F349" s="200" t="s">
        <v>441</v>
      </c>
      <c r="G349" s="200" t="s">
        <v>434</v>
      </c>
    </row>
    <row r="350" spans="1:7">
      <c r="A350" s="199" t="s">
        <v>543</v>
      </c>
      <c r="B350" s="200">
        <v>2084</v>
      </c>
      <c r="C350" s="200">
        <v>0</v>
      </c>
      <c r="D350" s="201" t="s">
        <v>282</v>
      </c>
      <c r="E350" s="201" t="s">
        <v>317</v>
      </c>
      <c r="F350" s="200" t="s">
        <v>394</v>
      </c>
      <c r="G350" s="200" t="s">
        <v>434</v>
      </c>
    </row>
    <row r="351" spans="1:7">
      <c r="A351" s="199" t="s">
        <v>543</v>
      </c>
      <c r="B351" s="200">
        <v>-2084</v>
      </c>
      <c r="C351" s="200">
        <v>0</v>
      </c>
      <c r="D351" s="201" t="s">
        <v>282</v>
      </c>
      <c r="E351" s="201" t="s">
        <v>317</v>
      </c>
      <c r="F351" s="200" t="s">
        <v>413</v>
      </c>
      <c r="G351" s="200" t="s">
        <v>434</v>
      </c>
    </row>
    <row r="352" spans="1:7" hidden="1">
      <c r="A352" s="199" t="s">
        <v>544</v>
      </c>
      <c r="B352" s="200">
        <v>1834</v>
      </c>
      <c r="C352" s="200">
        <v>0</v>
      </c>
      <c r="D352" s="201" t="s">
        <v>440</v>
      </c>
      <c r="E352" s="201" t="s">
        <v>317</v>
      </c>
      <c r="F352" s="200" t="s">
        <v>394</v>
      </c>
      <c r="G352" s="200" t="s">
        <v>434</v>
      </c>
    </row>
    <row r="353" spans="1:7" hidden="1">
      <c r="A353" s="199" t="s">
        <v>544</v>
      </c>
      <c r="B353" s="200">
        <v>-758</v>
      </c>
      <c r="C353" s="200">
        <v>0</v>
      </c>
      <c r="D353" s="201" t="s">
        <v>440</v>
      </c>
      <c r="E353" s="201" t="s">
        <v>317</v>
      </c>
      <c r="F353" s="200" t="s">
        <v>441</v>
      </c>
      <c r="G353" s="200" t="s">
        <v>434</v>
      </c>
    </row>
    <row r="354" spans="1:7" hidden="1">
      <c r="A354" s="199" t="s">
        <v>544</v>
      </c>
      <c r="B354" s="200">
        <v>-40</v>
      </c>
      <c r="C354" s="200">
        <v>0</v>
      </c>
      <c r="D354" s="201" t="s">
        <v>440</v>
      </c>
      <c r="E354" s="201" t="s">
        <v>317</v>
      </c>
      <c r="F354" s="200" t="s">
        <v>402</v>
      </c>
      <c r="G354" s="200" t="s">
        <v>434</v>
      </c>
    </row>
    <row r="355" spans="1:7" hidden="1">
      <c r="A355" s="199" t="s">
        <v>544</v>
      </c>
      <c r="B355" s="200">
        <v>136</v>
      </c>
      <c r="C355" s="200">
        <v>0</v>
      </c>
      <c r="D355" s="201" t="s">
        <v>442</v>
      </c>
      <c r="E355" s="201" t="s">
        <v>317</v>
      </c>
      <c r="F355" s="200" t="s">
        <v>394</v>
      </c>
      <c r="G355" s="200" t="s">
        <v>434</v>
      </c>
    </row>
    <row r="356" spans="1:7" hidden="1">
      <c r="A356" s="199" t="s">
        <v>544</v>
      </c>
      <c r="B356" s="200">
        <v>758</v>
      </c>
      <c r="C356" s="200">
        <v>0</v>
      </c>
      <c r="D356" s="201" t="s">
        <v>442</v>
      </c>
      <c r="E356" s="201" t="s">
        <v>317</v>
      </c>
      <c r="F356" s="200" t="s">
        <v>441</v>
      </c>
      <c r="G356" s="200" t="s">
        <v>434</v>
      </c>
    </row>
    <row r="357" spans="1:7" hidden="1">
      <c r="A357" s="199" t="s">
        <v>544</v>
      </c>
      <c r="B357" s="200">
        <v>-34</v>
      </c>
      <c r="C357" s="200">
        <v>0</v>
      </c>
      <c r="D357" s="201" t="s">
        <v>442</v>
      </c>
      <c r="E357" s="201" t="s">
        <v>317</v>
      </c>
      <c r="F357" s="200" t="s">
        <v>402</v>
      </c>
      <c r="G357" s="200" t="s">
        <v>434</v>
      </c>
    </row>
    <row r="358" spans="1:7" hidden="1">
      <c r="A358" s="199" t="s">
        <v>544</v>
      </c>
      <c r="B358" s="200">
        <v>420</v>
      </c>
      <c r="C358" s="200">
        <v>0</v>
      </c>
      <c r="D358" s="201" t="s">
        <v>545</v>
      </c>
      <c r="E358" s="201" t="s">
        <v>317</v>
      </c>
      <c r="F358" s="200" t="s">
        <v>394</v>
      </c>
      <c r="G358" s="200" t="s">
        <v>434</v>
      </c>
    </row>
    <row r="359" spans="1:7" hidden="1">
      <c r="A359" s="199" t="s">
        <v>544</v>
      </c>
      <c r="B359" s="200">
        <v>1165</v>
      </c>
      <c r="C359" s="200">
        <v>0</v>
      </c>
      <c r="D359" s="201" t="s">
        <v>474</v>
      </c>
      <c r="E359" s="201" t="s">
        <v>317</v>
      </c>
      <c r="F359" s="200" t="s">
        <v>394</v>
      </c>
      <c r="G359" s="200" t="s">
        <v>434</v>
      </c>
    </row>
    <row r="360" spans="1:7" hidden="1">
      <c r="A360" s="199" t="s">
        <v>546</v>
      </c>
      <c r="B360" s="200">
        <v>402</v>
      </c>
      <c r="C360" s="200">
        <v>0</v>
      </c>
      <c r="D360" s="201" t="s">
        <v>437</v>
      </c>
      <c r="E360" s="201" t="s">
        <v>547</v>
      </c>
      <c r="F360" s="200" t="s">
        <v>394</v>
      </c>
      <c r="G360" s="200" t="s">
        <v>434</v>
      </c>
    </row>
    <row r="361" spans="1:7" hidden="1">
      <c r="A361" s="199" t="s">
        <v>326</v>
      </c>
      <c r="B361" s="200">
        <v>1388</v>
      </c>
      <c r="C361" s="200">
        <v>0</v>
      </c>
      <c r="D361" s="201" t="s">
        <v>283</v>
      </c>
      <c r="E361" s="201" t="s">
        <v>317</v>
      </c>
      <c r="F361" s="200" t="s">
        <v>394</v>
      </c>
      <c r="G361" s="200" t="s">
        <v>434</v>
      </c>
    </row>
    <row r="362" spans="1:7" hidden="1">
      <c r="A362" s="199" t="s">
        <v>326</v>
      </c>
      <c r="B362" s="200">
        <v>-1388</v>
      </c>
      <c r="C362" s="200">
        <v>0</v>
      </c>
      <c r="D362" s="201" t="s">
        <v>283</v>
      </c>
      <c r="E362" s="201" t="s">
        <v>317</v>
      </c>
      <c r="F362" s="200" t="s">
        <v>441</v>
      </c>
      <c r="G362" s="200" t="s">
        <v>434</v>
      </c>
    </row>
    <row r="363" spans="1:7" hidden="1">
      <c r="A363" s="199" t="s">
        <v>326</v>
      </c>
      <c r="B363" s="200">
        <v>13700</v>
      </c>
      <c r="C363" s="200">
        <v>0</v>
      </c>
      <c r="D363" s="201" t="s">
        <v>437</v>
      </c>
      <c r="E363" s="201" t="s">
        <v>317</v>
      </c>
      <c r="F363" s="200" t="s">
        <v>394</v>
      </c>
      <c r="G363" s="200" t="s">
        <v>434</v>
      </c>
    </row>
    <row r="364" spans="1:7" hidden="1">
      <c r="A364" s="199" t="s">
        <v>326</v>
      </c>
      <c r="B364" s="200">
        <v>-13700</v>
      </c>
      <c r="C364" s="200">
        <v>0</v>
      </c>
      <c r="D364" s="201" t="s">
        <v>437</v>
      </c>
      <c r="E364" s="201" t="s">
        <v>317</v>
      </c>
      <c r="F364" s="200" t="s">
        <v>441</v>
      </c>
      <c r="G364" s="200" t="s">
        <v>434</v>
      </c>
    </row>
    <row r="365" spans="1:7">
      <c r="A365" s="199" t="s">
        <v>326</v>
      </c>
      <c r="B365" s="200">
        <v>-3777</v>
      </c>
      <c r="C365" s="200">
        <v>0</v>
      </c>
      <c r="D365" s="201" t="s">
        <v>282</v>
      </c>
      <c r="E365" s="201" t="s">
        <v>317</v>
      </c>
      <c r="F365" s="200" t="s">
        <v>394</v>
      </c>
      <c r="G365" s="200" t="s">
        <v>434</v>
      </c>
    </row>
    <row r="366" spans="1:7">
      <c r="A366" s="199" t="s">
        <v>326</v>
      </c>
      <c r="B366" s="200">
        <v>-3172</v>
      </c>
      <c r="C366" s="200">
        <v>0</v>
      </c>
      <c r="D366" s="201" t="s">
        <v>282</v>
      </c>
      <c r="E366" s="201" t="s">
        <v>317</v>
      </c>
      <c r="F366" s="200" t="s">
        <v>445</v>
      </c>
      <c r="G366" s="200" t="s">
        <v>434</v>
      </c>
    </row>
    <row r="367" spans="1:7">
      <c r="A367" s="199" t="s">
        <v>326</v>
      </c>
      <c r="B367" s="200">
        <v>-4008</v>
      </c>
      <c r="C367" s="200">
        <v>0</v>
      </c>
      <c r="D367" s="201" t="s">
        <v>282</v>
      </c>
      <c r="E367" s="201" t="s">
        <v>317</v>
      </c>
      <c r="F367" s="200" t="s">
        <v>408</v>
      </c>
      <c r="G367" s="200" t="s">
        <v>434</v>
      </c>
    </row>
    <row r="368" spans="1:7">
      <c r="A368" s="199" t="s">
        <v>326</v>
      </c>
      <c r="B368" s="200">
        <v>-9455</v>
      </c>
      <c r="C368" s="200">
        <v>0</v>
      </c>
      <c r="D368" s="201" t="s">
        <v>282</v>
      </c>
      <c r="E368" s="201" t="s">
        <v>317</v>
      </c>
      <c r="F368" s="200" t="s">
        <v>393</v>
      </c>
      <c r="G368" s="200" t="s">
        <v>434</v>
      </c>
    </row>
    <row r="369" spans="1:7">
      <c r="A369" s="199" t="s">
        <v>326</v>
      </c>
      <c r="B369" s="200">
        <v>5324</v>
      </c>
      <c r="C369" s="200">
        <v>0</v>
      </c>
      <c r="D369" s="201" t="s">
        <v>282</v>
      </c>
      <c r="E369" s="201" t="s">
        <v>317</v>
      </c>
      <c r="F369" s="200" t="s">
        <v>413</v>
      </c>
      <c r="G369" s="200" t="s">
        <v>434</v>
      </c>
    </row>
    <row r="370" spans="1:7">
      <c r="A370" s="199" t="s">
        <v>326</v>
      </c>
      <c r="B370" s="200">
        <v>15088</v>
      </c>
      <c r="C370" s="200">
        <v>0</v>
      </c>
      <c r="D370" s="201" t="s">
        <v>282</v>
      </c>
      <c r="E370" s="201" t="s">
        <v>317</v>
      </c>
      <c r="F370" s="200" t="s">
        <v>441</v>
      </c>
      <c r="G370" s="200" t="s">
        <v>434</v>
      </c>
    </row>
    <row r="371" spans="1:7" hidden="1">
      <c r="A371" s="199" t="s">
        <v>548</v>
      </c>
      <c r="B371" s="200">
        <v>-9</v>
      </c>
      <c r="C371" s="200">
        <v>0</v>
      </c>
      <c r="D371" s="201" t="s">
        <v>283</v>
      </c>
      <c r="E371" s="201" t="s">
        <v>319</v>
      </c>
      <c r="F371" s="200" t="s">
        <v>394</v>
      </c>
      <c r="G371" s="200" t="s">
        <v>434</v>
      </c>
    </row>
    <row r="372" spans="1:7" hidden="1">
      <c r="A372" s="199" t="s">
        <v>548</v>
      </c>
      <c r="B372" s="200">
        <v>9</v>
      </c>
      <c r="C372" s="200">
        <v>0</v>
      </c>
      <c r="D372" s="201" t="s">
        <v>283</v>
      </c>
      <c r="E372" s="201" t="s">
        <v>319</v>
      </c>
      <c r="F372" s="200" t="s">
        <v>408</v>
      </c>
      <c r="G372" s="200" t="s">
        <v>434</v>
      </c>
    </row>
    <row r="373" spans="1:7">
      <c r="A373" s="199" t="s">
        <v>548</v>
      </c>
      <c r="B373" s="200">
        <v>9</v>
      </c>
      <c r="C373" s="200">
        <v>0</v>
      </c>
      <c r="D373" s="201" t="s">
        <v>282</v>
      </c>
      <c r="E373" s="201" t="s">
        <v>319</v>
      </c>
      <c r="F373" s="200" t="s">
        <v>394</v>
      </c>
      <c r="G373" s="200" t="s">
        <v>434</v>
      </c>
    </row>
    <row r="374" spans="1:7">
      <c r="A374" s="199" t="s">
        <v>548</v>
      </c>
      <c r="B374" s="200">
        <v>97</v>
      </c>
      <c r="C374" s="200">
        <v>0</v>
      </c>
      <c r="D374" s="201" t="s">
        <v>282</v>
      </c>
      <c r="E374" s="201" t="s">
        <v>319</v>
      </c>
      <c r="F374" s="200" t="s">
        <v>408</v>
      </c>
      <c r="G374" s="200" t="s">
        <v>434</v>
      </c>
    </row>
    <row r="375" spans="1:7">
      <c r="A375" s="199" t="s">
        <v>548</v>
      </c>
      <c r="B375" s="200">
        <v>-106</v>
      </c>
      <c r="C375" s="200">
        <v>0</v>
      </c>
      <c r="D375" s="201" t="s">
        <v>282</v>
      </c>
      <c r="E375" s="201" t="s">
        <v>319</v>
      </c>
      <c r="F375" s="200" t="s">
        <v>393</v>
      </c>
      <c r="G375" s="200" t="s">
        <v>434</v>
      </c>
    </row>
    <row r="376" spans="1:7" hidden="1">
      <c r="A376" s="199" t="s">
        <v>549</v>
      </c>
      <c r="B376" s="200">
        <v>9</v>
      </c>
      <c r="C376" s="200">
        <v>0</v>
      </c>
      <c r="D376" s="201" t="s">
        <v>283</v>
      </c>
      <c r="E376" s="201" t="s">
        <v>319</v>
      </c>
      <c r="F376" s="200" t="s">
        <v>394</v>
      </c>
      <c r="G376" s="200" t="s">
        <v>434</v>
      </c>
    </row>
    <row r="377" spans="1:7" hidden="1">
      <c r="A377" s="199" t="s">
        <v>549</v>
      </c>
      <c r="B377" s="200">
        <v>-9</v>
      </c>
      <c r="C377" s="200">
        <v>0</v>
      </c>
      <c r="D377" s="201" t="s">
        <v>283</v>
      </c>
      <c r="E377" s="201" t="s">
        <v>319</v>
      </c>
      <c r="F377" s="200" t="s">
        <v>408</v>
      </c>
      <c r="G377" s="200" t="s">
        <v>434</v>
      </c>
    </row>
    <row r="378" spans="1:7">
      <c r="A378" s="199" t="s">
        <v>549</v>
      </c>
      <c r="B378" s="200">
        <v>-9</v>
      </c>
      <c r="C378" s="200">
        <v>0</v>
      </c>
      <c r="D378" s="201" t="s">
        <v>282</v>
      </c>
      <c r="E378" s="201" t="s">
        <v>319</v>
      </c>
      <c r="F378" s="200" t="s">
        <v>394</v>
      </c>
      <c r="G378" s="200" t="s">
        <v>434</v>
      </c>
    </row>
    <row r="379" spans="1:7">
      <c r="A379" s="199" t="s">
        <v>549</v>
      </c>
      <c r="B379" s="200">
        <v>-98</v>
      </c>
      <c r="C379" s="200">
        <v>0</v>
      </c>
      <c r="D379" s="201" t="s">
        <v>282</v>
      </c>
      <c r="E379" s="201" t="s">
        <v>319</v>
      </c>
      <c r="F379" s="200" t="s">
        <v>408</v>
      </c>
      <c r="G379" s="200" t="s">
        <v>434</v>
      </c>
    </row>
    <row r="380" spans="1:7">
      <c r="A380" s="199" t="s">
        <v>549</v>
      </c>
      <c r="B380" s="200">
        <v>107</v>
      </c>
      <c r="C380" s="200">
        <v>0</v>
      </c>
      <c r="D380" s="201" t="s">
        <v>282</v>
      </c>
      <c r="E380" s="201" t="s">
        <v>319</v>
      </c>
      <c r="F380" s="200" t="s">
        <v>393</v>
      </c>
      <c r="G380" s="200" t="s">
        <v>434</v>
      </c>
    </row>
    <row r="381" spans="1:7" hidden="1">
      <c r="A381" s="199" t="s">
        <v>550</v>
      </c>
      <c r="B381" s="200">
        <v>-1</v>
      </c>
      <c r="C381" s="200">
        <v>0</v>
      </c>
      <c r="D381" s="201" t="s">
        <v>283</v>
      </c>
      <c r="E381" s="201" t="s">
        <v>324</v>
      </c>
      <c r="F381" s="200" t="s">
        <v>394</v>
      </c>
      <c r="G381" s="200" t="s">
        <v>434</v>
      </c>
    </row>
    <row r="382" spans="1:7">
      <c r="A382" s="199" t="s">
        <v>550</v>
      </c>
      <c r="B382" s="200">
        <v>1</v>
      </c>
      <c r="C382" s="200">
        <v>0</v>
      </c>
      <c r="D382" s="201" t="s">
        <v>282</v>
      </c>
      <c r="E382" s="201" t="s">
        <v>324</v>
      </c>
      <c r="F382" s="200" t="s">
        <v>394</v>
      </c>
      <c r="G382" s="200" t="s">
        <v>434</v>
      </c>
    </row>
    <row r="383" spans="1:7">
      <c r="A383" s="199" t="s">
        <v>550</v>
      </c>
      <c r="B383" s="200">
        <v>90</v>
      </c>
      <c r="C383" s="200">
        <v>0</v>
      </c>
      <c r="D383" s="201" t="s">
        <v>282</v>
      </c>
      <c r="E383" s="201" t="s">
        <v>324</v>
      </c>
      <c r="F383" s="200" t="s">
        <v>408</v>
      </c>
      <c r="G383" s="200" t="s">
        <v>434</v>
      </c>
    </row>
    <row r="384" spans="1:7">
      <c r="A384" s="199" t="s">
        <v>550</v>
      </c>
      <c r="B384" s="200">
        <v>-90</v>
      </c>
      <c r="C384" s="200">
        <v>0</v>
      </c>
      <c r="D384" s="201" t="s">
        <v>282</v>
      </c>
      <c r="E384" s="201" t="s">
        <v>324</v>
      </c>
      <c r="F384" s="200" t="s">
        <v>393</v>
      </c>
      <c r="G384" s="200" t="s">
        <v>434</v>
      </c>
    </row>
    <row r="385" spans="1:7">
      <c r="A385" s="199" t="s">
        <v>551</v>
      </c>
      <c r="B385" s="200">
        <v>-91</v>
      </c>
      <c r="C385" s="200">
        <v>0</v>
      </c>
      <c r="D385" s="201" t="s">
        <v>282</v>
      </c>
      <c r="E385" s="201" t="s">
        <v>324</v>
      </c>
      <c r="F385" s="200" t="s">
        <v>408</v>
      </c>
      <c r="G385" s="200" t="s">
        <v>434</v>
      </c>
    </row>
    <row r="386" spans="1:7">
      <c r="A386" s="199" t="s">
        <v>551</v>
      </c>
      <c r="B386" s="200">
        <v>91</v>
      </c>
      <c r="C386" s="200">
        <v>0</v>
      </c>
      <c r="D386" s="201" t="s">
        <v>282</v>
      </c>
      <c r="E386" s="201" t="s">
        <v>324</v>
      </c>
      <c r="F386" s="200" t="s">
        <v>393</v>
      </c>
      <c r="G386" s="200" t="s">
        <v>434</v>
      </c>
    </row>
    <row r="387" spans="1:7" hidden="1">
      <c r="A387" s="199" t="s">
        <v>552</v>
      </c>
      <c r="B387" s="200">
        <v>53</v>
      </c>
      <c r="C387" s="200">
        <v>0</v>
      </c>
      <c r="D387" s="201" t="s">
        <v>437</v>
      </c>
      <c r="E387" s="201" t="s">
        <v>553</v>
      </c>
      <c r="F387" s="200" t="s">
        <v>394</v>
      </c>
      <c r="G387" s="200" t="s">
        <v>434</v>
      </c>
    </row>
    <row r="388" spans="1:7">
      <c r="A388" s="199" t="s">
        <v>357</v>
      </c>
      <c r="B388" s="200">
        <v>51692</v>
      </c>
      <c r="C388" s="200">
        <v>0</v>
      </c>
      <c r="D388" s="201" t="s">
        <v>282</v>
      </c>
      <c r="E388" s="201" t="s">
        <v>320</v>
      </c>
      <c r="F388" s="200" t="s">
        <v>394</v>
      </c>
      <c r="G388" s="200" t="s">
        <v>434</v>
      </c>
    </row>
    <row r="389" spans="1:7">
      <c r="A389" s="199" t="s">
        <v>357</v>
      </c>
      <c r="B389" s="200">
        <v>-17601</v>
      </c>
      <c r="C389" s="200">
        <v>0</v>
      </c>
      <c r="D389" s="201" t="s">
        <v>282</v>
      </c>
      <c r="E389" s="201" t="s">
        <v>320</v>
      </c>
      <c r="F389" s="200" t="s">
        <v>393</v>
      </c>
      <c r="G389" s="200" t="s">
        <v>434</v>
      </c>
    </row>
    <row r="390" spans="1:7">
      <c r="A390" s="199" t="s">
        <v>357</v>
      </c>
      <c r="B390" s="200">
        <v>8336</v>
      </c>
      <c r="C390" s="200">
        <v>0</v>
      </c>
      <c r="D390" s="201" t="s">
        <v>282</v>
      </c>
      <c r="E390" s="201" t="s">
        <v>320</v>
      </c>
      <c r="F390" s="200" t="s">
        <v>413</v>
      </c>
      <c r="G390" s="200" t="s">
        <v>434</v>
      </c>
    </row>
    <row r="391" spans="1:7">
      <c r="A391" s="199" t="s">
        <v>357</v>
      </c>
      <c r="B391" s="200">
        <v>-42427</v>
      </c>
      <c r="C391" s="200">
        <v>0</v>
      </c>
      <c r="D391" s="201" t="s">
        <v>282</v>
      </c>
      <c r="E391" s="201" t="s">
        <v>320</v>
      </c>
      <c r="F391" s="200" t="s">
        <v>403</v>
      </c>
      <c r="G391" s="200" t="s">
        <v>434</v>
      </c>
    </row>
    <row r="392" spans="1:7" hidden="1">
      <c r="A392" s="199" t="s">
        <v>554</v>
      </c>
      <c r="B392" s="200">
        <v>-4319000</v>
      </c>
      <c r="C392" s="200">
        <v>0</v>
      </c>
      <c r="D392" s="201" t="s">
        <v>463</v>
      </c>
      <c r="E392" s="201" t="s">
        <v>464</v>
      </c>
      <c r="F392" s="200" t="s">
        <v>394</v>
      </c>
      <c r="G392" s="200" t="s">
        <v>434</v>
      </c>
    </row>
    <row r="393" spans="1:7" hidden="1">
      <c r="A393" s="199" t="s">
        <v>554</v>
      </c>
      <c r="B393" s="200">
        <v>2483000</v>
      </c>
      <c r="C393" s="200">
        <v>0</v>
      </c>
      <c r="D393" s="201" t="s">
        <v>463</v>
      </c>
      <c r="E393" s="201" t="s">
        <v>464</v>
      </c>
      <c r="F393" s="200" t="s">
        <v>413</v>
      </c>
      <c r="G393" s="200" t="s">
        <v>434</v>
      </c>
    </row>
    <row r="394" spans="1:7" hidden="1">
      <c r="A394" s="199" t="s">
        <v>554</v>
      </c>
      <c r="B394" s="200">
        <v>1836000</v>
      </c>
      <c r="C394" s="200">
        <v>0</v>
      </c>
      <c r="D394" s="201" t="s">
        <v>463</v>
      </c>
      <c r="E394" s="201" t="s">
        <v>464</v>
      </c>
      <c r="F394" s="200" t="s">
        <v>469</v>
      </c>
      <c r="G394" s="200" t="s">
        <v>434</v>
      </c>
    </row>
    <row r="395" spans="1:7">
      <c r="A395" s="199" t="s">
        <v>555</v>
      </c>
      <c r="B395" s="200">
        <v>-186</v>
      </c>
      <c r="C395" s="200">
        <v>0</v>
      </c>
      <c r="D395" s="201" t="s">
        <v>282</v>
      </c>
      <c r="E395" s="201" t="s">
        <v>319</v>
      </c>
      <c r="F395" s="200" t="s">
        <v>408</v>
      </c>
      <c r="G395" s="200" t="s">
        <v>434</v>
      </c>
    </row>
    <row r="396" spans="1:7">
      <c r="A396" s="199" t="s">
        <v>555</v>
      </c>
      <c r="B396" s="200">
        <v>186</v>
      </c>
      <c r="C396" s="200">
        <v>0</v>
      </c>
      <c r="D396" s="201" t="s">
        <v>282</v>
      </c>
      <c r="E396" s="201" t="s">
        <v>319</v>
      </c>
      <c r="F396" s="200" t="s">
        <v>393</v>
      </c>
      <c r="G396" s="200" t="s">
        <v>434</v>
      </c>
    </row>
    <row r="397" spans="1:7" hidden="1">
      <c r="A397" s="199" t="s">
        <v>138</v>
      </c>
      <c r="B397" s="200">
        <v>3014</v>
      </c>
      <c r="C397" s="200">
        <v>0</v>
      </c>
      <c r="D397" s="201" t="s">
        <v>283</v>
      </c>
      <c r="E397" s="201" t="s">
        <v>317</v>
      </c>
      <c r="F397" s="200" t="s">
        <v>394</v>
      </c>
      <c r="G397" s="200" t="s">
        <v>434</v>
      </c>
    </row>
    <row r="398" spans="1:7" hidden="1">
      <c r="A398" s="199" t="s">
        <v>138</v>
      </c>
      <c r="B398" s="200">
        <v>-3014</v>
      </c>
      <c r="C398" s="200">
        <v>0</v>
      </c>
      <c r="D398" s="201" t="s">
        <v>283</v>
      </c>
      <c r="E398" s="201" t="s">
        <v>317</v>
      </c>
      <c r="F398" s="200" t="s">
        <v>441</v>
      </c>
      <c r="G398" s="200" t="s">
        <v>434</v>
      </c>
    </row>
    <row r="399" spans="1:7">
      <c r="A399" s="199" t="s">
        <v>138</v>
      </c>
      <c r="B399" s="200">
        <v>-7904</v>
      </c>
      <c r="C399" s="200">
        <v>0</v>
      </c>
      <c r="D399" s="201" t="s">
        <v>282</v>
      </c>
      <c r="E399" s="201" t="s">
        <v>317</v>
      </c>
      <c r="F399" s="200" t="s">
        <v>394</v>
      </c>
      <c r="G399" s="200" t="s">
        <v>434</v>
      </c>
    </row>
    <row r="400" spans="1:7">
      <c r="A400" s="199" t="s">
        <v>138</v>
      </c>
      <c r="B400" s="200">
        <v>-3193</v>
      </c>
      <c r="C400" s="200">
        <v>0</v>
      </c>
      <c r="D400" s="201" t="s">
        <v>282</v>
      </c>
      <c r="E400" s="201" t="s">
        <v>317</v>
      </c>
      <c r="F400" s="200" t="s">
        <v>408</v>
      </c>
      <c r="G400" s="200" t="s">
        <v>434</v>
      </c>
    </row>
    <row r="401" spans="1:7">
      <c r="A401" s="199" t="s">
        <v>138</v>
      </c>
      <c r="B401" s="200">
        <v>15226</v>
      </c>
      <c r="C401" s="200">
        <v>0</v>
      </c>
      <c r="D401" s="201" t="s">
        <v>282</v>
      </c>
      <c r="E401" s="201" t="s">
        <v>317</v>
      </c>
      <c r="F401" s="200" t="s">
        <v>393</v>
      </c>
      <c r="G401" s="200" t="s">
        <v>434</v>
      </c>
    </row>
    <row r="402" spans="1:7">
      <c r="A402" s="199" t="s">
        <v>138</v>
      </c>
      <c r="B402" s="200">
        <v>-7143</v>
      </c>
      <c r="C402" s="200">
        <v>0</v>
      </c>
      <c r="D402" s="201" t="s">
        <v>282</v>
      </c>
      <c r="E402" s="201" t="s">
        <v>317</v>
      </c>
      <c r="F402" s="200" t="s">
        <v>403</v>
      </c>
      <c r="G402" s="200" t="s">
        <v>434</v>
      </c>
    </row>
    <row r="403" spans="1:7">
      <c r="A403" s="199" t="s">
        <v>138</v>
      </c>
      <c r="B403" s="200">
        <v>3014</v>
      </c>
      <c r="C403" s="200">
        <v>0</v>
      </c>
      <c r="D403" s="201" t="s">
        <v>282</v>
      </c>
      <c r="E403" s="201" t="s">
        <v>317</v>
      </c>
      <c r="F403" s="200" t="s">
        <v>441</v>
      </c>
      <c r="G403" s="200" t="s">
        <v>434</v>
      </c>
    </row>
    <row r="404" spans="1:7" hidden="1">
      <c r="A404" s="199" t="s">
        <v>556</v>
      </c>
      <c r="B404" s="200">
        <v>-72</v>
      </c>
      <c r="C404" s="200">
        <v>0</v>
      </c>
      <c r="D404" s="201" t="s">
        <v>283</v>
      </c>
      <c r="E404" s="201" t="s">
        <v>319</v>
      </c>
      <c r="F404" s="200" t="s">
        <v>394</v>
      </c>
      <c r="G404" s="200" t="s">
        <v>434</v>
      </c>
    </row>
    <row r="405" spans="1:7">
      <c r="A405" s="199" t="s">
        <v>556</v>
      </c>
      <c r="B405" s="200">
        <v>72</v>
      </c>
      <c r="C405" s="200">
        <v>0</v>
      </c>
      <c r="D405" s="201" t="s">
        <v>282</v>
      </c>
      <c r="E405" s="201" t="s">
        <v>319</v>
      </c>
      <c r="F405" s="200" t="s">
        <v>394</v>
      </c>
      <c r="G405" s="200" t="s">
        <v>434</v>
      </c>
    </row>
    <row r="406" spans="1:7">
      <c r="A406" s="199" t="s">
        <v>556</v>
      </c>
      <c r="B406" s="200">
        <v>-139</v>
      </c>
      <c r="C406" s="200">
        <v>0</v>
      </c>
      <c r="D406" s="201" t="s">
        <v>282</v>
      </c>
      <c r="E406" s="201" t="s">
        <v>319</v>
      </c>
      <c r="F406" s="200" t="s">
        <v>408</v>
      </c>
      <c r="G406" s="200" t="s">
        <v>434</v>
      </c>
    </row>
    <row r="407" spans="1:7" hidden="1">
      <c r="A407" s="199" t="s">
        <v>557</v>
      </c>
      <c r="B407" s="200">
        <v>-140</v>
      </c>
      <c r="C407" s="200">
        <v>0</v>
      </c>
      <c r="D407" s="201" t="s">
        <v>283</v>
      </c>
      <c r="E407" s="201" t="s">
        <v>319</v>
      </c>
      <c r="F407" s="200" t="s">
        <v>394</v>
      </c>
      <c r="G407" s="200" t="s">
        <v>434</v>
      </c>
    </row>
    <row r="408" spans="1:7">
      <c r="A408" s="199" t="s">
        <v>557</v>
      </c>
      <c r="B408" s="200">
        <v>140</v>
      </c>
      <c r="C408" s="200">
        <v>0</v>
      </c>
      <c r="D408" s="201" t="s">
        <v>282</v>
      </c>
      <c r="E408" s="201" t="s">
        <v>319</v>
      </c>
      <c r="F408" s="200" t="s">
        <v>394</v>
      </c>
      <c r="G408" s="200" t="s">
        <v>434</v>
      </c>
    </row>
    <row r="409" spans="1:7">
      <c r="A409" s="199" t="s">
        <v>557</v>
      </c>
      <c r="B409" s="200">
        <v>-279</v>
      </c>
      <c r="C409" s="200">
        <v>0</v>
      </c>
      <c r="D409" s="201" t="s">
        <v>282</v>
      </c>
      <c r="E409" s="201" t="s">
        <v>319</v>
      </c>
      <c r="F409" s="200" t="s">
        <v>408</v>
      </c>
      <c r="G409" s="200" t="s">
        <v>434</v>
      </c>
    </row>
    <row r="410" spans="1:7" hidden="1">
      <c r="A410" s="199" t="s">
        <v>558</v>
      </c>
      <c r="B410" s="200">
        <v>73</v>
      </c>
      <c r="C410" s="200">
        <v>0</v>
      </c>
      <c r="D410" s="201" t="s">
        <v>283</v>
      </c>
      <c r="E410" s="201" t="s">
        <v>319</v>
      </c>
      <c r="F410" s="200" t="s">
        <v>394</v>
      </c>
      <c r="G410" s="200" t="s">
        <v>434</v>
      </c>
    </row>
    <row r="411" spans="1:7">
      <c r="A411" s="199" t="s">
        <v>558</v>
      </c>
      <c r="B411" s="200">
        <v>-73</v>
      </c>
      <c r="C411" s="200">
        <v>0</v>
      </c>
      <c r="D411" s="201" t="s">
        <v>282</v>
      </c>
      <c r="E411" s="201" t="s">
        <v>319</v>
      </c>
      <c r="F411" s="200" t="s">
        <v>394</v>
      </c>
      <c r="G411" s="200" t="s">
        <v>434</v>
      </c>
    </row>
    <row r="412" spans="1:7">
      <c r="A412" s="199" t="s">
        <v>558</v>
      </c>
      <c r="B412" s="200">
        <v>138</v>
      </c>
      <c r="C412" s="200">
        <v>0</v>
      </c>
      <c r="D412" s="201" t="s">
        <v>282</v>
      </c>
      <c r="E412" s="201" t="s">
        <v>319</v>
      </c>
      <c r="F412" s="200" t="s">
        <v>408</v>
      </c>
      <c r="G412" s="200" t="s">
        <v>434</v>
      </c>
    </row>
    <row r="413" spans="1:7" hidden="1">
      <c r="A413" s="199" t="s">
        <v>559</v>
      </c>
      <c r="B413" s="200">
        <v>140</v>
      </c>
      <c r="C413" s="200">
        <v>0</v>
      </c>
      <c r="D413" s="201" t="s">
        <v>283</v>
      </c>
      <c r="E413" s="201" t="s">
        <v>319</v>
      </c>
      <c r="F413" s="200" t="s">
        <v>394</v>
      </c>
      <c r="G413" s="200" t="s">
        <v>434</v>
      </c>
    </row>
    <row r="414" spans="1:7">
      <c r="A414" s="199" t="s">
        <v>559</v>
      </c>
      <c r="B414" s="200">
        <v>-140</v>
      </c>
      <c r="C414" s="200">
        <v>0</v>
      </c>
      <c r="D414" s="201" t="s">
        <v>282</v>
      </c>
      <c r="E414" s="201" t="s">
        <v>319</v>
      </c>
      <c r="F414" s="200" t="s">
        <v>394</v>
      </c>
      <c r="G414" s="200" t="s">
        <v>434</v>
      </c>
    </row>
    <row r="415" spans="1:7">
      <c r="A415" s="199" t="s">
        <v>559</v>
      </c>
      <c r="B415" s="200">
        <v>279</v>
      </c>
      <c r="C415" s="200">
        <v>0</v>
      </c>
      <c r="D415" s="201" t="s">
        <v>282</v>
      </c>
      <c r="E415" s="201" t="s">
        <v>319</v>
      </c>
      <c r="F415" s="200" t="s">
        <v>408</v>
      </c>
      <c r="G415" s="200" t="s">
        <v>434</v>
      </c>
    </row>
    <row r="416" spans="1:7">
      <c r="A416" s="199" t="s">
        <v>560</v>
      </c>
      <c r="B416" s="200">
        <v>878</v>
      </c>
      <c r="C416" s="200">
        <v>0</v>
      </c>
      <c r="D416" s="201" t="s">
        <v>282</v>
      </c>
      <c r="E416" s="201" t="s">
        <v>319</v>
      </c>
      <c r="F416" s="200" t="s">
        <v>394</v>
      </c>
      <c r="G416" s="200" t="s">
        <v>434</v>
      </c>
    </row>
    <row r="417" spans="1:7">
      <c r="A417" s="199" t="s">
        <v>560</v>
      </c>
      <c r="B417" s="200">
        <v>-439</v>
      </c>
      <c r="C417" s="200">
        <v>0</v>
      </c>
      <c r="D417" s="201" t="s">
        <v>282</v>
      </c>
      <c r="E417" s="201" t="s">
        <v>319</v>
      </c>
      <c r="F417" s="200" t="s">
        <v>408</v>
      </c>
      <c r="G417" s="200" t="s">
        <v>434</v>
      </c>
    </row>
    <row r="418" spans="1:7">
      <c r="A418" s="199" t="s">
        <v>560</v>
      </c>
      <c r="B418" s="200">
        <v>-439</v>
      </c>
      <c r="C418" s="200">
        <v>0</v>
      </c>
      <c r="D418" s="201" t="s">
        <v>282</v>
      </c>
      <c r="E418" s="201" t="s">
        <v>319</v>
      </c>
      <c r="F418" s="200" t="s">
        <v>393</v>
      </c>
      <c r="G418" s="200" t="s">
        <v>434</v>
      </c>
    </row>
    <row r="419" spans="1:7" hidden="1">
      <c r="A419" s="199" t="s">
        <v>561</v>
      </c>
      <c r="B419" s="200">
        <v>-17</v>
      </c>
      <c r="C419" s="200">
        <v>0</v>
      </c>
      <c r="D419" s="201" t="s">
        <v>283</v>
      </c>
      <c r="E419" s="201" t="s">
        <v>319</v>
      </c>
      <c r="F419" s="200" t="s">
        <v>394</v>
      </c>
      <c r="G419" s="200" t="s">
        <v>434</v>
      </c>
    </row>
    <row r="420" spans="1:7" hidden="1">
      <c r="A420" s="199" t="s">
        <v>561</v>
      </c>
      <c r="B420" s="200">
        <v>17</v>
      </c>
      <c r="C420" s="200">
        <v>0</v>
      </c>
      <c r="D420" s="201" t="s">
        <v>283</v>
      </c>
      <c r="E420" s="201" t="s">
        <v>319</v>
      </c>
      <c r="F420" s="200" t="s">
        <v>408</v>
      </c>
      <c r="G420" s="200" t="s">
        <v>434</v>
      </c>
    </row>
    <row r="421" spans="1:7">
      <c r="A421" s="199" t="s">
        <v>561</v>
      </c>
      <c r="B421" s="200">
        <v>-458</v>
      </c>
      <c r="C421" s="200">
        <v>0</v>
      </c>
      <c r="D421" s="201" t="s">
        <v>282</v>
      </c>
      <c r="E421" s="201" t="s">
        <v>319</v>
      </c>
      <c r="F421" s="200" t="s">
        <v>394</v>
      </c>
      <c r="G421" s="200" t="s">
        <v>434</v>
      </c>
    </row>
    <row r="422" spans="1:7">
      <c r="A422" s="199" t="s">
        <v>561</v>
      </c>
      <c r="B422" s="200">
        <v>458</v>
      </c>
      <c r="C422" s="200">
        <v>0</v>
      </c>
      <c r="D422" s="201" t="s">
        <v>282</v>
      </c>
      <c r="E422" s="201" t="s">
        <v>319</v>
      </c>
      <c r="F422" s="200" t="s">
        <v>408</v>
      </c>
      <c r="G422" s="200" t="s">
        <v>434</v>
      </c>
    </row>
    <row r="423" spans="1:7">
      <c r="A423" s="199" t="s">
        <v>562</v>
      </c>
      <c r="B423" s="200">
        <v>-146</v>
      </c>
      <c r="C423" s="200">
        <v>0</v>
      </c>
      <c r="D423" s="201" t="s">
        <v>282</v>
      </c>
      <c r="E423" s="201" t="s">
        <v>319</v>
      </c>
      <c r="F423" s="200" t="s">
        <v>394</v>
      </c>
      <c r="G423" s="200" t="s">
        <v>434</v>
      </c>
    </row>
    <row r="424" spans="1:7">
      <c r="A424" s="199" t="s">
        <v>562</v>
      </c>
      <c r="B424" s="200">
        <v>54</v>
      </c>
      <c r="C424" s="200">
        <v>0</v>
      </c>
      <c r="D424" s="201" t="s">
        <v>282</v>
      </c>
      <c r="E424" s="201" t="s">
        <v>319</v>
      </c>
      <c r="F424" s="200" t="s">
        <v>408</v>
      </c>
      <c r="G424" s="200" t="s">
        <v>434</v>
      </c>
    </row>
    <row r="425" spans="1:7">
      <c r="A425" s="199" t="s">
        <v>562</v>
      </c>
      <c r="B425" s="200">
        <v>92</v>
      </c>
      <c r="C425" s="200">
        <v>0</v>
      </c>
      <c r="D425" s="201" t="s">
        <v>282</v>
      </c>
      <c r="E425" s="201" t="s">
        <v>319</v>
      </c>
      <c r="F425" s="200" t="s">
        <v>393</v>
      </c>
      <c r="G425" s="200" t="s">
        <v>434</v>
      </c>
    </row>
    <row r="426" spans="1:7">
      <c r="A426" s="199" t="s">
        <v>563</v>
      </c>
      <c r="B426" s="200">
        <v>296</v>
      </c>
      <c r="C426" s="200">
        <v>0</v>
      </c>
      <c r="D426" s="201" t="s">
        <v>282</v>
      </c>
      <c r="E426" s="201" t="s">
        <v>319</v>
      </c>
      <c r="F426" s="200" t="s">
        <v>394</v>
      </c>
      <c r="G426" s="200" t="s">
        <v>434</v>
      </c>
    </row>
    <row r="427" spans="1:7">
      <c r="A427" s="199" t="s">
        <v>563</v>
      </c>
      <c r="B427" s="200">
        <v>-296</v>
      </c>
      <c r="C427" s="200">
        <v>0</v>
      </c>
      <c r="D427" s="201" t="s">
        <v>282</v>
      </c>
      <c r="E427" s="201" t="s">
        <v>319</v>
      </c>
      <c r="F427" s="200" t="s">
        <v>408</v>
      </c>
      <c r="G427" s="200" t="s">
        <v>434</v>
      </c>
    </row>
    <row r="428" spans="1:7">
      <c r="A428" s="199" t="s">
        <v>564</v>
      </c>
      <c r="B428" s="200">
        <v>-296</v>
      </c>
      <c r="C428" s="200">
        <v>0</v>
      </c>
      <c r="D428" s="201" t="s">
        <v>282</v>
      </c>
      <c r="E428" s="201" t="s">
        <v>319</v>
      </c>
      <c r="F428" s="200" t="s">
        <v>394</v>
      </c>
      <c r="G428" s="200" t="s">
        <v>434</v>
      </c>
    </row>
    <row r="429" spans="1:7">
      <c r="A429" s="199" t="s">
        <v>564</v>
      </c>
      <c r="B429" s="200">
        <v>296</v>
      </c>
      <c r="C429" s="200">
        <v>0</v>
      </c>
      <c r="D429" s="201" t="s">
        <v>282</v>
      </c>
      <c r="E429" s="201" t="s">
        <v>319</v>
      </c>
      <c r="F429" s="200" t="s">
        <v>408</v>
      </c>
      <c r="G429" s="200" t="s">
        <v>434</v>
      </c>
    </row>
    <row r="430" spans="1:7">
      <c r="A430" s="199" t="s">
        <v>90</v>
      </c>
      <c r="B430" s="200">
        <v>13985</v>
      </c>
      <c r="C430" s="200">
        <v>0</v>
      </c>
      <c r="D430" s="201" t="s">
        <v>282</v>
      </c>
      <c r="E430" s="201" t="s">
        <v>317</v>
      </c>
      <c r="F430" s="200" t="s">
        <v>394</v>
      </c>
      <c r="G430" s="200" t="s">
        <v>434</v>
      </c>
    </row>
    <row r="431" spans="1:7">
      <c r="A431" s="199" t="s">
        <v>90</v>
      </c>
      <c r="B431" s="200">
        <v>-7085</v>
      </c>
      <c r="C431" s="200">
        <v>0</v>
      </c>
      <c r="D431" s="201" t="s">
        <v>282</v>
      </c>
      <c r="E431" s="201" t="s">
        <v>317</v>
      </c>
      <c r="F431" s="200" t="s">
        <v>445</v>
      </c>
      <c r="G431" s="200" t="s">
        <v>434</v>
      </c>
    </row>
    <row r="432" spans="1:7">
      <c r="A432" s="199" t="s">
        <v>90</v>
      </c>
      <c r="B432" s="200">
        <v>825</v>
      </c>
      <c r="C432" s="200">
        <v>0</v>
      </c>
      <c r="D432" s="201" t="s">
        <v>282</v>
      </c>
      <c r="E432" s="201" t="s">
        <v>317</v>
      </c>
      <c r="F432" s="200" t="s">
        <v>393</v>
      </c>
      <c r="G432" s="200" t="s">
        <v>434</v>
      </c>
    </row>
    <row r="433" spans="1:7">
      <c r="A433" s="199" t="s">
        <v>90</v>
      </c>
      <c r="B433" s="200">
        <v>2966</v>
      </c>
      <c r="C433" s="200">
        <v>0</v>
      </c>
      <c r="D433" s="201" t="s">
        <v>282</v>
      </c>
      <c r="E433" s="201" t="s">
        <v>317</v>
      </c>
      <c r="F433" s="200" t="s">
        <v>413</v>
      </c>
      <c r="G433" s="200" t="s">
        <v>434</v>
      </c>
    </row>
    <row r="434" spans="1:7">
      <c r="A434" s="199" t="s">
        <v>90</v>
      </c>
      <c r="B434" s="200">
        <v>-5559</v>
      </c>
      <c r="C434" s="200">
        <v>0</v>
      </c>
      <c r="D434" s="201" t="s">
        <v>282</v>
      </c>
      <c r="E434" s="201" t="s">
        <v>317</v>
      </c>
      <c r="F434" s="200" t="s">
        <v>403</v>
      </c>
      <c r="G434" s="200" t="s">
        <v>434</v>
      </c>
    </row>
    <row r="435" spans="1:7">
      <c r="A435" s="199" t="s">
        <v>90</v>
      </c>
      <c r="B435" s="200">
        <v>-5132</v>
      </c>
      <c r="C435" s="200">
        <v>0</v>
      </c>
      <c r="D435" s="201" t="s">
        <v>282</v>
      </c>
      <c r="E435" s="201" t="s">
        <v>317</v>
      </c>
      <c r="F435" s="200" t="s">
        <v>449</v>
      </c>
      <c r="G435" s="200" t="s">
        <v>434</v>
      </c>
    </row>
    <row r="436" spans="1:7" hidden="1">
      <c r="A436" s="199" t="s">
        <v>90</v>
      </c>
      <c r="B436" s="200">
        <v>1444</v>
      </c>
      <c r="C436" s="200">
        <v>0</v>
      </c>
      <c r="D436" s="201" t="s">
        <v>442</v>
      </c>
      <c r="E436" s="201" t="s">
        <v>317</v>
      </c>
      <c r="F436" s="200" t="s">
        <v>394</v>
      </c>
      <c r="G436" s="200" t="s">
        <v>434</v>
      </c>
    </row>
    <row r="437" spans="1:7">
      <c r="A437" s="199" t="s">
        <v>565</v>
      </c>
      <c r="B437" s="200">
        <v>93</v>
      </c>
      <c r="C437" s="200">
        <v>0</v>
      </c>
      <c r="D437" s="201" t="s">
        <v>282</v>
      </c>
      <c r="E437" s="201" t="s">
        <v>319</v>
      </c>
      <c r="F437" s="200" t="s">
        <v>394</v>
      </c>
      <c r="G437" s="200" t="s">
        <v>434</v>
      </c>
    </row>
    <row r="438" spans="1:7">
      <c r="A438" s="199" t="s">
        <v>565</v>
      </c>
      <c r="B438" s="200">
        <v>-93</v>
      </c>
      <c r="C438" s="200">
        <v>0</v>
      </c>
      <c r="D438" s="201" t="s">
        <v>282</v>
      </c>
      <c r="E438" s="201" t="s">
        <v>319</v>
      </c>
      <c r="F438" s="200" t="s">
        <v>393</v>
      </c>
      <c r="G438" s="200" t="s">
        <v>434</v>
      </c>
    </row>
    <row r="439" spans="1:7">
      <c r="A439" s="199" t="s">
        <v>566</v>
      </c>
      <c r="B439" s="200">
        <v>-93</v>
      </c>
      <c r="C439" s="200">
        <v>0</v>
      </c>
      <c r="D439" s="201" t="s">
        <v>282</v>
      </c>
      <c r="E439" s="201" t="s">
        <v>319</v>
      </c>
      <c r="F439" s="200" t="s">
        <v>394</v>
      </c>
      <c r="G439" s="200" t="s">
        <v>434</v>
      </c>
    </row>
    <row r="440" spans="1:7">
      <c r="A440" s="199" t="s">
        <v>566</v>
      </c>
      <c r="B440" s="200">
        <v>93</v>
      </c>
      <c r="C440" s="200">
        <v>0</v>
      </c>
      <c r="D440" s="201" t="s">
        <v>282</v>
      </c>
      <c r="E440" s="201" t="s">
        <v>319</v>
      </c>
      <c r="F440" s="200" t="s">
        <v>393</v>
      </c>
      <c r="G440" s="200" t="s">
        <v>434</v>
      </c>
    </row>
    <row r="441" spans="1:7" hidden="1">
      <c r="A441" s="199" t="s">
        <v>567</v>
      </c>
      <c r="B441" s="200">
        <v>-3</v>
      </c>
      <c r="C441" s="200">
        <v>0</v>
      </c>
      <c r="D441" s="201" t="s">
        <v>283</v>
      </c>
      <c r="E441" s="201" t="s">
        <v>319</v>
      </c>
      <c r="F441" s="200" t="s">
        <v>394</v>
      </c>
      <c r="G441" s="200" t="s">
        <v>434</v>
      </c>
    </row>
    <row r="442" spans="1:7">
      <c r="A442" s="199" t="s">
        <v>567</v>
      </c>
      <c r="B442" s="200">
        <v>327</v>
      </c>
      <c r="C442" s="200">
        <v>0</v>
      </c>
      <c r="D442" s="201" t="s">
        <v>282</v>
      </c>
      <c r="E442" s="201" t="s">
        <v>319</v>
      </c>
      <c r="F442" s="200" t="s">
        <v>394</v>
      </c>
      <c r="G442" s="200" t="s">
        <v>434</v>
      </c>
    </row>
    <row r="443" spans="1:7">
      <c r="A443" s="199" t="s">
        <v>567</v>
      </c>
      <c r="B443" s="200">
        <v>-324</v>
      </c>
      <c r="C443" s="200">
        <v>0</v>
      </c>
      <c r="D443" s="201" t="s">
        <v>282</v>
      </c>
      <c r="E443" s="201" t="s">
        <v>319</v>
      </c>
      <c r="F443" s="200" t="s">
        <v>393</v>
      </c>
      <c r="G443" s="200" t="s">
        <v>434</v>
      </c>
    </row>
    <row r="444" spans="1:7" hidden="1">
      <c r="A444" s="199" t="s">
        <v>568</v>
      </c>
      <c r="B444" s="200">
        <v>3</v>
      </c>
      <c r="C444" s="200">
        <v>0</v>
      </c>
      <c r="D444" s="201" t="s">
        <v>283</v>
      </c>
      <c r="E444" s="201" t="s">
        <v>319</v>
      </c>
      <c r="F444" s="200" t="s">
        <v>394</v>
      </c>
      <c r="G444" s="200" t="s">
        <v>434</v>
      </c>
    </row>
    <row r="445" spans="1:7">
      <c r="A445" s="199" t="s">
        <v>568</v>
      </c>
      <c r="B445" s="200">
        <v>-327</v>
      </c>
      <c r="C445" s="200">
        <v>0</v>
      </c>
      <c r="D445" s="201" t="s">
        <v>282</v>
      </c>
      <c r="E445" s="201" t="s">
        <v>319</v>
      </c>
      <c r="F445" s="200" t="s">
        <v>394</v>
      </c>
      <c r="G445" s="200" t="s">
        <v>434</v>
      </c>
    </row>
    <row r="446" spans="1:7">
      <c r="A446" s="199" t="s">
        <v>568</v>
      </c>
      <c r="B446" s="200">
        <v>324</v>
      </c>
      <c r="C446" s="200">
        <v>0</v>
      </c>
      <c r="D446" s="201" t="s">
        <v>282</v>
      </c>
      <c r="E446" s="201" t="s">
        <v>319</v>
      </c>
      <c r="F446" s="200" t="s">
        <v>393</v>
      </c>
      <c r="G446" s="200" t="s">
        <v>434</v>
      </c>
    </row>
    <row r="447" spans="1:7">
      <c r="A447" s="199" t="s">
        <v>569</v>
      </c>
      <c r="B447" s="200">
        <v>18219</v>
      </c>
      <c r="C447" s="200">
        <v>0</v>
      </c>
      <c r="D447" s="201" t="s">
        <v>282</v>
      </c>
      <c r="E447" s="201" t="s">
        <v>317</v>
      </c>
      <c r="F447" s="200" t="s">
        <v>445</v>
      </c>
      <c r="G447" s="200" t="s">
        <v>434</v>
      </c>
    </row>
    <row r="448" spans="1:7">
      <c r="A448" s="199" t="s">
        <v>569</v>
      </c>
      <c r="B448" s="200">
        <v>-18219</v>
      </c>
      <c r="C448" s="200">
        <v>0</v>
      </c>
      <c r="D448" s="201" t="s">
        <v>282</v>
      </c>
      <c r="E448" s="201" t="s">
        <v>317</v>
      </c>
      <c r="F448" s="200" t="s">
        <v>393</v>
      </c>
      <c r="G448" s="200" t="s">
        <v>434</v>
      </c>
    </row>
    <row r="449" spans="1:7" hidden="1">
      <c r="A449" s="199" t="s">
        <v>570</v>
      </c>
      <c r="B449" s="200">
        <v>-19825000</v>
      </c>
      <c r="C449" s="200">
        <v>0</v>
      </c>
      <c r="D449" s="201" t="s">
        <v>463</v>
      </c>
      <c r="E449" s="201" t="s">
        <v>464</v>
      </c>
      <c r="F449" s="200" t="s">
        <v>394</v>
      </c>
      <c r="G449" s="200" t="s">
        <v>434</v>
      </c>
    </row>
    <row r="450" spans="1:7" hidden="1">
      <c r="A450" s="199" t="s">
        <v>570</v>
      </c>
      <c r="B450" s="200">
        <v>1000000</v>
      </c>
      <c r="C450" s="200">
        <v>0</v>
      </c>
      <c r="D450" s="201" t="s">
        <v>463</v>
      </c>
      <c r="E450" s="201" t="s">
        <v>464</v>
      </c>
      <c r="F450" s="200" t="s">
        <v>468</v>
      </c>
      <c r="G450" s="200" t="s">
        <v>434</v>
      </c>
    </row>
    <row r="451" spans="1:7" hidden="1">
      <c r="A451" s="199" t="s">
        <v>570</v>
      </c>
      <c r="B451" s="200">
        <v>-1648000</v>
      </c>
      <c r="C451" s="200">
        <v>0</v>
      </c>
      <c r="D451" s="201" t="s">
        <v>463</v>
      </c>
      <c r="E451" s="201" t="s">
        <v>464</v>
      </c>
      <c r="F451" s="200" t="s">
        <v>413</v>
      </c>
      <c r="G451" s="200" t="s">
        <v>434</v>
      </c>
    </row>
    <row r="452" spans="1:7" hidden="1">
      <c r="A452" s="199" t="s">
        <v>570</v>
      </c>
      <c r="B452" s="200">
        <v>20000000</v>
      </c>
      <c r="C452" s="200">
        <v>0</v>
      </c>
      <c r="D452" s="201" t="s">
        <v>463</v>
      </c>
      <c r="E452" s="201" t="s">
        <v>464</v>
      </c>
      <c r="F452" s="200" t="s">
        <v>449</v>
      </c>
      <c r="G452" s="200" t="s">
        <v>434</v>
      </c>
    </row>
    <row r="453" spans="1:7" hidden="1">
      <c r="A453" s="199" t="s">
        <v>570</v>
      </c>
      <c r="B453" s="200">
        <v>473000</v>
      </c>
      <c r="C453" s="200">
        <v>0</v>
      </c>
      <c r="D453" s="201" t="s">
        <v>463</v>
      </c>
      <c r="E453" s="201" t="s">
        <v>464</v>
      </c>
      <c r="F453" s="200" t="s">
        <v>469</v>
      </c>
      <c r="G453" s="200" t="s">
        <v>434</v>
      </c>
    </row>
    <row r="454" spans="1:7" hidden="1">
      <c r="A454" s="199" t="s">
        <v>571</v>
      </c>
      <c r="B454" s="200">
        <v>-3093000</v>
      </c>
      <c r="C454" s="200">
        <v>0</v>
      </c>
      <c r="D454" s="201" t="s">
        <v>463</v>
      </c>
      <c r="E454" s="201" t="s">
        <v>464</v>
      </c>
      <c r="F454" s="200" t="s">
        <v>394</v>
      </c>
      <c r="G454" s="200" t="s">
        <v>434</v>
      </c>
    </row>
    <row r="455" spans="1:7" hidden="1">
      <c r="A455" s="199" t="s">
        <v>571</v>
      </c>
      <c r="B455" s="200">
        <v>500000</v>
      </c>
      <c r="C455" s="200">
        <v>0</v>
      </c>
      <c r="D455" s="201" t="s">
        <v>463</v>
      </c>
      <c r="E455" s="201" t="s">
        <v>464</v>
      </c>
      <c r="F455" s="200" t="s">
        <v>468</v>
      </c>
      <c r="G455" s="200" t="s">
        <v>434</v>
      </c>
    </row>
    <row r="456" spans="1:7" hidden="1">
      <c r="A456" s="199" t="s">
        <v>571</v>
      </c>
      <c r="B456" s="200">
        <v>1000000</v>
      </c>
      <c r="C456" s="200">
        <v>0</v>
      </c>
      <c r="D456" s="201" t="s">
        <v>463</v>
      </c>
      <c r="E456" s="201" t="s">
        <v>464</v>
      </c>
      <c r="F456" s="200" t="s">
        <v>413</v>
      </c>
      <c r="G456" s="200" t="s">
        <v>434</v>
      </c>
    </row>
    <row r="457" spans="1:7" hidden="1">
      <c r="A457" s="199" t="s">
        <v>571</v>
      </c>
      <c r="B457" s="200">
        <v>3600000</v>
      </c>
      <c r="C457" s="200">
        <v>0</v>
      </c>
      <c r="D457" s="201" t="s">
        <v>463</v>
      </c>
      <c r="E457" s="201" t="s">
        <v>464</v>
      </c>
      <c r="F457" s="200" t="s">
        <v>449</v>
      </c>
      <c r="G457" s="200" t="s">
        <v>434</v>
      </c>
    </row>
    <row r="458" spans="1:7" hidden="1">
      <c r="A458" s="199" t="s">
        <v>571</v>
      </c>
      <c r="B458" s="200">
        <v>-2007000</v>
      </c>
      <c r="C458" s="200">
        <v>0</v>
      </c>
      <c r="D458" s="201" t="s">
        <v>463</v>
      </c>
      <c r="E458" s="201" t="s">
        <v>464</v>
      </c>
      <c r="F458" s="200" t="s">
        <v>469</v>
      </c>
      <c r="G458" s="200" t="s">
        <v>434</v>
      </c>
    </row>
    <row r="459" spans="1:7" hidden="1">
      <c r="A459" s="199" t="s">
        <v>347</v>
      </c>
      <c r="B459" s="200">
        <v>232</v>
      </c>
      <c r="C459" s="200">
        <v>0</v>
      </c>
      <c r="D459" s="201" t="s">
        <v>283</v>
      </c>
      <c r="E459" s="201" t="s">
        <v>317</v>
      </c>
      <c r="F459" s="200" t="s">
        <v>394</v>
      </c>
      <c r="G459" s="200" t="s">
        <v>434</v>
      </c>
    </row>
    <row r="460" spans="1:7" hidden="1">
      <c r="A460" s="199" t="s">
        <v>347</v>
      </c>
      <c r="B460" s="200">
        <v>-232</v>
      </c>
      <c r="C460" s="200">
        <v>0</v>
      </c>
      <c r="D460" s="201" t="s">
        <v>283</v>
      </c>
      <c r="E460" s="201" t="s">
        <v>317</v>
      </c>
      <c r="F460" s="200" t="s">
        <v>441</v>
      </c>
      <c r="G460" s="200" t="s">
        <v>434</v>
      </c>
    </row>
    <row r="461" spans="1:7">
      <c r="A461" s="199" t="s">
        <v>347</v>
      </c>
      <c r="B461" s="200">
        <v>607</v>
      </c>
      <c r="C461" s="200">
        <v>0</v>
      </c>
      <c r="D461" s="201" t="s">
        <v>282</v>
      </c>
      <c r="E461" s="201" t="s">
        <v>317</v>
      </c>
      <c r="F461" s="200" t="s">
        <v>394</v>
      </c>
      <c r="G461" s="200" t="s">
        <v>434</v>
      </c>
    </row>
    <row r="462" spans="1:7">
      <c r="A462" s="199" t="s">
        <v>347</v>
      </c>
      <c r="B462" s="200">
        <v>-839</v>
      </c>
      <c r="C462" s="200">
        <v>0</v>
      </c>
      <c r="D462" s="201" t="s">
        <v>282</v>
      </c>
      <c r="E462" s="201" t="s">
        <v>317</v>
      </c>
      <c r="F462" s="200" t="s">
        <v>393</v>
      </c>
      <c r="G462" s="200" t="s">
        <v>434</v>
      </c>
    </row>
    <row r="463" spans="1:7">
      <c r="A463" s="199" t="s">
        <v>347</v>
      </c>
      <c r="B463" s="200">
        <v>232</v>
      </c>
      <c r="C463" s="200">
        <v>0</v>
      </c>
      <c r="D463" s="201" t="s">
        <v>282</v>
      </c>
      <c r="E463" s="201" t="s">
        <v>317</v>
      </c>
      <c r="F463" s="200" t="s">
        <v>441</v>
      </c>
      <c r="G463" s="200" t="s">
        <v>434</v>
      </c>
    </row>
    <row r="464" spans="1:7">
      <c r="A464" s="199" t="s">
        <v>572</v>
      </c>
      <c r="B464" s="200">
        <v>46</v>
      </c>
      <c r="C464" s="200">
        <v>0</v>
      </c>
      <c r="D464" s="201" t="s">
        <v>282</v>
      </c>
      <c r="E464" s="201" t="s">
        <v>319</v>
      </c>
      <c r="F464" s="200" t="s">
        <v>394</v>
      </c>
      <c r="G464" s="200" t="s">
        <v>434</v>
      </c>
    </row>
    <row r="465" spans="1:7">
      <c r="A465" s="199" t="s">
        <v>572</v>
      </c>
      <c r="B465" s="200">
        <v>-46</v>
      </c>
      <c r="C465" s="200">
        <v>0</v>
      </c>
      <c r="D465" s="201" t="s">
        <v>282</v>
      </c>
      <c r="E465" s="201" t="s">
        <v>319</v>
      </c>
      <c r="F465" s="200" t="s">
        <v>408</v>
      </c>
      <c r="G465" s="200" t="s">
        <v>434</v>
      </c>
    </row>
    <row r="466" spans="1:7">
      <c r="A466" s="199" t="s">
        <v>573</v>
      </c>
      <c r="B466" s="200">
        <v>-46</v>
      </c>
      <c r="C466" s="200">
        <v>0</v>
      </c>
      <c r="D466" s="201" t="s">
        <v>282</v>
      </c>
      <c r="E466" s="201" t="s">
        <v>319</v>
      </c>
      <c r="F466" s="200" t="s">
        <v>394</v>
      </c>
      <c r="G466" s="200" t="s">
        <v>434</v>
      </c>
    </row>
    <row r="467" spans="1:7">
      <c r="A467" s="199" t="s">
        <v>573</v>
      </c>
      <c r="B467" s="200">
        <v>46</v>
      </c>
      <c r="C467" s="200">
        <v>0</v>
      </c>
      <c r="D467" s="201" t="s">
        <v>282</v>
      </c>
      <c r="E467" s="201" t="s">
        <v>319</v>
      </c>
      <c r="F467" s="200" t="s">
        <v>408</v>
      </c>
      <c r="G467" s="200" t="s">
        <v>434</v>
      </c>
    </row>
    <row r="468" spans="1:7" hidden="1">
      <c r="A468" s="199" t="s">
        <v>574</v>
      </c>
      <c r="B468" s="200">
        <v>61536</v>
      </c>
      <c r="C468" s="200">
        <v>0</v>
      </c>
      <c r="D468" s="201" t="s">
        <v>440</v>
      </c>
      <c r="E468" s="201" t="s">
        <v>39</v>
      </c>
      <c r="F468" s="200" t="s">
        <v>394</v>
      </c>
      <c r="G468" s="200" t="s">
        <v>434</v>
      </c>
    </row>
    <row r="469" spans="1:7" hidden="1">
      <c r="A469" s="199" t="s">
        <v>574</v>
      </c>
      <c r="B469" s="200">
        <v>-61536</v>
      </c>
      <c r="C469" s="200">
        <v>0</v>
      </c>
      <c r="D469" s="201" t="s">
        <v>440</v>
      </c>
      <c r="E469" s="201" t="s">
        <v>39</v>
      </c>
      <c r="F469" s="200" t="s">
        <v>402</v>
      </c>
      <c r="G469" s="200" t="s">
        <v>434</v>
      </c>
    </row>
    <row r="470" spans="1:7" hidden="1">
      <c r="A470" s="199" t="s">
        <v>575</v>
      </c>
      <c r="B470" s="200">
        <v>467100</v>
      </c>
      <c r="C470" s="200">
        <v>0</v>
      </c>
      <c r="D470" s="201" t="s">
        <v>440</v>
      </c>
      <c r="E470" s="201" t="s">
        <v>317</v>
      </c>
      <c r="F470" s="200" t="s">
        <v>394</v>
      </c>
      <c r="G470" s="200" t="s">
        <v>434</v>
      </c>
    </row>
    <row r="471" spans="1:7" hidden="1">
      <c r="A471" s="199" t="s">
        <v>575</v>
      </c>
      <c r="B471" s="200">
        <v>-100</v>
      </c>
      <c r="C471" s="200">
        <v>0</v>
      </c>
      <c r="D471" s="201" t="s">
        <v>440</v>
      </c>
      <c r="E471" s="201" t="s">
        <v>317</v>
      </c>
      <c r="F471" s="200" t="s">
        <v>397</v>
      </c>
      <c r="G471" s="200" t="s">
        <v>434</v>
      </c>
    </row>
    <row r="472" spans="1:7" hidden="1">
      <c r="A472" s="199" t="s">
        <v>575</v>
      </c>
      <c r="B472" s="200">
        <v>-280000</v>
      </c>
      <c r="C472" s="200">
        <v>0</v>
      </c>
      <c r="D472" s="201" t="s">
        <v>440</v>
      </c>
      <c r="E472" s="201" t="s">
        <v>317</v>
      </c>
      <c r="F472" s="200" t="s">
        <v>405</v>
      </c>
      <c r="G472" s="200" t="s">
        <v>434</v>
      </c>
    </row>
    <row r="473" spans="1:7" hidden="1">
      <c r="A473" s="199" t="s">
        <v>575</v>
      </c>
      <c r="B473" s="200">
        <v>-200000</v>
      </c>
      <c r="C473" s="200">
        <v>0</v>
      </c>
      <c r="D473" s="201" t="s">
        <v>440</v>
      </c>
      <c r="E473" s="201" t="s">
        <v>317</v>
      </c>
      <c r="F473" s="200" t="s">
        <v>393</v>
      </c>
      <c r="G473" s="200" t="s">
        <v>434</v>
      </c>
    </row>
    <row r="474" spans="1:7" hidden="1">
      <c r="A474" s="199" t="s">
        <v>575</v>
      </c>
      <c r="B474" s="200">
        <v>200000</v>
      </c>
      <c r="C474" s="200">
        <v>0</v>
      </c>
      <c r="D474" s="201" t="s">
        <v>440</v>
      </c>
      <c r="E474" s="201" t="s">
        <v>317</v>
      </c>
      <c r="F474" s="200" t="s">
        <v>410</v>
      </c>
      <c r="G474" s="200" t="s">
        <v>434</v>
      </c>
    </row>
    <row r="475" spans="1:7" hidden="1">
      <c r="A475" s="199" t="s">
        <v>575</v>
      </c>
      <c r="B475" s="200">
        <v>-400000</v>
      </c>
      <c r="C475" s="200">
        <v>0</v>
      </c>
      <c r="D475" s="201" t="s">
        <v>440</v>
      </c>
      <c r="E475" s="201" t="s">
        <v>317</v>
      </c>
      <c r="F475" s="200" t="s">
        <v>411</v>
      </c>
      <c r="G475" s="200" t="s">
        <v>434</v>
      </c>
    </row>
    <row r="476" spans="1:7" hidden="1">
      <c r="A476" s="199" t="s">
        <v>575</v>
      </c>
      <c r="B476" s="200">
        <v>213000</v>
      </c>
      <c r="C476" s="200">
        <v>0</v>
      </c>
      <c r="D476" s="201" t="s">
        <v>440</v>
      </c>
      <c r="E476" s="201" t="s">
        <v>317</v>
      </c>
      <c r="F476" s="200" t="s">
        <v>402</v>
      </c>
      <c r="G476" s="200" t="s">
        <v>434</v>
      </c>
    </row>
    <row r="477" spans="1:7" hidden="1">
      <c r="A477" s="199" t="s">
        <v>94</v>
      </c>
      <c r="B477" s="200">
        <v>3366</v>
      </c>
      <c r="C477" s="200">
        <v>0</v>
      </c>
      <c r="D477" s="201" t="s">
        <v>283</v>
      </c>
      <c r="E477" s="201" t="s">
        <v>317</v>
      </c>
      <c r="F477" s="200" t="s">
        <v>394</v>
      </c>
      <c r="G477" s="200" t="s">
        <v>434</v>
      </c>
    </row>
    <row r="478" spans="1:7" hidden="1">
      <c r="A478" s="199" t="s">
        <v>94</v>
      </c>
      <c r="B478" s="200">
        <v>809</v>
      </c>
      <c r="C478" s="200">
        <v>0</v>
      </c>
      <c r="D478" s="201" t="s">
        <v>283</v>
      </c>
      <c r="E478" s="201" t="s">
        <v>317</v>
      </c>
      <c r="F478" s="200" t="s">
        <v>393</v>
      </c>
      <c r="G478" s="200" t="s">
        <v>434</v>
      </c>
    </row>
    <row r="479" spans="1:7" hidden="1">
      <c r="A479" s="199" t="s">
        <v>94</v>
      </c>
      <c r="B479" s="200">
        <v>-11822</v>
      </c>
      <c r="C479" s="200">
        <v>0</v>
      </c>
      <c r="D479" s="201" t="s">
        <v>283</v>
      </c>
      <c r="E479" s="201" t="s">
        <v>317</v>
      </c>
      <c r="F479" s="200" t="s">
        <v>441</v>
      </c>
      <c r="G479" s="200" t="s">
        <v>434</v>
      </c>
    </row>
    <row r="480" spans="1:7" hidden="1">
      <c r="A480" s="199" t="s">
        <v>94</v>
      </c>
      <c r="B480" s="200">
        <v>7637</v>
      </c>
      <c r="C480" s="200">
        <v>0</v>
      </c>
      <c r="D480" s="201" t="s">
        <v>283</v>
      </c>
      <c r="E480" s="201" t="s">
        <v>317</v>
      </c>
      <c r="F480" s="200" t="s">
        <v>411</v>
      </c>
      <c r="G480" s="200" t="s">
        <v>434</v>
      </c>
    </row>
    <row r="481" spans="1:7">
      <c r="A481" s="199" t="s">
        <v>94</v>
      </c>
      <c r="B481" s="200">
        <v>-75626</v>
      </c>
      <c r="C481" s="200">
        <v>0</v>
      </c>
      <c r="D481" s="201" t="s">
        <v>282</v>
      </c>
      <c r="E481" s="201" t="s">
        <v>317</v>
      </c>
      <c r="F481" s="200" t="s">
        <v>394</v>
      </c>
      <c r="G481" s="200" t="s">
        <v>434</v>
      </c>
    </row>
    <row r="482" spans="1:7">
      <c r="A482" s="199" t="s">
        <v>94</v>
      </c>
      <c r="B482" s="200">
        <v>-8501</v>
      </c>
      <c r="C482" s="200">
        <v>0</v>
      </c>
      <c r="D482" s="201" t="s">
        <v>282</v>
      </c>
      <c r="E482" s="201" t="s">
        <v>317</v>
      </c>
      <c r="F482" s="200" t="s">
        <v>445</v>
      </c>
      <c r="G482" s="200" t="s">
        <v>434</v>
      </c>
    </row>
    <row r="483" spans="1:7">
      <c r="A483" s="199" t="s">
        <v>94</v>
      </c>
      <c r="B483" s="200">
        <v>32926</v>
      </c>
      <c r="C483" s="200">
        <v>0</v>
      </c>
      <c r="D483" s="201" t="s">
        <v>282</v>
      </c>
      <c r="E483" s="201" t="s">
        <v>317</v>
      </c>
      <c r="F483" s="200" t="s">
        <v>408</v>
      </c>
      <c r="G483" s="200" t="s">
        <v>434</v>
      </c>
    </row>
    <row r="484" spans="1:7">
      <c r="A484" s="199" t="s">
        <v>94</v>
      </c>
      <c r="B484" s="200">
        <v>33141</v>
      </c>
      <c r="C484" s="200">
        <v>0</v>
      </c>
      <c r="D484" s="201" t="s">
        <v>282</v>
      </c>
      <c r="E484" s="201" t="s">
        <v>317</v>
      </c>
      <c r="F484" s="200" t="s">
        <v>393</v>
      </c>
      <c r="G484" s="200" t="s">
        <v>434</v>
      </c>
    </row>
    <row r="485" spans="1:7">
      <c r="A485" s="199" t="s">
        <v>94</v>
      </c>
      <c r="B485" s="200">
        <v>4177</v>
      </c>
      <c r="C485" s="200">
        <v>0</v>
      </c>
      <c r="D485" s="201" t="s">
        <v>282</v>
      </c>
      <c r="E485" s="201" t="s">
        <v>317</v>
      </c>
      <c r="F485" s="200" t="s">
        <v>413</v>
      </c>
      <c r="G485" s="200" t="s">
        <v>434</v>
      </c>
    </row>
    <row r="486" spans="1:7">
      <c r="A486" s="199" t="s">
        <v>94</v>
      </c>
      <c r="B486" s="200">
        <v>-5566</v>
      </c>
      <c r="C486" s="200">
        <v>0</v>
      </c>
      <c r="D486" s="201" t="s">
        <v>282</v>
      </c>
      <c r="E486" s="201" t="s">
        <v>317</v>
      </c>
      <c r="F486" s="200" t="s">
        <v>403</v>
      </c>
      <c r="G486" s="200" t="s">
        <v>434</v>
      </c>
    </row>
    <row r="487" spans="1:7">
      <c r="A487" s="199" t="s">
        <v>94</v>
      </c>
      <c r="B487" s="200">
        <v>11822</v>
      </c>
      <c r="C487" s="200">
        <v>0</v>
      </c>
      <c r="D487" s="201" t="s">
        <v>282</v>
      </c>
      <c r="E487" s="201" t="s">
        <v>317</v>
      </c>
      <c r="F487" s="200" t="s">
        <v>441</v>
      </c>
      <c r="G487" s="200" t="s">
        <v>434</v>
      </c>
    </row>
    <row r="488" spans="1:7">
      <c r="A488" s="199" t="s">
        <v>94</v>
      </c>
      <c r="B488" s="200">
        <v>7637</v>
      </c>
      <c r="C488" s="200">
        <v>0</v>
      </c>
      <c r="D488" s="201" t="s">
        <v>282</v>
      </c>
      <c r="E488" s="201" t="s">
        <v>317</v>
      </c>
      <c r="F488" s="200" t="s">
        <v>411</v>
      </c>
      <c r="G488" s="200" t="s">
        <v>434</v>
      </c>
    </row>
    <row r="489" spans="1:7" hidden="1">
      <c r="A489" s="199" t="s">
        <v>576</v>
      </c>
      <c r="B489" s="200">
        <v>47</v>
      </c>
      <c r="C489" s="200">
        <v>0</v>
      </c>
      <c r="D489" s="201" t="s">
        <v>283</v>
      </c>
      <c r="E489" s="201" t="s">
        <v>319</v>
      </c>
      <c r="F489" s="200" t="s">
        <v>394</v>
      </c>
      <c r="G489" s="200" t="s">
        <v>434</v>
      </c>
    </row>
    <row r="490" spans="1:7" hidden="1">
      <c r="A490" s="199" t="s">
        <v>576</v>
      </c>
      <c r="B490" s="200">
        <v>-47</v>
      </c>
      <c r="C490" s="200">
        <v>0</v>
      </c>
      <c r="D490" s="201" t="s">
        <v>283</v>
      </c>
      <c r="E490" s="201" t="s">
        <v>319</v>
      </c>
      <c r="F490" s="200" t="s">
        <v>441</v>
      </c>
      <c r="G490" s="200" t="s">
        <v>434</v>
      </c>
    </row>
    <row r="491" spans="1:7">
      <c r="A491" s="199" t="s">
        <v>576</v>
      </c>
      <c r="B491" s="200">
        <v>327</v>
      </c>
      <c r="C491" s="200">
        <v>0</v>
      </c>
      <c r="D491" s="201" t="s">
        <v>282</v>
      </c>
      <c r="E491" s="201" t="s">
        <v>319</v>
      </c>
      <c r="F491" s="200" t="s">
        <v>394</v>
      </c>
      <c r="G491" s="200" t="s">
        <v>434</v>
      </c>
    </row>
    <row r="492" spans="1:7">
      <c r="A492" s="199" t="s">
        <v>576</v>
      </c>
      <c r="B492" s="200">
        <v>-277</v>
      </c>
      <c r="C492" s="200">
        <v>0</v>
      </c>
      <c r="D492" s="201" t="s">
        <v>282</v>
      </c>
      <c r="E492" s="201" t="s">
        <v>319</v>
      </c>
      <c r="F492" s="200" t="s">
        <v>408</v>
      </c>
      <c r="G492" s="200" t="s">
        <v>434</v>
      </c>
    </row>
    <row r="493" spans="1:7">
      <c r="A493" s="199" t="s">
        <v>576</v>
      </c>
      <c r="B493" s="200">
        <v>-97</v>
      </c>
      <c r="C493" s="200">
        <v>0</v>
      </c>
      <c r="D493" s="201" t="s">
        <v>282</v>
      </c>
      <c r="E493" s="201" t="s">
        <v>319</v>
      </c>
      <c r="F493" s="200" t="s">
        <v>393</v>
      </c>
      <c r="G493" s="200" t="s">
        <v>434</v>
      </c>
    </row>
    <row r="494" spans="1:7">
      <c r="A494" s="199" t="s">
        <v>576</v>
      </c>
      <c r="B494" s="200">
        <v>47</v>
      </c>
      <c r="C494" s="200">
        <v>0</v>
      </c>
      <c r="D494" s="201" t="s">
        <v>282</v>
      </c>
      <c r="E494" s="201" t="s">
        <v>319</v>
      </c>
      <c r="F494" s="200" t="s">
        <v>441</v>
      </c>
      <c r="G494" s="200" t="s">
        <v>434</v>
      </c>
    </row>
    <row r="495" spans="1:7">
      <c r="A495" s="199" t="s">
        <v>577</v>
      </c>
      <c r="B495" s="200">
        <v>93</v>
      </c>
      <c r="C495" s="200">
        <v>0</v>
      </c>
      <c r="D495" s="201" t="s">
        <v>282</v>
      </c>
      <c r="E495" s="201" t="s">
        <v>319</v>
      </c>
      <c r="F495" s="200" t="s">
        <v>408</v>
      </c>
      <c r="G495" s="200" t="s">
        <v>434</v>
      </c>
    </row>
    <row r="496" spans="1:7">
      <c r="A496" s="199" t="s">
        <v>577</v>
      </c>
      <c r="B496" s="200">
        <v>-93</v>
      </c>
      <c r="C496" s="200">
        <v>0</v>
      </c>
      <c r="D496" s="201" t="s">
        <v>282</v>
      </c>
      <c r="E496" s="201" t="s">
        <v>319</v>
      </c>
      <c r="F496" s="200" t="s">
        <v>393</v>
      </c>
      <c r="G496" s="200" t="s">
        <v>434</v>
      </c>
    </row>
    <row r="497" spans="1:7">
      <c r="A497" s="199" t="s">
        <v>578</v>
      </c>
      <c r="B497" s="200">
        <v>-467</v>
      </c>
      <c r="C497" s="200">
        <v>0</v>
      </c>
      <c r="D497" s="201" t="s">
        <v>282</v>
      </c>
      <c r="E497" s="201" t="s">
        <v>319</v>
      </c>
      <c r="F497" s="200" t="s">
        <v>394</v>
      </c>
      <c r="G497" s="200" t="s">
        <v>434</v>
      </c>
    </row>
    <row r="498" spans="1:7">
      <c r="A498" s="199" t="s">
        <v>578</v>
      </c>
      <c r="B498" s="200">
        <v>240</v>
      </c>
      <c r="C498" s="200">
        <v>0</v>
      </c>
      <c r="D498" s="201" t="s">
        <v>282</v>
      </c>
      <c r="E498" s="201" t="s">
        <v>319</v>
      </c>
      <c r="F498" s="200" t="s">
        <v>408</v>
      </c>
      <c r="G498" s="200" t="s">
        <v>434</v>
      </c>
    </row>
    <row r="499" spans="1:7">
      <c r="A499" s="199" t="s">
        <v>578</v>
      </c>
      <c r="B499" s="200">
        <v>227</v>
      </c>
      <c r="C499" s="200">
        <v>0</v>
      </c>
      <c r="D499" s="201" t="s">
        <v>282</v>
      </c>
      <c r="E499" s="201" t="s">
        <v>319</v>
      </c>
      <c r="F499" s="200" t="s">
        <v>393</v>
      </c>
      <c r="G499" s="200" t="s">
        <v>434</v>
      </c>
    </row>
    <row r="500" spans="1:7">
      <c r="A500" s="199" t="s">
        <v>579</v>
      </c>
      <c r="B500" s="200">
        <v>-92</v>
      </c>
      <c r="C500" s="200">
        <v>0</v>
      </c>
      <c r="D500" s="201" t="s">
        <v>282</v>
      </c>
      <c r="E500" s="201" t="s">
        <v>319</v>
      </c>
      <c r="F500" s="200" t="s">
        <v>408</v>
      </c>
      <c r="G500" s="200" t="s">
        <v>434</v>
      </c>
    </row>
    <row r="501" spans="1:7">
      <c r="A501" s="199" t="s">
        <v>579</v>
      </c>
      <c r="B501" s="200">
        <v>92</v>
      </c>
      <c r="C501" s="200">
        <v>0</v>
      </c>
      <c r="D501" s="201" t="s">
        <v>282</v>
      </c>
      <c r="E501" s="201" t="s">
        <v>319</v>
      </c>
      <c r="F501" s="200" t="s">
        <v>393</v>
      </c>
      <c r="G501" s="200" t="s">
        <v>434</v>
      </c>
    </row>
    <row r="502" spans="1:7" hidden="1">
      <c r="A502" s="199" t="s">
        <v>580</v>
      </c>
      <c r="B502" s="200">
        <v>-1</v>
      </c>
      <c r="C502" s="200">
        <v>0</v>
      </c>
      <c r="D502" s="201" t="s">
        <v>283</v>
      </c>
      <c r="E502" s="201" t="s">
        <v>319</v>
      </c>
      <c r="F502" s="200" t="s">
        <v>394</v>
      </c>
      <c r="G502" s="200" t="s">
        <v>434</v>
      </c>
    </row>
    <row r="503" spans="1:7">
      <c r="A503" s="199" t="s">
        <v>580</v>
      </c>
      <c r="B503" s="200">
        <v>1</v>
      </c>
      <c r="C503" s="200">
        <v>0</v>
      </c>
      <c r="D503" s="201" t="s">
        <v>282</v>
      </c>
      <c r="E503" s="201" t="s">
        <v>319</v>
      </c>
      <c r="F503" s="200" t="s">
        <v>394</v>
      </c>
      <c r="G503" s="200" t="s">
        <v>434</v>
      </c>
    </row>
    <row r="504" spans="1:7">
      <c r="A504" s="199" t="s">
        <v>580</v>
      </c>
      <c r="B504" s="200">
        <v>-509</v>
      </c>
      <c r="C504" s="200">
        <v>0</v>
      </c>
      <c r="D504" s="201" t="s">
        <v>282</v>
      </c>
      <c r="E504" s="201" t="s">
        <v>319</v>
      </c>
      <c r="F504" s="200" t="s">
        <v>408</v>
      </c>
      <c r="G504" s="200" t="s">
        <v>434</v>
      </c>
    </row>
    <row r="505" spans="1:7">
      <c r="A505" s="199" t="s">
        <v>580</v>
      </c>
      <c r="B505" s="200">
        <v>509</v>
      </c>
      <c r="C505" s="200">
        <v>0</v>
      </c>
      <c r="D505" s="201" t="s">
        <v>282</v>
      </c>
      <c r="E505" s="201" t="s">
        <v>319</v>
      </c>
      <c r="F505" s="200" t="s">
        <v>393</v>
      </c>
      <c r="G505" s="200" t="s">
        <v>434</v>
      </c>
    </row>
    <row r="506" spans="1:7">
      <c r="A506" s="199" t="s">
        <v>581</v>
      </c>
      <c r="B506" s="200">
        <v>2252</v>
      </c>
      <c r="C506" s="200">
        <v>0</v>
      </c>
      <c r="D506" s="201" t="s">
        <v>282</v>
      </c>
      <c r="E506" s="201" t="s">
        <v>319</v>
      </c>
      <c r="F506" s="200" t="s">
        <v>394</v>
      </c>
      <c r="G506" s="200" t="s">
        <v>434</v>
      </c>
    </row>
    <row r="507" spans="1:7">
      <c r="A507" s="199" t="s">
        <v>581</v>
      </c>
      <c r="B507" s="200">
        <v>-2252</v>
      </c>
      <c r="C507" s="200">
        <v>0</v>
      </c>
      <c r="D507" s="201" t="s">
        <v>282</v>
      </c>
      <c r="E507" s="201" t="s">
        <v>319</v>
      </c>
      <c r="F507" s="200" t="s">
        <v>408</v>
      </c>
      <c r="G507" s="200" t="s">
        <v>434</v>
      </c>
    </row>
    <row r="508" spans="1:7" hidden="1">
      <c r="A508" s="199" t="s">
        <v>582</v>
      </c>
      <c r="B508" s="200">
        <v>2</v>
      </c>
      <c r="C508" s="200">
        <v>0</v>
      </c>
      <c r="D508" s="201" t="s">
        <v>283</v>
      </c>
      <c r="E508" s="201" t="s">
        <v>319</v>
      </c>
      <c r="F508" s="200" t="s">
        <v>394</v>
      </c>
      <c r="G508" s="200" t="s">
        <v>434</v>
      </c>
    </row>
    <row r="509" spans="1:7">
      <c r="A509" s="199" t="s">
        <v>582</v>
      </c>
      <c r="B509" s="200">
        <v>-2</v>
      </c>
      <c r="C509" s="200">
        <v>0</v>
      </c>
      <c r="D509" s="201" t="s">
        <v>282</v>
      </c>
      <c r="E509" s="201" t="s">
        <v>319</v>
      </c>
      <c r="F509" s="200" t="s">
        <v>394</v>
      </c>
      <c r="G509" s="200" t="s">
        <v>434</v>
      </c>
    </row>
    <row r="510" spans="1:7">
      <c r="A510" s="199" t="s">
        <v>582</v>
      </c>
      <c r="B510" s="200">
        <v>509</v>
      </c>
      <c r="C510" s="200">
        <v>0</v>
      </c>
      <c r="D510" s="201" t="s">
        <v>282</v>
      </c>
      <c r="E510" s="201" t="s">
        <v>319</v>
      </c>
      <c r="F510" s="200" t="s">
        <v>408</v>
      </c>
      <c r="G510" s="200" t="s">
        <v>434</v>
      </c>
    </row>
    <row r="511" spans="1:7">
      <c r="A511" s="199" t="s">
        <v>582</v>
      </c>
      <c r="B511" s="200">
        <v>-509</v>
      </c>
      <c r="C511" s="200">
        <v>0</v>
      </c>
      <c r="D511" s="201" t="s">
        <v>282</v>
      </c>
      <c r="E511" s="201" t="s">
        <v>319</v>
      </c>
      <c r="F511" s="200" t="s">
        <v>393</v>
      </c>
      <c r="G511" s="200" t="s">
        <v>434</v>
      </c>
    </row>
    <row r="512" spans="1:7">
      <c r="A512" s="199" t="s">
        <v>583</v>
      </c>
      <c r="B512" s="200">
        <v>-2252</v>
      </c>
      <c r="C512" s="200">
        <v>0</v>
      </c>
      <c r="D512" s="201" t="s">
        <v>282</v>
      </c>
      <c r="E512" s="201" t="s">
        <v>319</v>
      </c>
      <c r="F512" s="200" t="s">
        <v>394</v>
      </c>
      <c r="G512" s="200" t="s">
        <v>434</v>
      </c>
    </row>
    <row r="513" spans="1:7">
      <c r="A513" s="199" t="s">
        <v>583</v>
      </c>
      <c r="B513" s="200">
        <v>2252</v>
      </c>
      <c r="C513" s="200">
        <v>0</v>
      </c>
      <c r="D513" s="201" t="s">
        <v>282</v>
      </c>
      <c r="E513" s="201" t="s">
        <v>319</v>
      </c>
      <c r="F513" s="200" t="s">
        <v>408</v>
      </c>
      <c r="G513" s="200" t="s">
        <v>434</v>
      </c>
    </row>
    <row r="514" spans="1:7" hidden="1">
      <c r="A514" s="199" t="s">
        <v>584</v>
      </c>
      <c r="B514" s="200">
        <v>-189657</v>
      </c>
      <c r="C514" s="200">
        <v>0</v>
      </c>
      <c r="D514" s="201" t="s">
        <v>440</v>
      </c>
      <c r="E514" s="201" t="s">
        <v>317</v>
      </c>
      <c r="F514" s="200" t="s">
        <v>394</v>
      </c>
      <c r="G514" s="200" t="s">
        <v>434</v>
      </c>
    </row>
    <row r="515" spans="1:7" hidden="1">
      <c r="A515" s="199" t="s">
        <v>584</v>
      </c>
      <c r="B515" s="200">
        <v>-38490</v>
      </c>
      <c r="C515" s="200">
        <v>0</v>
      </c>
      <c r="D515" s="201" t="s">
        <v>440</v>
      </c>
      <c r="E515" s="201" t="s">
        <v>317</v>
      </c>
      <c r="F515" s="200" t="s">
        <v>410</v>
      </c>
      <c r="G515" s="200" t="s">
        <v>434</v>
      </c>
    </row>
    <row r="516" spans="1:7" hidden="1">
      <c r="A516" s="199" t="s">
        <v>584</v>
      </c>
      <c r="B516" s="200">
        <v>-64870</v>
      </c>
      <c r="C516" s="200">
        <v>0</v>
      </c>
      <c r="D516" s="201" t="s">
        <v>440</v>
      </c>
      <c r="E516" s="201" t="s">
        <v>317</v>
      </c>
      <c r="F516" s="200" t="s">
        <v>407</v>
      </c>
      <c r="G516" s="200" t="s">
        <v>434</v>
      </c>
    </row>
    <row r="517" spans="1:7" hidden="1">
      <c r="A517" s="199" t="s">
        <v>584</v>
      </c>
      <c r="B517" s="200">
        <v>431336</v>
      </c>
      <c r="C517" s="200">
        <v>0</v>
      </c>
      <c r="D517" s="201" t="s">
        <v>440</v>
      </c>
      <c r="E517" s="201" t="s">
        <v>317</v>
      </c>
      <c r="F517" s="200" t="s">
        <v>402</v>
      </c>
      <c r="G517" s="200" t="s">
        <v>434</v>
      </c>
    </row>
    <row r="518" spans="1:7" hidden="1">
      <c r="A518" s="199" t="s">
        <v>584</v>
      </c>
      <c r="B518" s="200">
        <v>-84202</v>
      </c>
      <c r="C518" s="200">
        <v>0</v>
      </c>
      <c r="D518" s="201" t="s">
        <v>545</v>
      </c>
      <c r="E518" s="201" t="s">
        <v>317</v>
      </c>
      <c r="F518" s="200" t="s">
        <v>394</v>
      </c>
      <c r="G518" s="200" t="s">
        <v>434</v>
      </c>
    </row>
    <row r="519" spans="1:7" hidden="1">
      <c r="A519" s="199" t="s">
        <v>584</v>
      </c>
      <c r="B519" s="200">
        <v>-167140</v>
      </c>
      <c r="C519" s="200">
        <v>0</v>
      </c>
      <c r="D519" s="201" t="s">
        <v>474</v>
      </c>
      <c r="E519" s="201" t="s">
        <v>317</v>
      </c>
      <c r="F519" s="200" t="s">
        <v>394</v>
      </c>
      <c r="G519" s="200" t="s">
        <v>434</v>
      </c>
    </row>
    <row r="520" spans="1:7" hidden="1">
      <c r="A520" s="199" t="s">
        <v>585</v>
      </c>
      <c r="B520" s="200">
        <v>459000</v>
      </c>
      <c r="C520" s="200">
        <v>0</v>
      </c>
      <c r="D520" s="201" t="s">
        <v>440</v>
      </c>
      <c r="E520" s="201" t="s">
        <v>317</v>
      </c>
      <c r="F520" s="200" t="s">
        <v>394</v>
      </c>
      <c r="G520" s="200" t="s">
        <v>434</v>
      </c>
    </row>
    <row r="521" spans="1:7" hidden="1">
      <c r="A521" s="199" t="s">
        <v>585</v>
      </c>
      <c r="B521" s="200">
        <v>-177023</v>
      </c>
      <c r="C521" s="200">
        <v>0</v>
      </c>
      <c r="D521" s="201" t="s">
        <v>440</v>
      </c>
      <c r="E521" s="201" t="s">
        <v>317</v>
      </c>
      <c r="F521" s="200" t="s">
        <v>407</v>
      </c>
      <c r="G521" s="200" t="s">
        <v>434</v>
      </c>
    </row>
    <row r="522" spans="1:7" hidden="1">
      <c r="A522" s="199" t="s">
        <v>585</v>
      </c>
      <c r="B522" s="200">
        <v>-459000</v>
      </c>
      <c r="C522" s="200">
        <v>0</v>
      </c>
      <c r="D522" s="201" t="s">
        <v>440</v>
      </c>
      <c r="E522" s="201" t="s">
        <v>317</v>
      </c>
      <c r="F522" s="200" t="s">
        <v>402</v>
      </c>
      <c r="G522" s="200" t="s">
        <v>434</v>
      </c>
    </row>
    <row r="523" spans="1:7" hidden="1">
      <c r="A523" s="199" t="s">
        <v>585</v>
      </c>
      <c r="B523" s="200">
        <v>-6960</v>
      </c>
      <c r="C523" s="200">
        <v>0</v>
      </c>
      <c r="D523" s="201" t="s">
        <v>545</v>
      </c>
      <c r="E523" s="201" t="s">
        <v>317</v>
      </c>
      <c r="F523" s="200" t="s">
        <v>394</v>
      </c>
      <c r="G523" s="200" t="s">
        <v>434</v>
      </c>
    </row>
    <row r="524" spans="1:7" hidden="1">
      <c r="A524" s="199" t="s">
        <v>585</v>
      </c>
      <c r="B524" s="200">
        <v>-26949</v>
      </c>
      <c r="C524" s="200">
        <v>0</v>
      </c>
      <c r="D524" s="201" t="s">
        <v>545</v>
      </c>
      <c r="E524" s="201" t="s">
        <v>317</v>
      </c>
      <c r="F524" s="200" t="s">
        <v>407</v>
      </c>
      <c r="G524" s="200" t="s">
        <v>434</v>
      </c>
    </row>
    <row r="525" spans="1:7" hidden="1">
      <c r="A525" s="199" t="s">
        <v>586</v>
      </c>
      <c r="B525" s="200">
        <v>-15000</v>
      </c>
      <c r="C525" s="200">
        <v>0</v>
      </c>
      <c r="D525" s="201" t="s">
        <v>587</v>
      </c>
      <c r="E525" s="201" t="s">
        <v>39</v>
      </c>
      <c r="F525" s="200" t="s">
        <v>394</v>
      </c>
      <c r="G525" s="200" t="s">
        <v>434</v>
      </c>
    </row>
    <row r="526" spans="1:7" hidden="1">
      <c r="A526" s="199" t="s">
        <v>586</v>
      </c>
      <c r="B526" s="200">
        <v>15000</v>
      </c>
      <c r="C526" s="200">
        <v>0</v>
      </c>
      <c r="D526" s="201" t="s">
        <v>587</v>
      </c>
      <c r="E526" s="201" t="s">
        <v>39</v>
      </c>
      <c r="F526" s="200" t="s">
        <v>441</v>
      </c>
      <c r="G526" s="200" t="s">
        <v>434</v>
      </c>
    </row>
    <row r="527" spans="1:7" hidden="1">
      <c r="A527" s="199" t="s">
        <v>586</v>
      </c>
      <c r="B527" s="200">
        <v>-568564</v>
      </c>
      <c r="C527" s="200">
        <v>0</v>
      </c>
      <c r="D527" s="201" t="s">
        <v>440</v>
      </c>
      <c r="E527" s="201" t="s">
        <v>39</v>
      </c>
      <c r="F527" s="200" t="s">
        <v>394</v>
      </c>
      <c r="G527" s="200" t="s">
        <v>434</v>
      </c>
    </row>
    <row r="528" spans="1:7" hidden="1">
      <c r="A528" s="199" t="s">
        <v>586</v>
      </c>
      <c r="B528" s="200">
        <v>-73844</v>
      </c>
      <c r="C528" s="200">
        <v>0</v>
      </c>
      <c r="D528" s="201" t="s">
        <v>442</v>
      </c>
      <c r="E528" s="201" t="s">
        <v>39</v>
      </c>
      <c r="F528" s="200" t="s">
        <v>394</v>
      </c>
      <c r="G528" s="200" t="s">
        <v>434</v>
      </c>
    </row>
    <row r="529" spans="1:7" hidden="1">
      <c r="A529" s="199" t="s">
        <v>588</v>
      </c>
      <c r="B529" s="200">
        <v>180000</v>
      </c>
      <c r="C529" s="200">
        <v>0</v>
      </c>
      <c r="D529" s="201" t="s">
        <v>440</v>
      </c>
      <c r="E529" s="201" t="s">
        <v>39</v>
      </c>
      <c r="F529" s="200" t="s">
        <v>394</v>
      </c>
      <c r="G529" s="200" t="s">
        <v>434</v>
      </c>
    </row>
    <row r="530" spans="1:7" hidden="1">
      <c r="A530" s="199" t="s">
        <v>588</v>
      </c>
      <c r="B530" s="200">
        <v>-180000</v>
      </c>
      <c r="C530" s="200">
        <v>0</v>
      </c>
      <c r="D530" s="201" t="s">
        <v>440</v>
      </c>
      <c r="E530" s="201" t="s">
        <v>39</v>
      </c>
      <c r="F530" s="200" t="s">
        <v>402</v>
      </c>
      <c r="G530" s="200" t="s">
        <v>434</v>
      </c>
    </row>
    <row r="531" spans="1:7" hidden="1">
      <c r="A531" s="199" t="s">
        <v>589</v>
      </c>
      <c r="B531" s="200">
        <v>-371</v>
      </c>
      <c r="C531" s="200">
        <v>0</v>
      </c>
      <c r="D531" s="201" t="s">
        <v>442</v>
      </c>
      <c r="E531" s="201" t="s">
        <v>39</v>
      </c>
      <c r="F531" s="200" t="s">
        <v>394</v>
      </c>
      <c r="G531" s="200" t="s">
        <v>434</v>
      </c>
    </row>
    <row r="532" spans="1:7" hidden="1">
      <c r="A532" s="199" t="s">
        <v>589</v>
      </c>
      <c r="B532" s="200">
        <v>371</v>
      </c>
      <c r="C532" s="200">
        <v>0</v>
      </c>
      <c r="D532" s="201" t="s">
        <v>442</v>
      </c>
      <c r="E532" s="201" t="s">
        <v>39</v>
      </c>
      <c r="F532" s="200" t="s">
        <v>402</v>
      </c>
      <c r="G532" s="200" t="s">
        <v>434</v>
      </c>
    </row>
    <row r="533" spans="1:7" hidden="1">
      <c r="A533" s="199" t="s">
        <v>590</v>
      </c>
      <c r="B533" s="200">
        <v>-25000000</v>
      </c>
      <c r="C533" s="200">
        <v>0</v>
      </c>
      <c r="D533" s="201" t="s">
        <v>463</v>
      </c>
      <c r="E533" s="201" t="s">
        <v>477</v>
      </c>
      <c r="F533" s="200" t="s">
        <v>394</v>
      </c>
      <c r="G533" s="200" t="s">
        <v>434</v>
      </c>
    </row>
    <row r="534" spans="1:7" hidden="1">
      <c r="A534" s="199" t="s">
        <v>590</v>
      </c>
      <c r="B534" s="200">
        <v>25000000</v>
      </c>
      <c r="C534" s="200">
        <v>0</v>
      </c>
      <c r="D534" s="201" t="s">
        <v>463</v>
      </c>
      <c r="E534" s="201" t="s">
        <v>477</v>
      </c>
      <c r="F534" s="200" t="s">
        <v>591</v>
      </c>
      <c r="G534" s="200" t="s">
        <v>434</v>
      </c>
    </row>
    <row r="535" spans="1:7" hidden="1">
      <c r="A535" s="199" t="s">
        <v>592</v>
      </c>
      <c r="B535" s="200">
        <v>10000000</v>
      </c>
      <c r="C535" s="200">
        <v>0</v>
      </c>
      <c r="D535" s="201" t="s">
        <v>463</v>
      </c>
      <c r="E535" s="201" t="s">
        <v>477</v>
      </c>
      <c r="F535" s="200" t="s">
        <v>394</v>
      </c>
      <c r="G535" s="200" t="s">
        <v>434</v>
      </c>
    </row>
    <row r="536" spans="1:7" hidden="1">
      <c r="A536" s="199" t="s">
        <v>593</v>
      </c>
      <c r="B536" s="200">
        <v>-473</v>
      </c>
      <c r="C536" s="200">
        <v>0</v>
      </c>
      <c r="D536" s="201" t="s">
        <v>437</v>
      </c>
      <c r="E536" s="201" t="s">
        <v>594</v>
      </c>
      <c r="F536" s="200" t="s">
        <v>394</v>
      </c>
      <c r="G536" s="200" t="s">
        <v>434</v>
      </c>
    </row>
    <row r="537" spans="1:7" hidden="1">
      <c r="A537" s="199" t="s">
        <v>593</v>
      </c>
      <c r="B537" s="200">
        <v>473</v>
      </c>
      <c r="C537" s="200">
        <v>0</v>
      </c>
      <c r="D537" s="201" t="s">
        <v>437</v>
      </c>
      <c r="E537" s="201" t="s">
        <v>594</v>
      </c>
      <c r="F537" s="200" t="s">
        <v>409</v>
      </c>
      <c r="G537" s="200" t="s">
        <v>434</v>
      </c>
    </row>
    <row r="538" spans="1:7" hidden="1">
      <c r="A538" s="199" t="s">
        <v>595</v>
      </c>
      <c r="B538" s="200">
        <v>473</v>
      </c>
      <c r="C538" s="200">
        <v>0</v>
      </c>
      <c r="D538" s="201" t="s">
        <v>437</v>
      </c>
      <c r="E538" s="201" t="s">
        <v>594</v>
      </c>
      <c r="F538" s="200" t="s">
        <v>394</v>
      </c>
      <c r="G538" s="200" t="s">
        <v>434</v>
      </c>
    </row>
    <row r="539" spans="1:7" hidden="1">
      <c r="A539" s="199" t="s">
        <v>595</v>
      </c>
      <c r="B539" s="200">
        <v>-473</v>
      </c>
      <c r="C539" s="200">
        <v>0</v>
      </c>
      <c r="D539" s="201" t="s">
        <v>437</v>
      </c>
      <c r="E539" s="201" t="s">
        <v>594</v>
      </c>
      <c r="F539" s="200" t="s">
        <v>409</v>
      </c>
      <c r="G539" s="200" t="s">
        <v>434</v>
      </c>
    </row>
    <row r="540" spans="1:7" hidden="1">
      <c r="A540" s="199" t="s">
        <v>596</v>
      </c>
      <c r="B540" s="200">
        <v>2311</v>
      </c>
      <c r="C540" s="200">
        <v>0</v>
      </c>
      <c r="D540" s="201" t="s">
        <v>442</v>
      </c>
      <c r="E540" s="201" t="s">
        <v>597</v>
      </c>
      <c r="F540" s="200" t="s">
        <v>394</v>
      </c>
      <c r="G540" s="200" t="s">
        <v>434</v>
      </c>
    </row>
    <row r="541" spans="1:7" hidden="1">
      <c r="A541" s="199" t="s">
        <v>598</v>
      </c>
      <c r="B541" s="200">
        <v>-11840</v>
      </c>
      <c r="C541" s="200">
        <v>0</v>
      </c>
      <c r="D541" s="201" t="s">
        <v>440</v>
      </c>
      <c r="E541" s="201" t="s">
        <v>317</v>
      </c>
      <c r="F541" s="200" t="s">
        <v>394</v>
      </c>
      <c r="G541" s="200" t="s">
        <v>434</v>
      </c>
    </row>
    <row r="542" spans="1:7" hidden="1">
      <c r="A542" s="199" t="s">
        <v>598</v>
      </c>
      <c r="B542" s="200">
        <v>-7980</v>
      </c>
      <c r="C542" s="200">
        <v>0</v>
      </c>
      <c r="D542" s="201" t="s">
        <v>442</v>
      </c>
      <c r="E542" s="201" t="s">
        <v>317</v>
      </c>
      <c r="F542" s="200" t="s">
        <v>394</v>
      </c>
      <c r="G542" s="200" t="s">
        <v>434</v>
      </c>
    </row>
    <row r="543" spans="1:7">
      <c r="A543" s="199" t="s">
        <v>599</v>
      </c>
      <c r="B543" s="200">
        <v>370</v>
      </c>
      <c r="C543" s="200">
        <v>0</v>
      </c>
      <c r="D543" s="201" t="s">
        <v>282</v>
      </c>
      <c r="E543" s="201" t="s">
        <v>317</v>
      </c>
      <c r="F543" s="200" t="s">
        <v>394</v>
      </c>
      <c r="G543" s="200" t="s">
        <v>434</v>
      </c>
    </row>
    <row r="544" spans="1:7">
      <c r="A544" s="199" t="s">
        <v>599</v>
      </c>
      <c r="B544" s="200">
        <v>-3704</v>
      </c>
      <c r="C544" s="200">
        <v>0</v>
      </c>
      <c r="D544" s="201" t="s">
        <v>282</v>
      </c>
      <c r="E544" s="201" t="s">
        <v>317</v>
      </c>
      <c r="F544" s="200" t="s">
        <v>393</v>
      </c>
      <c r="G544" s="200" t="s">
        <v>434</v>
      </c>
    </row>
    <row r="545" spans="1:7">
      <c r="A545" s="199" t="s">
        <v>599</v>
      </c>
      <c r="B545" s="200">
        <v>3334</v>
      </c>
      <c r="C545" s="200">
        <v>0</v>
      </c>
      <c r="D545" s="201" t="s">
        <v>282</v>
      </c>
      <c r="E545" s="201" t="s">
        <v>317</v>
      </c>
      <c r="F545" s="200" t="s">
        <v>403</v>
      </c>
      <c r="G545" s="200" t="s">
        <v>434</v>
      </c>
    </row>
    <row r="546" spans="1:7">
      <c r="A546" s="199" t="s">
        <v>600</v>
      </c>
      <c r="B546" s="200">
        <v>464</v>
      </c>
      <c r="C546" s="200">
        <v>0</v>
      </c>
      <c r="D546" s="201" t="s">
        <v>282</v>
      </c>
      <c r="E546" s="201" t="s">
        <v>319</v>
      </c>
      <c r="F546" s="200" t="s">
        <v>408</v>
      </c>
      <c r="G546" s="200" t="s">
        <v>434</v>
      </c>
    </row>
    <row r="547" spans="1:7">
      <c r="A547" s="199" t="s">
        <v>600</v>
      </c>
      <c r="B547" s="200">
        <v>-464</v>
      </c>
      <c r="C547" s="200">
        <v>0</v>
      </c>
      <c r="D547" s="201" t="s">
        <v>282</v>
      </c>
      <c r="E547" s="201" t="s">
        <v>319</v>
      </c>
      <c r="F547" s="200" t="s">
        <v>393</v>
      </c>
      <c r="G547" s="200" t="s">
        <v>434</v>
      </c>
    </row>
    <row r="548" spans="1:7">
      <c r="A548" s="199" t="s">
        <v>601</v>
      </c>
      <c r="B548" s="200">
        <v>-463</v>
      </c>
      <c r="C548" s="200">
        <v>0</v>
      </c>
      <c r="D548" s="201" t="s">
        <v>282</v>
      </c>
      <c r="E548" s="201" t="s">
        <v>319</v>
      </c>
      <c r="F548" s="200" t="s">
        <v>408</v>
      </c>
      <c r="G548" s="200" t="s">
        <v>434</v>
      </c>
    </row>
    <row r="549" spans="1:7">
      <c r="A549" s="199" t="s">
        <v>601</v>
      </c>
      <c r="B549" s="200">
        <v>463</v>
      </c>
      <c r="C549" s="200">
        <v>0</v>
      </c>
      <c r="D549" s="201" t="s">
        <v>282</v>
      </c>
      <c r="E549" s="201" t="s">
        <v>319</v>
      </c>
      <c r="F549" s="200" t="s">
        <v>393</v>
      </c>
      <c r="G549" s="200" t="s">
        <v>434</v>
      </c>
    </row>
    <row r="550" spans="1:7">
      <c r="A550" s="199" t="s">
        <v>602</v>
      </c>
      <c r="B550" s="200">
        <v>-3751</v>
      </c>
      <c r="C550" s="200">
        <v>0</v>
      </c>
      <c r="D550" s="201" t="s">
        <v>282</v>
      </c>
      <c r="E550" s="201" t="s">
        <v>317</v>
      </c>
      <c r="F550" s="200" t="s">
        <v>394</v>
      </c>
      <c r="G550" s="200" t="s">
        <v>434</v>
      </c>
    </row>
    <row r="551" spans="1:7">
      <c r="A551" s="199" t="s">
        <v>602</v>
      </c>
      <c r="B551" s="200">
        <v>3751</v>
      </c>
      <c r="C551" s="200">
        <v>0</v>
      </c>
      <c r="D551" s="201" t="s">
        <v>282</v>
      </c>
      <c r="E551" s="201" t="s">
        <v>317</v>
      </c>
      <c r="F551" s="200" t="s">
        <v>393</v>
      </c>
      <c r="G551" s="200" t="s">
        <v>434</v>
      </c>
    </row>
    <row r="552" spans="1:7" hidden="1">
      <c r="A552" s="199" t="s">
        <v>135</v>
      </c>
      <c r="B552" s="200">
        <v>-6949</v>
      </c>
      <c r="C552" s="200">
        <v>0</v>
      </c>
      <c r="D552" s="201" t="s">
        <v>283</v>
      </c>
      <c r="E552" s="201" t="s">
        <v>320</v>
      </c>
      <c r="F552" s="200" t="s">
        <v>394</v>
      </c>
      <c r="G552" s="200" t="s">
        <v>434</v>
      </c>
    </row>
    <row r="553" spans="1:7" hidden="1">
      <c r="A553" s="199" t="s">
        <v>135</v>
      </c>
      <c r="B553" s="200">
        <v>6949</v>
      </c>
      <c r="C553" s="200">
        <v>0</v>
      </c>
      <c r="D553" s="201" t="s">
        <v>283</v>
      </c>
      <c r="E553" s="201" t="s">
        <v>320</v>
      </c>
      <c r="F553" s="200" t="s">
        <v>393</v>
      </c>
      <c r="G553" s="200" t="s">
        <v>434</v>
      </c>
    </row>
    <row r="554" spans="1:7">
      <c r="A554" s="199" t="s">
        <v>135</v>
      </c>
      <c r="B554" s="200">
        <v>-49681</v>
      </c>
      <c r="C554" s="200">
        <v>0</v>
      </c>
      <c r="D554" s="201" t="s">
        <v>282</v>
      </c>
      <c r="E554" s="201" t="s">
        <v>320</v>
      </c>
      <c r="F554" s="200" t="s">
        <v>394</v>
      </c>
      <c r="G554" s="200" t="s">
        <v>434</v>
      </c>
    </row>
    <row r="555" spans="1:7">
      <c r="A555" s="199" t="s">
        <v>135</v>
      </c>
      <c r="B555" s="200">
        <v>-2589</v>
      </c>
      <c r="C555" s="200">
        <v>0</v>
      </c>
      <c r="D555" s="201" t="s">
        <v>282</v>
      </c>
      <c r="E555" s="201" t="s">
        <v>320</v>
      </c>
      <c r="F555" s="200" t="s">
        <v>445</v>
      </c>
      <c r="G555" s="200" t="s">
        <v>434</v>
      </c>
    </row>
    <row r="556" spans="1:7">
      <c r="A556" s="199" t="s">
        <v>135</v>
      </c>
      <c r="B556" s="200">
        <v>48242</v>
      </c>
      <c r="C556" s="200">
        <v>0</v>
      </c>
      <c r="D556" s="201" t="s">
        <v>282</v>
      </c>
      <c r="E556" s="201" t="s">
        <v>320</v>
      </c>
      <c r="F556" s="200" t="s">
        <v>393</v>
      </c>
      <c r="G556" s="200" t="s">
        <v>434</v>
      </c>
    </row>
    <row r="557" spans="1:7">
      <c r="A557" s="199" t="s">
        <v>135</v>
      </c>
      <c r="B557" s="200">
        <v>6003</v>
      </c>
      <c r="C557" s="200">
        <v>0</v>
      </c>
      <c r="D557" s="201" t="s">
        <v>282</v>
      </c>
      <c r="E557" s="201" t="s">
        <v>320</v>
      </c>
      <c r="F557" s="200" t="s">
        <v>413</v>
      </c>
      <c r="G557" s="200" t="s">
        <v>434</v>
      </c>
    </row>
    <row r="558" spans="1:7">
      <c r="A558" s="199" t="s">
        <v>135</v>
      </c>
      <c r="B558" s="200">
        <v>-1975</v>
      </c>
      <c r="C558" s="200">
        <v>0</v>
      </c>
      <c r="D558" s="201" t="s">
        <v>282</v>
      </c>
      <c r="E558" s="201" t="s">
        <v>320</v>
      </c>
      <c r="F558" s="200" t="s">
        <v>403</v>
      </c>
      <c r="G558" s="200" t="s">
        <v>434</v>
      </c>
    </row>
    <row r="559" spans="1:7" hidden="1">
      <c r="A559" s="199" t="s">
        <v>603</v>
      </c>
      <c r="B559" s="200">
        <v>928</v>
      </c>
      <c r="C559" s="200">
        <v>0</v>
      </c>
      <c r="D559" s="201" t="s">
        <v>283</v>
      </c>
      <c r="E559" s="201" t="s">
        <v>324</v>
      </c>
      <c r="F559" s="200" t="s">
        <v>394</v>
      </c>
      <c r="G559" s="200" t="s">
        <v>434</v>
      </c>
    </row>
    <row r="560" spans="1:7">
      <c r="A560" s="199" t="s">
        <v>603</v>
      </c>
      <c r="B560" s="200">
        <v>-928</v>
      </c>
      <c r="C560" s="200">
        <v>0</v>
      </c>
      <c r="D560" s="201" t="s">
        <v>282</v>
      </c>
      <c r="E560" s="201" t="s">
        <v>324</v>
      </c>
      <c r="F560" s="200" t="s">
        <v>394</v>
      </c>
      <c r="G560" s="200" t="s">
        <v>434</v>
      </c>
    </row>
    <row r="561" spans="1:7">
      <c r="A561" s="199" t="s">
        <v>603</v>
      </c>
      <c r="B561" s="200">
        <v>1853</v>
      </c>
      <c r="C561" s="200">
        <v>0</v>
      </c>
      <c r="D561" s="201" t="s">
        <v>282</v>
      </c>
      <c r="E561" s="201" t="s">
        <v>324</v>
      </c>
      <c r="F561" s="200" t="s">
        <v>408</v>
      </c>
      <c r="G561" s="200" t="s">
        <v>434</v>
      </c>
    </row>
    <row r="562" spans="1:7" hidden="1">
      <c r="A562" s="199" t="s">
        <v>604</v>
      </c>
      <c r="B562" s="200">
        <v>-927</v>
      </c>
      <c r="C562" s="200">
        <v>0</v>
      </c>
      <c r="D562" s="201" t="s">
        <v>283</v>
      </c>
      <c r="E562" s="201" t="s">
        <v>324</v>
      </c>
      <c r="F562" s="200" t="s">
        <v>394</v>
      </c>
      <c r="G562" s="200" t="s">
        <v>434</v>
      </c>
    </row>
    <row r="563" spans="1:7">
      <c r="A563" s="199" t="s">
        <v>604</v>
      </c>
      <c r="B563" s="200">
        <v>-927</v>
      </c>
      <c r="C563" s="200">
        <v>0</v>
      </c>
      <c r="D563" s="201" t="s">
        <v>282</v>
      </c>
      <c r="E563" s="201" t="s">
        <v>324</v>
      </c>
      <c r="F563" s="200" t="s">
        <v>394</v>
      </c>
      <c r="G563" s="200" t="s">
        <v>434</v>
      </c>
    </row>
    <row r="564" spans="1:7">
      <c r="A564" s="199" t="s">
        <v>605</v>
      </c>
      <c r="B564" s="200">
        <v>-232</v>
      </c>
      <c r="C564" s="200">
        <v>0</v>
      </c>
      <c r="D564" s="201" t="s">
        <v>282</v>
      </c>
      <c r="E564" s="201" t="s">
        <v>324</v>
      </c>
      <c r="F564" s="200" t="s">
        <v>408</v>
      </c>
      <c r="G564" s="200" t="s">
        <v>434</v>
      </c>
    </row>
    <row r="565" spans="1:7">
      <c r="A565" s="199" t="s">
        <v>605</v>
      </c>
      <c r="B565" s="200">
        <v>232</v>
      </c>
      <c r="C565" s="200">
        <v>0</v>
      </c>
      <c r="D565" s="201" t="s">
        <v>282</v>
      </c>
      <c r="E565" s="201" t="s">
        <v>324</v>
      </c>
      <c r="F565" s="200" t="s">
        <v>393</v>
      </c>
      <c r="G565" s="200" t="s">
        <v>434</v>
      </c>
    </row>
    <row r="566" spans="1:7">
      <c r="A566" s="199" t="s">
        <v>606</v>
      </c>
      <c r="B566" s="200">
        <v>232</v>
      </c>
      <c r="C566" s="200">
        <v>0</v>
      </c>
      <c r="D566" s="201" t="s">
        <v>282</v>
      </c>
      <c r="E566" s="201" t="s">
        <v>324</v>
      </c>
      <c r="F566" s="200" t="s">
        <v>408</v>
      </c>
      <c r="G566" s="200" t="s">
        <v>434</v>
      </c>
    </row>
    <row r="567" spans="1:7">
      <c r="A567" s="199" t="s">
        <v>606</v>
      </c>
      <c r="B567" s="200">
        <v>-232</v>
      </c>
      <c r="C567" s="200">
        <v>0</v>
      </c>
      <c r="D567" s="201" t="s">
        <v>282</v>
      </c>
      <c r="E567" s="201" t="s">
        <v>324</v>
      </c>
      <c r="F567" s="200" t="s">
        <v>393</v>
      </c>
      <c r="G567" s="200" t="s">
        <v>434</v>
      </c>
    </row>
    <row r="568" spans="1:7">
      <c r="A568" s="199" t="s">
        <v>143</v>
      </c>
      <c r="B568" s="200">
        <v>6989</v>
      </c>
      <c r="C568" s="200">
        <v>0</v>
      </c>
      <c r="D568" s="201" t="s">
        <v>282</v>
      </c>
      <c r="E568" s="201" t="s">
        <v>320</v>
      </c>
      <c r="F568" s="200" t="s">
        <v>394</v>
      </c>
      <c r="G568" s="200" t="s">
        <v>434</v>
      </c>
    </row>
    <row r="569" spans="1:7">
      <c r="A569" s="199" t="s">
        <v>143</v>
      </c>
      <c r="B569" s="200">
        <v>-6989</v>
      </c>
      <c r="C569" s="200">
        <v>0</v>
      </c>
      <c r="D569" s="201" t="s">
        <v>282</v>
      </c>
      <c r="E569" s="201" t="s">
        <v>320</v>
      </c>
      <c r="F569" s="200" t="s">
        <v>413</v>
      </c>
      <c r="G569" s="200" t="s">
        <v>434</v>
      </c>
    </row>
    <row r="570" spans="1:7">
      <c r="A570" s="199" t="s">
        <v>607</v>
      </c>
      <c r="B570" s="200">
        <v>14046</v>
      </c>
      <c r="C570" s="200">
        <v>0</v>
      </c>
      <c r="D570" s="201" t="s">
        <v>282</v>
      </c>
      <c r="E570" s="201" t="s">
        <v>317</v>
      </c>
      <c r="F570" s="200" t="s">
        <v>445</v>
      </c>
      <c r="G570" s="200" t="s">
        <v>434</v>
      </c>
    </row>
    <row r="571" spans="1:7">
      <c r="A571" s="199" t="s">
        <v>607</v>
      </c>
      <c r="B571" s="200">
        <v>-14046</v>
      </c>
      <c r="C571" s="200">
        <v>0</v>
      </c>
      <c r="D571" s="201" t="s">
        <v>282</v>
      </c>
      <c r="E571" s="201" t="s">
        <v>317</v>
      </c>
      <c r="F571" s="200" t="s">
        <v>393</v>
      </c>
      <c r="G571" s="200" t="s">
        <v>434</v>
      </c>
    </row>
    <row r="572" spans="1:7" hidden="1">
      <c r="A572" s="199" t="s">
        <v>608</v>
      </c>
      <c r="B572" s="200">
        <v>-216444</v>
      </c>
      <c r="C572" s="200">
        <v>0</v>
      </c>
      <c r="D572" s="201" t="s">
        <v>440</v>
      </c>
      <c r="E572" s="201" t="s">
        <v>609</v>
      </c>
      <c r="F572" s="200" t="s">
        <v>394</v>
      </c>
      <c r="G572" s="200" t="s">
        <v>434</v>
      </c>
    </row>
    <row r="573" spans="1:7" hidden="1">
      <c r="A573" s="199" t="s">
        <v>610</v>
      </c>
      <c r="B573" s="200">
        <v>191729</v>
      </c>
      <c r="C573" s="200">
        <v>0</v>
      </c>
      <c r="D573" s="201" t="s">
        <v>440</v>
      </c>
      <c r="E573" s="201" t="s">
        <v>39</v>
      </c>
      <c r="F573" s="200" t="s">
        <v>394</v>
      </c>
      <c r="G573" s="200" t="s">
        <v>434</v>
      </c>
    </row>
    <row r="574" spans="1:7" hidden="1">
      <c r="A574" s="199" t="s">
        <v>610</v>
      </c>
      <c r="B574" s="200">
        <v>-26430</v>
      </c>
      <c r="C574" s="200">
        <v>0</v>
      </c>
      <c r="D574" s="201" t="s">
        <v>440</v>
      </c>
      <c r="E574" s="201" t="s">
        <v>39</v>
      </c>
      <c r="F574" s="200" t="s">
        <v>407</v>
      </c>
      <c r="G574" s="200" t="s">
        <v>434</v>
      </c>
    </row>
    <row r="575" spans="1:7" hidden="1">
      <c r="A575" s="199" t="s">
        <v>610</v>
      </c>
      <c r="B575" s="200">
        <v>-165299</v>
      </c>
      <c r="C575" s="200">
        <v>0</v>
      </c>
      <c r="D575" s="201" t="s">
        <v>440</v>
      </c>
      <c r="E575" s="201" t="s">
        <v>39</v>
      </c>
      <c r="F575" s="200" t="s">
        <v>402</v>
      </c>
      <c r="G575" s="200" t="s">
        <v>434</v>
      </c>
    </row>
    <row r="576" spans="1:7" hidden="1">
      <c r="A576" s="199" t="s">
        <v>3</v>
      </c>
      <c r="B576" s="200">
        <v>-23445</v>
      </c>
      <c r="C576" s="200">
        <v>0</v>
      </c>
      <c r="D576" s="201" t="s">
        <v>440</v>
      </c>
      <c r="E576" s="201" t="s">
        <v>320</v>
      </c>
      <c r="F576" s="200" t="s">
        <v>394</v>
      </c>
      <c r="G576" s="200" t="s">
        <v>434</v>
      </c>
    </row>
    <row r="577" spans="1:7" hidden="1">
      <c r="A577" s="199" t="s">
        <v>3</v>
      </c>
      <c r="B577" s="200">
        <v>23445</v>
      </c>
      <c r="C577" s="200">
        <v>0</v>
      </c>
      <c r="D577" s="201" t="s">
        <v>440</v>
      </c>
      <c r="E577" s="201" t="s">
        <v>320</v>
      </c>
      <c r="F577" s="200" t="s">
        <v>441</v>
      </c>
      <c r="G577" s="200" t="s">
        <v>434</v>
      </c>
    </row>
    <row r="578" spans="1:7" hidden="1">
      <c r="A578" s="199" t="s">
        <v>3</v>
      </c>
      <c r="B578" s="200">
        <v>-4995</v>
      </c>
      <c r="C578" s="200">
        <v>0</v>
      </c>
      <c r="D578" s="201" t="s">
        <v>437</v>
      </c>
      <c r="E578" s="201" t="s">
        <v>320</v>
      </c>
      <c r="F578" s="200" t="s">
        <v>394</v>
      </c>
      <c r="G578" s="200" t="s">
        <v>434</v>
      </c>
    </row>
    <row r="579" spans="1:7" hidden="1">
      <c r="A579" s="199" t="s">
        <v>3</v>
      </c>
      <c r="B579" s="200">
        <v>4995</v>
      </c>
      <c r="C579" s="200">
        <v>0</v>
      </c>
      <c r="D579" s="201" t="s">
        <v>437</v>
      </c>
      <c r="E579" s="201" t="s">
        <v>320</v>
      </c>
      <c r="F579" s="200" t="s">
        <v>441</v>
      </c>
      <c r="G579" s="200" t="s">
        <v>434</v>
      </c>
    </row>
    <row r="580" spans="1:7">
      <c r="A580" s="199" t="s">
        <v>3</v>
      </c>
      <c r="B580" s="200">
        <v>-40116</v>
      </c>
      <c r="C580" s="200">
        <v>0</v>
      </c>
      <c r="D580" s="201" t="s">
        <v>282</v>
      </c>
      <c r="E580" s="201" t="s">
        <v>320</v>
      </c>
      <c r="F580" s="200" t="s">
        <v>394</v>
      </c>
      <c r="G580" s="200" t="s">
        <v>434</v>
      </c>
    </row>
    <row r="581" spans="1:7">
      <c r="A581" s="199" t="s">
        <v>3</v>
      </c>
      <c r="B581" s="200">
        <v>8253</v>
      </c>
      <c r="C581" s="200">
        <v>0</v>
      </c>
      <c r="D581" s="201" t="s">
        <v>282</v>
      </c>
      <c r="E581" s="201" t="s">
        <v>320</v>
      </c>
      <c r="F581" s="200" t="s">
        <v>445</v>
      </c>
      <c r="G581" s="200" t="s">
        <v>434</v>
      </c>
    </row>
    <row r="582" spans="1:7">
      <c r="A582" s="199" t="s">
        <v>3</v>
      </c>
      <c r="B582" s="200">
        <v>65766</v>
      </c>
      <c r="C582" s="200">
        <v>0</v>
      </c>
      <c r="D582" s="201" t="s">
        <v>282</v>
      </c>
      <c r="E582" s="201" t="s">
        <v>320</v>
      </c>
      <c r="F582" s="200" t="s">
        <v>393</v>
      </c>
      <c r="G582" s="200" t="s">
        <v>434</v>
      </c>
    </row>
    <row r="583" spans="1:7">
      <c r="A583" s="199" t="s">
        <v>3</v>
      </c>
      <c r="B583" s="200">
        <v>-5463</v>
      </c>
      <c r="C583" s="200">
        <v>0</v>
      </c>
      <c r="D583" s="201" t="s">
        <v>282</v>
      </c>
      <c r="E583" s="201" t="s">
        <v>320</v>
      </c>
      <c r="F583" s="200" t="s">
        <v>403</v>
      </c>
      <c r="G583" s="200" t="s">
        <v>434</v>
      </c>
    </row>
    <row r="584" spans="1:7">
      <c r="A584" s="199" t="s">
        <v>3</v>
      </c>
      <c r="B584" s="200">
        <v>-28440</v>
      </c>
      <c r="C584" s="200">
        <v>0</v>
      </c>
      <c r="D584" s="201" t="s">
        <v>282</v>
      </c>
      <c r="E584" s="201" t="s">
        <v>320</v>
      </c>
      <c r="F584" s="200" t="s">
        <v>441</v>
      </c>
      <c r="G584" s="200" t="s">
        <v>434</v>
      </c>
    </row>
    <row r="585" spans="1:7" hidden="1">
      <c r="A585" s="199" t="s">
        <v>611</v>
      </c>
      <c r="B585" s="200">
        <v>-7</v>
      </c>
      <c r="C585" s="200">
        <v>0</v>
      </c>
      <c r="D585" s="201" t="s">
        <v>442</v>
      </c>
      <c r="E585" s="201" t="s">
        <v>612</v>
      </c>
      <c r="F585" s="200" t="s">
        <v>394</v>
      </c>
      <c r="G585" s="200" t="s">
        <v>434</v>
      </c>
    </row>
    <row r="586" spans="1:7" hidden="1">
      <c r="A586" s="199" t="s">
        <v>613</v>
      </c>
      <c r="B586" s="200">
        <v>-19</v>
      </c>
      <c r="C586" s="200">
        <v>0</v>
      </c>
      <c r="D586" s="201" t="s">
        <v>437</v>
      </c>
      <c r="E586" s="201" t="s">
        <v>614</v>
      </c>
      <c r="F586" s="200" t="s">
        <v>394</v>
      </c>
      <c r="G586" s="200" t="s">
        <v>434</v>
      </c>
    </row>
    <row r="587" spans="1:7" hidden="1">
      <c r="A587" s="199" t="s">
        <v>613</v>
      </c>
      <c r="B587" s="200">
        <v>19</v>
      </c>
      <c r="C587" s="200">
        <v>0</v>
      </c>
      <c r="D587" s="201" t="s">
        <v>437</v>
      </c>
      <c r="E587" s="201" t="s">
        <v>614</v>
      </c>
      <c r="F587" s="200" t="s">
        <v>409</v>
      </c>
      <c r="G587" s="200" t="s">
        <v>434</v>
      </c>
    </row>
    <row r="588" spans="1:7" hidden="1">
      <c r="A588" s="199" t="s">
        <v>615</v>
      </c>
      <c r="B588" s="200">
        <v>332</v>
      </c>
      <c r="C588" s="200">
        <v>0</v>
      </c>
      <c r="D588" s="201" t="s">
        <v>463</v>
      </c>
      <c r="E588" s="201" t="s">
        <v>616</v>
      </c>
      <c r="F588" s="200" t="s">
        <v>617</v>
      </c>
      <c r="G588" s="200" t="s">
        <v>434</v>
      </c>
    </row>
    <row r="589" spans="1:7" hidden="1">
      <c r="A589" s="199" t="s">
        <v>618</v>
      </c>
      <c r="B589" s="200">
        <v>1700</v>
      </c>
      <c r="C589" s="200">
        <v>0</v>
      </c>
      <c r="D589" s="201" t="s">
        <v>463</v>
      </c>
      <c r="E589" s="201" t="s">
        <v>619</v>
      </c>
      <c r="F589" s="200" t="s">
        <v>394</v>
      </c>
      <c r="G589" s="200" t="s">
        <v>434</v>
      </c>
    </row>
    <row r="590" spans="1:7" hidden="1">
      <c r="A590" s="199" t="s">
        <v>620</v>
      </c>
      <c r="B590" s="200">
        <v>-413</v>
      </c>
      <c r="C590" s="200">
        <v>0</v>
      </c>
      <c r="D590" s="201" t="s">
        <v>440</v>
      </c>
      <c r="E590" s="201" t="s">
        <v>616</v>
      </c>
      <c r="F590" s="200" t="s">
        <v>394</v>
      </c>
      <c r="G590" s="200" t="s">
        <v>434</v>
      </c>
    </row>
    <row r="591" spans="1:7" hidden="1">
      <c r="A591" s="199" t="s">
        <v>620</v>
      </c>
      <c r="B591" s="200">
        <v>413</v>
      </c>
      <c r="C591" s="200">
        <v>0</v>
      </c>
      <c r="D591" s="201" t="s">
        <v>440</v>
      </c>
      <c r="E591" s="201" t="s">
        <v>616</v>
      </c>
      <c r="F591" s="200" t="s">
        <v>617</v>
      </c>
      <c r="G591" s="200" t="s">
        <v>434</v>
      </c>
    </row>
    <row r="592" spans="1:7" hidden="1">
      <c r="A592" s="199" t="s">
        <v>621</v>
      </c>
      <c r="B592" s="200">
        <v>6526058.9964455003</v>
      </c>
      <c r="C592" s="200">
        <v>0</v>
      </c>
      <c r="D592" s="201" t="s">
        <v>440</v>
      </c>
      <c r="E592" s="201" t="s">
        <v>622</v>
      </c>
      <c r="F592" s="200" t="s">
        <v>394</v>
      </c>
      <c r="G592" s="200" t="s">
        <v>434</v>
      </c>
    </row>
    <row r="593" spans="1:7" hidden="1">
      <c r="A593" s="199" t="s">
        <v>621</v>
      </c>
      <c r="B593" s="200">
        <v>-153499.73406459999</v>
      </c>
      <c r="C593" s="200">
        <v>0</v>
      </c>
      <c r="D593" s="201" t="s">
        <v>440</v>
      </c>
      <c r="E593" s="201" t="s">
        <v>622</v>
      </c>
      <c r="F593" s="200" t="s">
        <v>441</v>
      </c>
      <c r="G593" s="200" t="s">
        <v>434</v>
      </c>
    </row>
    <row r="594" spans="1:7" hidden="1">
      <c r="A594" s="199" t="s">
        <v>621</v>
      </c>
      <c r="B594" s="200">
        <v>179099.99619703999</v>
      </c>
      <c r="C594" s="200">
        <v>0</v>
      </c>
      <c r="D594" s="201" t="s">
        <v>442</v>
      </c>
      <c r="E594" s="201" t="s">
        <v>622</v>
      </c>
      <c r="F594" s="200" t="s">
        <v>394</v>
      </c>
      <c r="G594" s="200" t="s">
        <v>434</v>
      </c>
    </row>
    <row r="595" spans="1:7" hidden="1">
      <c r="A595" s="199" t="s">
        <v>621</v>
      </c>
      <c r="B595" s="200">
        <v>153499.73406459999</v>
      </c>
      <c r="C595" s="200">
        <v>0</v>
      </c>
      <c r="D595" s="201" t="s">
        <v>442</v>
      </c>
      <c r="E595" s="201" t="s">
        <v>622</v>
      </c>
      <c r="F595" s="200" t="s">
        <v>441</v>
      </c>
      <c r="G595" s="200" t="s">
        <v>434</v>
      </c>
    </row>
    <row r="596" spans="1:7" hidden="1">
      <c r="A596" s="199" t="s">
        <v>392</v>
      </c>
      <c r="B596" s="200">
        <v>2542</v>
      </c>
      <c r="C596" s="200">
        <v>0</v>
      </c>
      <c r="D596" s="201" t="s">
        <v>283</v>
      </c>
      <c r="E596" s="201" t="s">
        <v>517</v>
      </c>
      <c r="F596" s="200" t="s">
        <v>394</v>
      </c>
      <c r="G596" s="200" t="s">
        <v>434</v>
      </c>
    </row>
    <row r="597" spans="1:7">
      <c r="A597" s="199" t="s">
        <v>392</v>
      </c>
      <c r="B597" s="200">
        <v>1875</v>
      </c>
      <c r="C597" s="200">
        <v>0</v>
      </c>
      <c r="D597" s="201" t="s">
        <v>282</v>
      </c>
      <c r="E597" s="201" t="s">
        <v>517</v>
      </c>
      <c r="F597" s="200" t="s">
        <v>394</v>
      </c>
      <c r="G597" s="200" t="s">
        <v>434</v>
      </c>
    </row>
    <row r="598" spans="1:7">
      <c r="A598" s="199" t="s">
        <v>392</v>
      </c>
      <c r="B598" s="200">
        <v>666</v>
      </c>
      <c r="C598" s="200">
        <v>0</v>
      </c>
      <c r="D598" s="201" t="s">
        <v>282</v>
      </c>
      <c r="E598" s="201" t="s">
        <v>517</v>
      </c>
      <c r="F598" s="200" t="s">
        <v>393</v>
      </c>
      <c r="G598" s="200" t="s">
        <v>434</v>
      </c>
    </row>
    <row r="599" spans="1:7" hidden="1">
      <c r="A599" s="199" t="s">
        <v>623</v>
      </c>
      <c r="B599" s="200">
        <v>22665000</v>
      </c>
      <c r="C599" s="200">
        <v>0</v>
      </c>
      <c r="D599" s="201" t="s">
        <v>463</v>
      </c>
      <c r="E599" s="201" t="s">
        <v>464</v>
      </c>
      <c r="F599" s="200" t="s">
        <v>394</v>
      </c>
      <c r="G599" s="200" t="s">
        <v>434</v>
      </c>
    </row>
    <row r="600" spans="1:7" hidden="1">
      <c r="A600" s="199" t="s">
        <v>623</v>
      </c>
      <c r="B600" s="200">
        <v>-22665000</v>
      </c>
      <c r="C600" s="200">
        <v>0</v>
      </c>
      <c r="D600" s="201" t="s">
        <v>463</v>
      </c>
      <c r="E600" s="201" t="s">
        <v>464</v>
      </c>
      <c r="F600" s="200" t="s">
        <v>468</v>
      </c>
      <c r="G600" s="200" t="s">
        <v>434</v>
      </c>
    </row>
    <row r="601" spans="1:7">
      <c r="A601" s="199" t="s">
        <v>624</v>
      </c>
      <c r="B601" s="200">
        <v>-5660</v>
      </c>
      <c r="C601" s="200">
        <v>0</v>
      </c>
      <c r="D601" s="201" t="s">
        <v>282</v>
      </c>
      <c r="E601" s="201" t="s">
        <v>317</v>
      </c>
      <c r="F601" s="200" t="s">
        <v>394</v>
      </c>
      <c r="G601" s="200" t="s">
        <v>434</v>
      </c>
    </row>
    <row r="602" spans="1:7">
      <c r="A602" s="199" t="s">
        <v>624</v>
      </c>
      <c r="B602" s="200">
        <v>11790</v>
      </c>
      <c r="C602" s="200">
        <v>0</v>
      </c>
      <c r="D602" s="201" t="s">
        <v>282</v>
      </c>
      <c r="E602" s="201" t="s">
        <v>317</v>
      </c>
      <c r="F602" s="200" t="s">
        <v>445</v>
      </c>
      <c r="G602" s="200" t="s">
        <v>434</v>
      </c>
    </row>
    <row r="603" spans="1:7">
      <c r="A603" s="199" t="s">
        <v>624</v>
      </c>
      <c r="B603" s="200">
        <v>-6130</v>
      </c>
      <c r="C603" s="200">
        <v>0</v>
      </c>
      <c r="D603" s="201" t="s">
        <v>282</v>
      </c>
      <c r="E603" s="201" t="s">
        <v>317</v>
      </c>
      <c r="F603" s="200" t="s">
        <v>393</v>
      </c>
      <c r="G603" s="200" t="s">
        <v>434</v>
      </c>
    </row>
    <row r="604" spans="1:7">
      <c r="A604" s="199" t="s">
        <v>136</v>
      </c>
      <c r="B604" s="200">
        <v>-23041</v>
      </c>
      <c r="C604" s="200">
        <v>0</v>
      </c>
      <c r="D604" s="201" t="s">
        <v>282</v>
      </c>
      <c r="E604" s="201" t="s">
        <v>320</v>
      </c>
      <c r="F604" s="200" t="s">
        <v>394</v>
      </c>
      <c r="G604" s="200" t="s">
        <v>434</v>
      </c>
    </row>
    <row r="605" spans="1:7">
      <c r="A605" s="199" t="s">
        <v>136</v>
      </c>
      <c r="B605" s="200">
        <v>16550</v>
      </c>
      <c r="C605" s="200">
        <v>0</v>
      </c>
      <c r="D605" s="201" t="s">
        <v>282</v>
      </c>
      <c r="E605" s="201" t="s">
        <v>320</v>
      </c>
      <c r="F605" s="200" t="s">
        <v>393</v>
      </c>
      <c r="G605" s="200" t="s">
        <v>434</v>
      </c>
    </row>
    <row r="606" spans="1:7">
      <c r="A606" s="199" t="s">
        <v>136</v>
      </c>
      <c r="B606" s="200">
        <v>6491</v>
      </c>
      <c r="C606" s="200">
        <v>0</v>
      </c>
      <c r="D606" s="201" t="s">
        <v>282</v>
      </c>
      <c r="E606" s="201" t="s">
        <v>320</v>
      </c>
      <c r="F606" s="200" t="s">
        <v>403</v>
      </c>
      <c r="G606" s="200" t="s">
        <v>434</v>
      </c>
    </row>
    <row r="607" spans="1:7" hidden="1">
      <c r="A607" s="199" t="s">
        <v>625</v>
      </c>
      <c r="B607" s="200">
        <v>695</v>
      </c>
      <c r="C607" s="200">
        <v>0</v>
      </c>
      <c r="D607" s="201" t="s">
        <v>283</v>
      </c>
      <c r="E607" s="201" t="s">
        <v>324</v>
      </c>
      <c r="F607" s="200" t="s">
        <v>394</v>
      </c>
      <c r="G607" s="200" t="s">
        <v>434</v>
      </c>
    </row>
    <row r="608" spans="1:7">
      <c r="A608" s="199" t="s">
        <v>625</v>
      </c>
      <c r="B608" s="200">
        <v>-695</v>
      </c>
      <c r="C608" s="200">
        <v>0</v>
      </c>
      <c r="D608" s="201" t="s">
        <v>282</v>
      </c>
      <c r="E608" s="201" t="s">
        <v>324</v>
      </c>
      <c r="F608" s="200" t="s">
        <v>394</v>
      </c>
      <c r="G608" s="200" t="s">
        <v>434</v>
      </c>
    </row>
    <row r="609" spans="1:7">
      <c r="A609" s="199" t="s">
        <v>625</v>
      </c>
      <c r="B609" s="200">
        <v>1390</v>
      </c>
      <c r="C609" s="200">
        <v>0</v>
      </c>
      <c r="D609" s="201" t="s">
        <v>282</v>
      </c>
      <c r="E609" s="201" t="s">
        <v>324</v>
      </c>
      <c r="F609" s="200" t="s">
        <v>408</v>
      </c>
      <c r="G609" s="200" t="s">
        <v>434</v>
      </c>
    </row>
    <row r="610" spans="1:7" hidden="1">
      <c r="A610" s="199" t="s">
        <v>626</v>
      </c>
      <c r="B610" s="200">
        <v>-395</v>
      </c>
      <c r="C610" s="200">
        <v>0</v>
      </c>
      <c r="D610" s="201" t="s">
        <v>283</v>
      </c>
      <c r="E610" s="201" t="s">
        <v>324</v>
      </c>
      <c r="F610" s="200" t="s">
        <v>394</v>
      </c>
      <c r="G610" s="200" t="s">
        <v>434</v>
      </c>
    </row>
    <row r="611" spans="1:7">
      <c r="A611" s="199" t="s">
        <v>626</v>
      </c>
      <c r="B611" s="200">
        <v>395</v>
      </c>
      <c r="C611" s="200">
        <v>0</v>
      </c>
      <c r="D611" s="201" t="s">
        <v>282</v>
      </c>
      <c r="E611" s="201" t="s">
        <v>324</v>
      </c>
      <c r="F611" s="200" t="s">
        <v>394</v>
      </c>
      <c r="G611" s="200" t="s">
        <v>434</v>
      </c>
    </row>
    <row r="612" spans="1:7">
      <c r="A612" s="199" t="s">
        <v>626</v>
      </c>
      <c r="B612" s="200">
        <v>-790</v>
      </c>
      <c r="C612" s="200">
        <v>0</v>
      </c>
      <c r="D612" s="201" t="s">
        <v>282</v>
      </c>
      <c r="E612" s="201" t="s">
        <v>324</v>
      </c>
      <c r="F612" s="200" t="s">
        <v>408</v>
      </c>
      <c r="G612" s="200" t="s">
        <v>434</v>
      </c>
    </row>
    <row r="613" spans="1:7">
      <c r="A613" s="199" t="s">
        <v>627</v>
      </c>
      <c r="B613" s="200">
        <v>-9110</v>
      </c>
      <c r="C613" s="200">
        <v>0</v>
      </c>
      <c r="D613" s="201" t="s">
        <v>282</v>
      </c>
      <c r="E613" s="201" t="s">
        <v>317</v>
      </c>
      <c r="F613" s="200" t="s">
        <v>394</v>
      </c>
      <c r="G613" s="200" t="s">
        <v>434</v>
      </c>
    </row>
    <row r="614" spans="1:7">
      <c r="A614" s="199" t="s">
        <v>627</v>
      </c>
      <c r="B614" s="200">
        <v>9110</v>
      </c>
      <c r="C614" s="200">
        <v>0</v>
      </c>
      <c r="D614" s="201" t="s">
        <v>282</v>
      </c>
      <c r="E614" s="201" t="s">
        <v>317</v>
      </c>
      <c r="F614" s="200" t="s">
        <v>393</v>
      </c>
      <c r="G614" s="200" t="s">
        <v>434</v>
      </c>
    </row>
    <row r="615" spans="1:7" hidden="1">
      <c r="A615" s="199" t="s">
        <v>628</v>
      </c>
      <c r="B615" s="200">
        <v>1945</v>
      </c>
      <c r="C615" s="200">
        <v>0</v>
      </c>
      <c r="D615" s="201" t="s">
        <v>283</v>
      </c>
      <c r="E615" s="201" t="s">
        <v>317</v>
      </c>
      <c r="F615" s="200" t="s">
        <v>394</v>
      </c>
      <c r="G615" s="200" t="s">
        <v>434</v>
      </c>
    </row>
    <row r="616" spans="1:7" hidden="1">
      <c r="A616" s="199" t="s">
        <v>628</v>
      </c>
      <c r="B616" s="200">
        <v>-1945</v>
      </c>
      <c r="C616" s="200">
        <v>0</v>
      </c>
      <c r="D616" s="201" t="s">
        <v>283</v>
      </c>
      <c r="E616" s="201" t="s">
        <v>317</v>
      </c>
      <c r="F616" s="200" t="s">
        <v>441</v>
      </c>
      <c r="G616" s="200" t="s">
        <v>434</v>
      </c>
    </row>
    <row r="617" spans="1:7">
      <c r="A617" s="199" t="s">
        <v>628</v>
      </c>
      <c r="B617" s="200">
        <v>-1945</v>
      </c>
      <c r="C617" s="200">
        <v>0</v>
      </c>
      <c r="D617" s="201" t="s">
        <v>282</v>
      </c>
      <c r="E617" s="201" t="s">
        <v>317</v>
      </c>
      <c r="F617" s="200" t="s">
        <v>394</v>
      </c>
      <c r="G617" s="200" t="s">
        <v>434</v>
      </c>
    </row>
    <row r="618" spans="1:7">
      <c r="A618" s="199" t="s">
        <v>628</v>
      </c>
      <c r="B618" s="200">
        <v>1945</v>
      </c>
      <c r="C618" s="200">
        <v>0</v>
      </c>
      <c r="D618" s="201" t="s">
        <v>282</v>
      </c>
      <c r="E618" s="201" t="s">
        <v>317</v>
      </c>
      <c r="F618" s="200" t="s">
        <v>441</v>
      </c>
      <c r="G618" s="200" t="s">
        <v>434</v>
      </c>
    </row>
    <row r="619" spans="1:7" hidden="1">
      <c r="A619" s="199" t="s">
        <v>629</v>
      </c>
      <c r="B619" s="200">
        <v>321</v>
      </c>
      <c r="C619" s="200">
        <v>0</v>
      </c>
      <c r="D619" s="201" t="s">
        <v>283</v>
      </c>
      <c r="E619" s="201" t="s">
        <v>630</v>
      </c>
      <c r="F619" s="200" t="s">
        <v>396</v>
      </c>
      <c r="G619" s="200" t="s">
        <v>434</v>
      </c>
    </row>
    <row r="620" spans="1:7" hidden="1">
      <c r="A620" s="199" t="s">
        <v>629</v>
      </c>
      <c r="B620" s="200">
        <v>2393</v>
      </c>
      <c r="C620" s="200">
        <v>0</v>
      </c>
      <c r="D620" s="201" t="s">
        <v>437</v>
      </c>
      <c r="E620" s="201" t="s">
        <v>630</v>
      </c>
      <c r="F620" s="200" t="s">
        <v>396</v>
      </c>
      <c r="G620" s="200" t="s">
        <v>434</v>
      </c>
    </row>
    <row r="621" spans="1:7">
      <c r="A621" s="199" t="s">
        <v>629</v>
      </c>
      <c r="B621" s="200">
        <v>321</v>
      </c>
      <c r="C621" s="200">
        <v>0</v>
      </c>
      <c r="D621" s="201" t="s">
        <v>282</v>
      </c>
      <c r="E621" s="201" t="s">
        <v>630</v>
      </c>
      <c r="F621" s="200" t="s">
        <v>396</v>
      </c>
      <c r="G621" s="200" t="s">
        <v>434</v>
      </c>
    </row>
    <row r="622" spans="1:7" hidden="1">
      <c r="A622" s="199" t="s">
        <v>0</v>
      </c>
      <c r="B622" s="200">
        <v>54400</v>
      </c>
      <c r="C622" s="200">
        <v>0</v>
      </c>
      <c r="D622" s="201" t="s">
        <v>440</v>
      </c>
      <c r="E622" s="201" t="s">
        <v>320</v>
      </c>
      <c r="F622" s="200" t="s">
        <v>394</v>
      </c>
      <c r="G622" s="200" t="s">
        <v>434</v>
      </c>
    </row>
    <row r="623" spans="1:7" hidden="1">
      <c r="A623" s="199" t="s">
        <v>0</v>
      </c>
      <c r="B623" s="200">
        <v>-54400</v>
      </c>
      <c r="C623" s="200">
        <v>0</v>
      </c>
      <c r="D623" s="201" t="s">
        <v>440</v>
      </c>
      <c r="E623" s="201" t="s">
        <v>320</v>
      </c>
      <c r="F623" s="200" t="s">
        <v>441</v>
      </c>
      <c r="G623" s="200" t="s">
        <v>434</v>
      </c>
    </row>
    <row r="624" spans="1:7" hidden="1">
      <c r="A624" s="199" t="s">
        <v>0</v>
      </c>
      <c r="B624" s="200">
        <v>3939</v>
      </c>
      <c r="C624" s="200">
        <v>0</v>
      </c>
      <c r="D624" s="201" t="s">
        <v>283</v>
      </c>
      <c r="E624" s="201" t="s">
        <v>320</v>
      </c>
      <c r="F624" s="200" t="s">
        <v>394</v>
      </c>
      <c r="G624" s="200" t="s">
        <v>434</v>
      </c>
    </row>
    <row r="625" spans="1:7" hidden="1">
      <c r="A625" s="199" t="s">
        <v>0</v>
      </c>
      <c r="B625" s="200">
        <v>-42560</v>
      </c>
      <c r="C625" s="200">
        <v>0</v>
      </c>
      <c r="D625" s="201" t="s">
        <v>437</v>
      </c>
      <c r="E625" s="201" t="s">
        <v>320</v>
      </c>
      <c r="F625" s="200" t="s">
        <v>394</v>
      </c>
      <c r="G625" s="200" t="s">
        <v>434</v>
      </c>
    </row>
    <row r="626" spans="1:7" hidden="1">
      <c r="A626" s="199" t="s">
        <v>0</v>
      </c>
      <c r="B626" s="200">
        <v>54400</v>
      </c>
      <c r="C626" s="200">
        <v>0</v>
      </c>
      <c r="D626" s="201" t="s">
        <v>437</v>
      </c>
      <c r="E626" s="201" t="s">
        <v>320</v>
      </c>
      <c r="F626" s="200" t="s">
        <v>441</v>
      </c>
      <c r="G626" s="200" t="s">
        <v>434</v>
      </c>
    </row>
    <row r="627" spans="1:7" hidden="1">
      <c r="A627" s="199" t="s">
        <v>0</v>
      </c>
      <c r="B627" s="200">
        <v>-11840</v>
      </c>
      <c r="C627" s="200">
        <v>0</v>
      </c>
      <c r="D627" s="201" t="s">
        <v>437</v>
      </c>
      <c r="E627" s="201" t="s">
        <v>320</v>
      </c>
      <c r="F627" s="200" t="s">
        <v>406</v>
      </c>
      <c r="G627" s="200" t="s">
        <v>434</v>
      </c>
    </row>
    <row r="628" spans="1:7">
      <c r="A628" s="199" t="s">
        <v>0</v>
      </c>
      <c r="B628" s="200">
        <v>4232</v>
      </c>
      <c r="C628" s="200">
        <v>0</v>
      </c>
      <c r="D628" s="201" t="s">
        <v>282</v>
      </c>
      <c r="E628" s="201" t="s">
        <v>320</v>
      </c>
      <c r="F628" s="200" t="s">
        <v>394</v>
      </c>
      <c r="G628" s="200" t="s">
        <v>434</v>
      </c>
    </row>
    <row r="629" spans="1:7">
      <c r="A629" s="199" t="s">
        <v>0</v>
      </c>
      <c r="B629" s="200">
        <v>2336</v>
      </c>
      <c r="C629" s="200">
        <v>0</v>
      </c>
      <c r="D629" s="201" t="s">
        <v>282</v>
      </c>
      <c r="E629" s="201" t="s">
        <v>320</v>
      </c>
      <c r="F629" s="200" t="s">
        <v>393</v>
      </c>
      <c r="G629" s="200" t="s">
        <v>434</v>
      </c>
    </row>
    <row r="630" spans="1:7">
      <c r="A630" s="199" t="s">
        <v>0</v>
      </c>
      <c r="B630" s="200">
        <v>-2629</v>
      </c>
      <c r="C630" s="200">
        <v>0</v>
      </c>
      <c r="D630" s="201" t="s">
        <v>282</v>
      </c>
      <c r="E630" s="201" t="s">
        <v>320</v>
      </c>
      <c r="F630" s="200" t="s">
        <v>411</v>
      </c>
      <c r="G630" s="200" t="s">
        <v>434</v>
      </c>
    </row>
    <row r="631" spans="1:7" hidden="1">
      <c r="A631" s="199" t="s">
        <v>0</v>
      </c>
      <c r="B631" s="200">
        <v>235</v>
      </c>
      <c r="C631" s="200">
        <v>0</v>
      </c>
      <c r="D631" s="201" t="s">
        <v>442</v>
      </c>
      <c r="E631" s="201" t="s">
        <v>320</v>
      </c>
      <c r="F631" s="200" t="s">
        <v>394</v>
      </c>
      <c r="G631" s="200" t="s">
        <v>434</v>
      </c>
    </row>
    <row r="632" spans="1:7" hidden="1">
      <c r="A632" s="199" t="s">
        <v>0</v>
      </c>
      <c r="B632" s="200">
        <v>-19641</v>
      </c>
      <c r="C632" s="200">
        <v>0</v>
      </c>
      <c r="D632" s="201" t="s">
        <v>474</v>
      </c>
      <c r="E632" s="201" t="s">
        <v>320</v>
      </c>
      <c r="F632" s="200" t="s">
        <v>394</v>
      </c>
      <c r="G632" s="200" t="s">
        <v>434</v>
      </c>
    </row>
    <row r="633" spans="1:7" hidden="1">
      <c r="A633" s="199" t="s">
        <v>0</v>
      </c>
      <c r="B633" s="200">
        <v>19641</v>
      </c>
      <c r="C633" s="200">
        <v>0</v>
      </c>
      <c r="D633" s="201" t="s">
        <v>474</v>
      </c>
      <c r="E633" s="201" t="s">
        <v>320</v>
      </c>
      <c r="F633" s="200" t="s">
        <v>402</v>
      </c>
      <c r="G633" s="200" t="s">
        <v>434</v>
      </c>
    </row>
    <row r="634" spans="1:7" hidden="1">
      <c r="A634" s="199" t="s">
        <v>631</v>
      </c>
      <c r="B634" s="200">
        <v>-67</v>
      </c>
      <c r="C634" s="200">
        <v>0</v>
      </c>
      <c r="D634" s="201" t="s">
        <v>283</v>
      </c>
      <c r="E634" s="201" t="s">
        <v>324</v>
      </c>
      <c r="F634" s="200" t="s">
        <v>394</v>
      </c>
      <c r="G634" s="200" t="s">
        <v>434</v>
      </c>
    </row>
    <row r="635" spans="1:7">
      <c r="A635" s="199" t="s">
        <v>631</v>
      </c>
      <c r="B635" s="200">
        <v>67</v>
      </c>
      <c r="C635" s="200">
        <v>0</v>
      </c>
      <c r="D635" s="201" t="s">
        <v>282</v>
      </c>
      <c r="E635" s="201" t="s">
        <v>324</v>
      </c>
      <c r="F635" s="200" t="s">
        <v>394</v>
      </c>
      <c r="G635" s="200" t="s">
        <v>434</v>
      </c>
    </row>
    <row r="636" spans="1:7">
      <c r="A636" s="199" t="s">
        <v>631</v>
      </c>
      <c r="B636" s="200">
        <v>694</v>
      </c>
      <c r="C636" s="200">
        <v>0</v>
      </c>
      <c r="D636" s="201" t="s">
        <v>282</v>
      </c>
      <c r="E636" s="201" t="s">
        <v>324</v>
      </c>
      <c r="F636" s="200" t="s">
        <v>408</v>
      </c>
      <c r="G636" s="200" t="s">
        <v>434</v>
      </c>
    </row>
    <row r="637" spans="1:7">
      <c r="A637" s="199" t="s">
        <v>631</v>
      </c>
      <c r="B637" s="200">
        <v>-832</v>
      </c>
      <c r="C637" s="200">
        <v>0</v>
      </c>
      <c r="D637" s="201" t="s">
        <v>282</v>
      </c>
      <c r="E637" s="201" t="s">
        <v>324</v>
      </c>
      <c r="F637" s="200" t="s">
        <v>393</v>
      </c>
      <c r="G637" s="200" t="s">
        <v>434</v>
      </c>
    </row>
    <row r="638" spans="1:7" hidden="1">
      <c r="A638" s="199" t="s">
        <v>632</v>
      </c>
      <c r="B638" s="200">
        <v>-1</v>
      </c>
      <c r="C638" s="200">
        <v>0</v>
      </c>
      <c r="D638" s="201" t="s">
        <v>283</v>
      </c>
      <c r="E638" s="201" t="s">
        <v>324</v>
      </c>
      <c r="F638" s="200" t="s">
        <v>394</v>
      </c>
      <c r="G638" s="200" t="s">
        <v>434</v>
      </c>
    </row>
    <row r="639" spans="1:7">
      <c r="A639" s="199" t="s">
        <v>632</v>
      </c>
      <c r="B639" s="200">
        <v>1</v>
      </c>
      <c r="C639" s="200">
        <v>0</v>
      </c>
      <c r="D639" s="201" t="s">
        <v>282</v>
      </c>
      <c r="E639" s="201" t="s">
        <v>324</v>
      </c>
      <c r="F639" s="200" t="s">
        <v>394</v>
      </c>
      <c r="G639" s="200" t="s">
        <v>434</v>
      </c>
    </row>
    <row r="640" spans="1:7">
      <c r="A640" s="199" t="s">
        <v>632</v>
      </c>
      <c r="B640" s="200">
        <v>-463</v>
      </c>
      <c r="C640" s="200">
        <v>0</v>
      </c>
      <c r="D640" s="201" t="s">
        <v>282</v>
      </c>
      <c r="E640" s="201" t="s">
        <v>324</v>
      </c>
      <c r="F640" s="200" t="s">
        <v>408</v>
      </c>
      <c r="G640" s="200" t="s">
        <v>434</v>
      </c>
    </row>
    <row r="641" spans="1:7">
      <c r="A641" s="199" t="s">
        <v>632</v>
      </c>
      <c r="B641" s="200">
        <v>466</v>
      </c>
      <c r="C641" s="200">
        <v>0</v>
      </c>
      <c r="D641" s="201" t="s">
        <v>282</v>
      </c>
      <c r="E641" s="201" t="s">
        <v>324</v>
      </c>
      <c r="F641" s="200" t="s">
        <v>393</v>
      </c>
      <c r="G641" s="200" t="s">
        <v>434</v>
      </c>
    </row>
    <row r="642" spans="1:7" hidden="1">
      <c r="A642" s="199" t="s">
        <v>633</v>
      </c>
      <c r="B642" s="200">
        <v>66</v>
      </c>
      <c r="C642" s="200">
        <v>0</v>
      </c>
      <c r="D642" s="201" t="s">
        <v>283</v>
      </c>
      <c r="E642" s="201" t="s">
        <v>324</v>
      </c>
      <c r="F642" s="200" t="s">
        <v>394</v>
      </c>
      <c r="G642" s="200" t="s">
        <v>434</v>
      </c>
    </row>
    <row r="643" spans="1:7">
      <c r="A643" s="199" t="s">
        <v>633</v>
      </c>
      <c r="B643" s="200">
        <v>-66</v>
      </c>
      <c r="C643" s="200">
        <v>0</v>
      </c>
      <c r="D643" s="201" t="s">
        <v>282</v>
      </c>
      <c r="E643" s="201" t="s">
        <v>324</v>
      </c>
      <c r="F643" s="200" t="s">
        <v>394</v>
      </c>
      <c r="G643" s="200" t="s">
        <v>434</v>
      </c>
    </row>
    <row r="644" spans="1:7">
      <c r="A644" s="199" t="s">
        <v>633</v>
      </c>
      <c r="B644" s="200">
        <v>-695</v>
      </c>
      <c r="C644" s="200">
        <v>0</v>
      </c>
      <c r="D644" s="201" t="s">
        <v>282</v>
      </c>
      <c r="E644" s="201" t="s">
        <v>324</v>
      </c>
      <c r="F644" s="200" t="s">
        <v>408</v>
      </c>
      <c r="G644" s="200" t="s">
        <v>434</v>
      </c>
    </row>
    <row r="645" spans="1:7">
      <c r="A645" s="199" t="s">
        <v>633</v>
      </c>
      <c r="B645" s="200">
        <v>832</v>
      </c>
      <c r="C645" s="200">
        <v>0</v>
      </c>
      <c r="D645" s="201" t="s">
        <v>282</v>
      </c>
      <c r="E645" s="201" t="s">
        <v>324</v>
      </c>
      <c r="F645" s="200" t="s">
        <v>393</v>
      </c>
      <c r="G645" s="200" t="s">
        <v>434</v>
      </c>
    </row>
    <row r="646" spans="1:7" hidden="1">
      <c r="A646" s="199" t="s">
        <v>634</v>
      </c>
      <c r="B646" s="200">
        <v>-77400</v>
      </c>
      <c r="C646" s="200">
        <v>0</v>
      </c>
      <c r="D646" s="201" t="s">
        <v>440</v>
      </c>
      <c r="E646" s="201" t="s">
        <v>439</v>
      </c>
      <c r="F646" s="200" t="s">
        <v>394</v>
      </c>
      <c r="G646" s="200" t="s">
        <v>434</v>
      </c>
    </row>
    <row r="647" spans="1:7" hidden="1">
      <c r="A647" s="199" t="s">
        <v>635</v>
      </c>
      <c r="B647" s="200">
        <v>1121145</v>
      </c>
      <c r="C647" s="200">
        <v>0</v>
      </c>
      <c r="D647" s="201" t="s">
        <v>440</v>
      </c>
      <c r="E647" s="201" t="s">
        <v>317</v>
      </c>
      <c r="F647" s="200" t="s">
        <v>394</v>
      </c>
      <c r="G647" s="200" t="s">
        <v>434</v>
      </c>
    </row>
    <row r="648" spans="1:7" hidden="1">
      <c r="A648" s="199" t="s">
        <v>635</v>
      </c>
      <c r="B648" s="200">
        <v>-105000</v>
      </c>
      <c r="C648" s="200">
        <v>0</v>
      </c>
      <c r="D648" s="201" t="s">
        <v>440</v>
      </c>
      <c r="E648" s="201" t="s">
        <v>317</v>
      </c>
      <c r="F648" s="200" t="s">
        <v>410</v>
      </c>
      <c r="G648" s="200" t="s">
        <v>434</v>
      </c>
    </row>
    <row r="649" spans="1:7" hidden="1">
      <c r="A649" s="199" t="s">
        <v>635</v>
      </c>
      <c r="B649" s="200">
        <v>-48215</v>
      </c>
      <c r="C649" s="200">
        <v>0</v>
      </c>
      <c r="D649" s="201" t="s">
        <v>440</v>
      </c>
      <c r="E649" s="201" t="s">
        <v>317</v>
      </c>
      <c r="F649" s="200" t="s">
        <v>407</v>
      </c>
      <c r="G649" s="200" t="s">
        <v>434</v>
      </c>
    </row>
    <row r="650" spans="1:7" hidden="1">
      <c r="A650" s="199" t="s">
        <v>635</v>
      </c>
      <c r="B650" s="200">
        <v>-459011</v>
      </c>
      <c r="C650" s="200">
        <v>0</v>
      </c>
      <c r="D650" s="201" t="s">
        <v>440</v>
      </c>
      <c r="E650" s="201" t="s">
        <v>317</v>
      </c>
      <c r="F650" s="200" t="s">
        <v>441</v>
      </c>
      <c r="G650" s="200" t="s">
        <v>434</v>
      </c>
    </row>
    <row r="651" spans="1:7" hidden="1">
      <c r="A651" s="199" t="s">
        <v>635</v>
      </c>
      <c r="B651" s="200">
        <v>255006</v>
      </c>
      <c r="C651" s="200">
        <v>0</v>
      </c>
      <c r="D651" s="201" t="s">
        <v>440</v>
      </c>
      <c r="E651" s="201" t="s">
        <v>317</v>
      </c>
      <c r="F651" s="200" t="s">
        <v>402</v>
      </c>
      <c r="G651" s="200" t="s">
        <v>434</v>
      </c>
    </row>
    <row r="652" spans="1:7" hidden="1">
      <c r="A652" s="199" t="s">
        <v>635</v>
      </c>
      <c r="B652" s="200">
        <v>-47392</v>
      </c>
      <c r="C652" s="200">
        <v>0</v>
      </c>
      <c r="D652" s="201" t="s">
        <v>437</v>
      </c>
      <c r="E652" s="201" t="s">
        <v>317</v>
      </c>
      <c r="F652" s="200" t="s">
        <v>394</v>
      </c>
      <c r="G652" s="200" t="s">
        <v>434</v>
      </c>
    </row>
    <row r="653" spans="1:7" hidden="1">
      <c r="A653" s="199" t="s">
        <v>635</v>
      </c>
      <c r="B653" s="200">
        <v>-311619</v>
      </c>
      <c r="C653" s="200">
        <v>0</v>
      </c>
      <c r="D653" s="201" t="s">
        <v>437</v>
      </c>
      <c r="E653" s="201" t="s">
        <v>317</v>
      </c>
      <c r="F653" s="200" t="s">
        <v>407</v>
      </c>
      <c r="G653" s="200" t="s">
        <v>434</v>
      </c>
    </row>
    <row r="654" spans="1:7" hidden="1">
      <c r="A654" s="199" t="s">
        <v>635</v>
      </c>
      <c r="B654" s="200">
        <v>459011</v>
      </c>
      <c r="C654" s="200">
        <v>0</v>
      </c>
      <c r="D654" s="201" t="s">
        <v>437</v>
      </c>
      <c r="E654" s="201" t="s">
        <v>317</v>
      </c>
      <c r="F654" s="200" t="s">
        <v>441</v>
      </c>
      <c r="G654" s="200" t="s">
        <v>434</v>
      </c>
    </row>
    <row r="655" spans="1:7" hidden="1">
      <c r="A655" s="199" t="s">
        <v>635</v>
      </c>
      <c r="B655" s="200">
        <v>-100000</v>
      </c>
      <c r="C655" s="200">
        <v>0</v>
      </c>
      <c r="D655" s="201" t="s">
        <v>437</v>
      </c>
      <c r="E655" s="201" t="s">
        <v>317</v>
      </c>
      <c r="F655" s="200" t="s">
        <v>402</v>
      </c>
      <c r="G655" s="200" t="s">
        <v>434</v>
      </c>
    </row>
    <row r="656" spans="1:7" hidden="1">
      <c r="A656" s="199" t="s">
        <v>635</v>
      </c>
      <c r="B656" s="200">
        <v>209832</v>
      </c>
      <c r="C656" s="200">
        <v>0</v>
      </c>
      <c r="D656" s="201" t="s">
        <v>442</v>
      </c>
      <c r="E656" s="201" t="s">
        <v>317</v>
      </c>
      <c r="F656" s="200" t="s">
        <v>394</v>
      </c>
      <c r="G656" s="200" t="s">
        <v>434</v>
      </c>
    </row>
    <row r="657" spans="1:7" hidden="1">
      <c r="A657" s="199" t="s">
        <v>635</v>
      </c>
      <c r="B657" s="200">
        <v>-33000</v>
      </c>
      <c r="C657" s="200">
        <v>0</v>
      </c>
      <c r="D657" s="201" t="s">
        <v>442</v>
      </c>
      <c r="E657" s="201" t="s">
        <v>317</v>
      </c>
      <c r="F657" s="200" t="s">
        <v>410</v>
      </c>
      <c r="G657" s="200" t="s">
        <v>434</v>
      </c>
    </row>
    <row r="658" spans="1:7" hidden="1">
      <c r="A658" s="199" t="s">
        <v>635</v>
      </c>
      <c r="B658" s="200">
        <v>-66101</v>
      </c>
      <c r="C658" s="200">
        <v>0</v>
      </c>
      <c r="D658" s="201" t="s">
        <v>442</v>
      </c>
      <c r="E658" s="201" t="s">
        <v>317</v>
      </c>
      <c r="F658" s="200" t="s">
        <v>407</v>
      </c>
      <c r="G658" s="200" t="s">
        <v>434</v>
      </c>
    </row>
    <row r="659" spans="1:7" hidden="1">
      <c r="A659" s="199" t="s">
        <v>635</v>
      </c>
      <c r="B659" s="200">
        <v>87930</v>
      </c>
      <c r="C659" s="200">
        <v>0</v>
      </c>
      <c r="D659" s="201" t="s">
        <v>545</v>
      </c>
      <c r="E659" s="201" t="s">
        <v>317</v>
      </c>
      <c r="F659" s="200" t="s">
        <v>394</v>
      </c>
      <c r="G659" s="200" t="s">
        <v>434</v>
      </c>
    </row>
    <row r="660" spans="1:7" hidden="1">
      <c r="A660" s="199" t="s">
        <v>635</v>
      </c>
      <c r="B660" s="200">
        <v>134518</v>
      </c>
      <c r="C660" s="200">
        <v>0</v>
      </c>
      <c r="D660" s="201" t="s">
        <v>474</v>
      </c>
      <c r="E660" s="201" t="s">
        <v>317</v>
      </c>
      <c r="F660" s="200" t="s">
        <v>394</v>
      </c>
      <c r="G660" s="200" t="s">
        <v>434</v>
      </c>
    </row>
    <row r="661" spans="1:7" hidden="1">
      <c r="A661" s="199" t="s">
        <v>356</v>
      </c>
      <c r="B661" s="200">
        <v>4195</v>
      </c>
      <c r="C661" s="200">
        <v>0</v>
      </c>
      <c r="D661" s="201" t="s">
        <v>283</v>
      </c>
      <c r="E661" s="201" t="s">
        <v>317</v>
      </c>
      <c r="F661" s="200" t="s">
        <v>394</v>
      </c>
      <c r="G661" s="200" t="s">
        <v>434</v>
      </c>
    </row>
    <row r="662" spans="1:7" hidden="1">
      <c r="A662" s="199" t="s">
        <v>356</v>
      </c>
      <c r="B662" s="200">
        <v>-4195</v>
      </c>
      <c r="C662" s="200">
        <v>0</v>
      </c>
      <c r="D662" s="201" t="s">
        <v>283</v>
      </c>
      <c r="E662" s="201" t="s">
        <v>317</v>
      </c>
      <c r="F662" s="200" t="s">
        <v>441</v>
      </c>
      <c r="G662" s="200" t="s">
        <v>434</v>
      </c>
    </row>
    <row r="663" spans="1:7">
      <c r="A663" s="199" t="s">
        <v>356</v>
      </c>
      <c r="B663" s="200">
        <v>14385</v>
      </c>
      <c r="C663" s="200">
        <v>0</v>
      </c>
      <c r="D663" s="201" t="s">
        <v>282</v>
      </c>
      <c r="E663" s="201" t="s">
        <v>317</v>
      </c>
      <c r="F663" s="200" t="s">
        <v>394</v>
      </c>
      <c r="G663" s="200" t="s">
        <v>434</v>
      </c>
    </row>
    <row r="664" spans="1:7">
      <c r="A664" s="199" t="s">
        <v>356</v>
      </c>
      <c r="B664" s="200">
        <v>-1126</v>
      </c>
      <c r="C664" s="200">
        <v>0</v>
      </c>
      <c r="D664" s="201" t="s">
        <v>282</v>
      </c>
      <c r="E664" s="201" t="s">
        <v>317</v>
      </c>
      <c r="F664" s="200" t="s">
        <v>445</v>
      </c>
      <c r="G664" s="200" t="s">
        <v>434</v>
      </c>
    </row>
    <row r="665" spans="1:7">
      <c r="A665" s="199" t="s">
        <v>356</v>
      </c>
      <c r="B665" s="200">
        <v>-19768</v>
      </c>
      <c r="C665" s="200">
        <v>0</v>
      </c>
      <c r="D665" s="201" t="s">
        <v>282</v>
      </c>
      <c r="E665" s="201" t="s">
        <v>317</v>
      </c>
      <c r="F665" s="200" t="s">
        <v>393</v>
      </c>
      <c r="G665" s="200" t="s">
        <v>434</v>
      </c>
    </row>
    <row r="666" spans="1:7">
      <c r="A666" s="199" t="s">
        <v>356</v>
      </c>
      <c r="B666" s="200">
        <v>2314</v>
      </c>
      <c r="C666" s="200">
        <v>0</v>
      </c>
      <c r="D666" s="201" t="s">
        <v>282</v>
      </c>
      <c r="E666" s="201" t="s">
        <v>317</v>
      </c>
      <c r="F666" s="200" t="s">
        <v>413</v>
      </c>
      <c r="G666" s="200" t="s">
        <v>434</v>
      </c>
    </row>
    <row r="667" spans="1:7">
      <c r="A667" s="199" t="s">
        <v>356</v>
      </c>
      <c r="B667" s="200">
        <v>4195</v>
      </c>
      <c r="C667" s="200">
        <v>0</v>
      </c>
      <c r="D667" s="201" t="s">
        <v>282</v>
      </c>
      <c r="E667" s="201" t="s">
        <v>317</v>
      </c>
      <c r="F667" s="200" t="s">
        <v>441</v>
      </c>
      <c r="G667" s="200" t="s">
        <v>434</v>
      </c>
    </row>
    <row r="668" spans="1:7" hidden="1">
      <c r="A668" s="199" t="s">
        <v>636</v>
      </c>
      <c r="B668" s="200">
        <v>155800</v>
      </c>
      <c r="C668" s="200">
        <v>0</v>
      </c>
      <c r="D668" s="201" t="s">
        <v>440</v>
      </c>
      <c r="E668" s="201" t="s">
        <v>39</v>
      </c>
      <c r="F668" s="200" t="s">
        <v>394</v>
      </c>
      <c r="G668" s="200" t="s">
        <v>434</v>
      </c>
    </row>
    <row r="669" spans="1:7" hidden="1">
      <c r="A669" s="199" t="s">
        <v>636</v>
      </c>
      <c r="B669" s="200">
        <v>-155800</v>
      </c>
      <c r="C669" s="200">
        <v>0</v>
      </c>
      <c r="D669" s="201" t="s">
        <v>440</v>
      </c>
      <c r="E669" s="201" t="s">
        <v>39</v>
      </c>
      <c r="F669" s="200" t="s">
        <v>402</v>
      </c>
      <c r="G669" s="200" t="s">
        <v>434</v>
      </c>
    </row>
    <row r="670" spans="1:7" hidden="1">
      <c r="A670" s="199" t="s">
        <v>637</v>
      </c>
      <c r="B670" s="200">
        <v>-1401012</v>
      </c>
      <c r="C670" s="200">
        <v>0</v>
      </c>
      <c r="D670" s="201" t="s">
        <v>440</v>
      </c>
      <c r="E670" s="201" t="s">
        <v>638</v>
      </c>
      <c r="F670" s="200" t="s">
        <v>393</v>
      </c>
      <c r="G670" s="200" t="s">
        <v>434</v>
      </c>
    </row>
    <row r="671" spans="1:7" hidden="1">
      <c r="A671" s="199" t="s">
        <v>376</v>
      </c>
      <c r="B671" s="200">
        <v>7120</v>
      </c>
      <c r="C671" s="200">
        <v>0</v>
      </c>
      <c r="D671" s="201" t="s">
        <v>283</v>
      </c>
      <c r="E671" s="201" t="s">
        <v>639</v>
      </c>
      <c r="F671" s="200" t="s">
        <v>393</v>
      </c>
      <c r="G671" s="200" t="s">
        <v>434</v>
      </c>
    </row>
    <row r="672" spans="1:7">
      <c r="A672" s="199" t="s">
        <v>376</v>
      </c>
      <c r="B672" s="200">
        <v>7120</v>
      </c>
      <c r="C672" s="200">
        <v>0</v>
      </c>
      <c r="D672" s="201" t="s">
        <v>282</v>
      </c>
      <c r="E672" s="201" t="s">
        <v>639</v>
      </c>
      <c r="F672" s="200" t="s">
        <v>393</v>
      </c>
      <c r="G672" s="200" t="s">
        <v>434</v>
      </c>
    </row>
    <row r="673" spans="1:7" hidden="1">
      <c r="A673" s="199" t="s">
        <v>640</v>
      </c>
      <c r="B673" s="200">
        <v>2379</v>
      </c>
      <c r="C673" s="200">
        <v>0</v>
      </c>
      <c r="D673" s="201" t="s">
        <v>442</v>
      </c>
      <c r="E673" s="201" t="s">
        <v>639</v>
      </c>
      <c r="F673" s="200" t="s">
        <v>393</v>
      </c>
      <c r="G673" s="200" t="s">
        <v>434</v>
      </c>
    </row>
    <row r="674" spans="1:7" hidden="1">
      <c r="A674" s="199" t="s">
        <v>641</v>
      </c>
      <c r="B674" s="200">
        <v>-1797</v>
      </c>
      <c r="C674" s="200">
        <v>0</v>
      </c>
      <c r="D674" s="201" t="s">
        <v>442</v>
      </c>
      <c r="E674" s="201" t="s">
        <v>639</v>
      </c>
      <c r="F674" s="200" t="s">
        <v>393</v>
      </c>
      <c r="G674" s="200" t="s">
        <v>434</v>
      </c>
    </row>
    <row r="675" spans="1:7" hidden="1">
      <c r="A675" s="199" t="s">
        <v>642</v>
      </c>
      <c r="B675" s="200">
        <v>-1728</v>
      </c>
      <c r="C675" s="200">
        <v>0</v>
      </c>
      <c r="D675" s="201" t="s">
        <v>442</v>
      </c>
      <c r="E675" s="201" t="s">
        <v>639</v>
      </c>
      <c r="F675" s="200" t="s">
        <v>393</v>
      </c>
      <c r="G675" s="200" t="s">
        <v>434</v>
      </c>
    </row>
    <row r="676" spans="1:7" hidden="1">
      <c r="A676" s="199" t="s">
        <v>643</v>
      </c>
      <c r="B676" s="200">
        <v>-27024</v>
      </c>
      <c r="C676" s="200">
        <v>0</v>
      </c>
      <c r="D676" s="201" t="s">
        <v>440</v>
      </c>
      <c r="E676" s="201" t="s">
        <v>639</v>
      </c>
      <c r="F676" s="200" t="s">
        <v>393</v>
      </c>
      <c r="G676" s="200" t="s">
        <v>434</v>
      </c>
    </row>
    <row r="677" spans="1:7" hidden="1">
      <c r="A677" s="199" t="s">
        <v>377</v>
      </c>
      <c r="B677" s="200">
        <v>1390</v>
      </c>
      <c r="C677" s="200">
        <v>0</v>
      </c>
      <c r="D677" s="201" t="s">
        <v>283</v>
      </c>
      <c r="E677" s="201" t="s">
        <v>639</v>
      </c>
      <c r="F677" s="200" t="s">
        <v>393</v>
      </c>
      <c r="G677" s="200" t="s">
        <v>434</v>
      </c>
    </row>
    <row r="678" spans="1:7">
      <c r="A678" s="199" t="s">
        <v>377</v>
      </c>
      <c r="B678" s="200">
        <v>1390</v>
      </c>
      <c r="C678" s="200">
        <v>0</v>
      </c>
      <c r="D678" s="201" t="s">
        <v>282</v>
      </c>
      <c r="E678" s="201" t="s">
        <v>639</v>
      </c>
      <c r="F678" s="200" t="s">
        <v>393</v>
      </c>
      <c r="G678" s="200" t="s">
        <v>434</v>
      </c>
    </row>
    <row r="679" spans="1:7" hidden="1">
      <c r="A679" s="199" t="s">
        <v>379</v>
      </c>
      <c r="B679" s="200">
        <v>5561</v>
      </c>
      <c r="C679" s="200">
        <v>0</v>
      </c>
      <c r="D679" s="201" t="s">
        <v>283</v>
      </c>
      <c r="E679" s="201" t="s">
        <v>639</v>
      </c>
      <c r="F679" s="200" t="s">
        <v>393</v>
      </c>
      <c r="G679" s="200" t="s">
        <v>434</v>
      </c>
    </row>
    <row r="680" spans="1:7">
      <c r="A680" s="199" t="s">
        <v>379</v>
      </c>
      <c r="B680" s="200">
        <v>5561</v>
      </c>
      <c r="C680" s="200">
        <v>0</v>
      </c>
      <c r="D680" s="201" t="s">
        <v>282</v>
      </c>
      <c r="E680" s="201" t="s">
        <v>639</v>
      </c>
      <c r="F680" s="200" t="s">
        <v>393</v>
      </c>
      <c r="G680" s="200" t="s">
        <v>434</v>
      </c>
    </row>
    <row r="681" spans="1:7" hidden="1">
      <c r="A681" s="199" t="s">
        <v>380</v>
      </c>
      <c r="B681" s="200">
        <v>5800</v>
      </c>
      <c r="C681" s="200">
        <v>0</v>
      </c>
      <c r="D681" s="201" t="s">
        <v>283</v>
      </c>
      <c r="E681" s="201" t="s">
        <v>639</v>
      </c>
      <c r="F681" s="200" t="s">
        <v>393</v>
      </c>
      <c r="G681" s="200" t="s">
        <v>434</v>
      </c>
    </row>
    <row r="682" spans="1:7">
      <c r="A682" s="199" t="s">
        <v>380</v>
      </c>
      <c r="B682" s="200">
        <v>5800</v>
      </c>
      <c r="C682" s="200">
        <v>0</v>
      </c>
      <c r="D682" s="201" t="s">
        <v>282</v>
      </c>
      <c r="E682" s="201" t="s">
        <v>639</v>
      </c>
      <c r="F682" s="200" t="s">
        <v>393</v>
      </c>
      <c r="G682" s="200" t="s">
        <v>434</v>
      </c>
    </row>
    <row r="683" spans="1:7" hidden="1">
      <c r="A683" s="199" t="s">
        <v>644</v>
      </c>
      <c r="B683" s="200">
        <v>-1500</v>
      </c>
      <c r="C683" s="200">
        <v>0</v>
      </c>
      <c r="D683" s="201" t="s">
        <v>440</v>
      </c>
      <c r="E683" s="201" t="s">
        <v>638</v>
      </c>
      <c r="F683" s="200" t="s">
        <v>409</v>
      </c>
      <c r="G683" s="200" t="s">
        <v>434</v>
      </c>
    </row>
    <row r="684" spans="1:7" hidden="1">
      <c r="A684" s="199" t="s">
        <v>645</v>
      </c>
      <c r="B684" s="200">
        <v>-508</v>
      </c>
      <c r="C684" s="200">
        <v>0</v>
      </c>
      <c r="D684" s="201" t="s">
        <v>474</v>
      </c>
      <c r="E684" s="201" t="s">
        <v>638</v>
      </c>
      <c r="F684" s="200" t="s">
        <v>409</v>
      </c>
      <c r="G684" s="200" t="s">
        <v>434</v>
      </c>
    </row>
    <row r="685" spans="1:7" hidden="1">
      <c r="A685" s="199" t="s">
        <v>646</v>
      </c>
      <c r="B685" s="200">
        <v>-7289</v>
      </c>
      <c r="C685" s="200">
        <v>0</v>
      </c>
      <c r="D685" s="201" t="s">
        <v>440</v>
      </c>
      <c r="E685" s="201" t="s">
        <v>638</v>
      </c>
      <c r="F685" s="200" t="s">
        <v>409</v>
      </c>
      <c r="G685" s="200" t="s">
        <v>434</v>
      </c>
    </row>
    <row r="686" spans="1:7" hidden="1">
      <c r="A686" s="199" t="s">
        <v>646</v>
      </c>
      <c r="B686" s="200">
        <v>-443</v>
      </c>
      <c r="C686" s="200">
        <v>0</v>
      </c>
      <c r="D686" s="201" t="s">
        <v>474</v>
      </c>
      <c r="E686" s="201" t="s">
        <v>638</v>
      </c>
      <c r="F686" s="200" t="s">
        <v>409</v>
      </c>
      <c r="G686" s="200" t="s">
        <v>434</v>
      </c>
    </row>
    <row r="687" spans="1:7" hidden="1">
      <c r="A687" s="199" t="s">
        <v>647</v>
      </c>
      <c r="B687" s="200">
        <v>-1985</v>
      </c>
      <c r="C687" s="200">
        <v>0</v>
      </c>
      <c r="D687" s="201" t="s">
        <v>440</v>
      </c>
      <c r="E687" s="201" t="s">
        <v>638</v>
      </c>
      <c r="F687" s="200" t="s">
        <v>409</v>
      </c>
      <c r="G687" s="200" t="s">
        <v>434</v>
      </c>
    </row>
    <row r="688" spans="1:7" hidden="1">
      <c r="A688" s="199" t="s">
        <v>648</v>
      </c>
      <c r="B688" s="200">
        <v>-2021</v>
      </c>
      <c r="C688" s="200">
        <v>0</v>
      </c>
      <c r="D688" s="201" t="s">
        <v>440</v>
      </c>
      <c r="E688" s="201" t="s">
        <v>638</v>
      </c>
      <c r="F688" s="200" t="s">
        <v>409</v>
      </c>
      <c r="G688" s="200" t="s">
        <v>434</v>
      </c>
    </row>
    <row r="689" spans="1:7" hidden="1">
      <c r="A689" s="199" t="s">
        <v>649</v>
      </c>
      <c r="B689" s="200">
        <v>-2019</v>
      </c>
      <c r="C689" s="200">
        <v>0</v>
      </c>
      <c r="D689" s="201" t="s">
        <v>440</v>
      </c>
      <c r="E689" s="201" t="s">
        <v>638</v>
      </c>
      <c r="F689" s="200" t="s">
        <v>409</v>
      </c>
      <c r="G689" s="200" t="s">
        <v>434</v>
      </c>
    </row>
    <row r="690" spans="1:7" hidden="1">
      <c r="A690" s="199" t="s">
        <v>650</v>
      </c>
      <c r="B690" s="200">
        <v>-2991</v>
      </c>
      <c r="C690" s="200">
        <v>0</v>
      </c>
      <c r="D690" s="201" t="s">
        <v>440</v>
      </c>
      <c r="E690" s="201" t="s">
        <v>638</v>
      </c>
      <c r="F690" s="200" t="s">
        <v>409</v>
      </c>
      <c r="G690" s="200" t="s">
        <v>434</v>
      </c>
    </row>
    <row r="691" spans="1:7" hidden="1">
      <c r="A691" s="199" t="s">
        <v>651</v>
      </c>
      <c r="B691" s="200">
        <v>-1957</v>
      </c>
      <c r="C691" s="200">
        <v>0</v>
      </c>
      <c r="D691" s="201" t="s">
        <v>440</v>
      </c>
      <c r="E691" s="201" t="s">
        <v>638</v>
      </c>
      <c r="F691" s="200" t="s">
        <v>409</v>
      </c>
      <c r="G691" s="200" t="s">
        <v>434</v>
      </c>
    </row>
    <row r="692" spans="1:7" hidden="1">
      <c r="A692" s="199" t="s">
        <v>370</v>
      </c>
      <c r="B692" s="200">
        <v>98</v>
      </c>
      <c r="C692" s="200">
        <v>0</v>
      </c>
      <c r="D692" s="201" t="s">
        <v>283</v>
      </c>
      <c r="E692" s="201" t="s">
        <v>639</v>
      </c>
      <c r="F692" s="200" t="s">
        <v>652</v>
      </c>
      <c r="G692" s="200" t="s">
        <v>434</v>
      </c>
    </row>
    <row r="693" spans="1:7">
      <c r="A693" s="199" t="s">
        <v>370</v>
      </c>
      <c r="B693" s="200">
        <v>98</v>
      </c>
      <c r="C693" s="200">
        <v>0</v>
      </c>
      <c r="D693" s="201" t="s">
        <v>282</v>
      </c>
      <c r="E693" s="201" t="s">
        <v>639</v>
      </c>
      <c r="F693" s="200" t="s">
        <v>652</v>
      </c>
      <c r="G693" s="200" t="s">
        <v>434</v>
      </c>
    </row>
    <row r="694" spans="1:7" hidden="1">
      <c r="A694" s="199" t="s">
        <v>374</v>
      </c>
      <c r="B694" s="200">
        <v>192</v>
      </c>
      <c r="C694" s="200">
        <v>0</v>
      </c>
      <c r="D694" s="201" t="s">
        <v>283</v>
      </c>
      <c r="E694" s="201" t="s">
        <v>639</v>
      </c>
      <c r="F694" s="200" t="s">
        <v>652</v>
      </c>
      <c r="G694" s="200" t="s">
        <v>434</v>
      </c>
    </row>
    <row r="695" spans="1:7">
      <c r="A695" s="199" t="s">
        <v>374</v>
      </c>
      <c r="B695" s="200">
        <v>192</v>
      </c>
      <c r="C695" s="200">
        <v>0</v>
      </c>
      <c r="D695" s="201" t="s">
        <v>282</v>
      </c>
      <c r="E695" s="201" t="s">
        <v>639</v>
      </c>
      <c r="F695" s="200" t="s">
        <v>652</v>
      </c>
      <c r="G695" s="200" t="s">
        <v>434</v>
      </c>
    </row>
    <row r="696" spans="1:7" hidden="1">
      <c r="A696" s="199" t="s">
        <v>372</v>
      </c>
      <c r="B696" s="200">
        <v>2418</v>
      </c>
      <c r="C696" s="200">
        <v>0</v>
      </c>
      <c r="D696" s="201" t="s">
        <v>283</v>
      </c>
      <c r="E696" s="201" t="s">
        <v>639</v>
      </c>
      <c r="F696" s="200" t="s">
        <v>652</v>
      </c>
      <c r="G696" s="200" t="s">
        <v>434</v>
      </c>
    </row>
    <row r="697" spans="1:7">
      <c r="A697" s="199" t="s">
        <v>372</v>
      </c>
      <c r="B697" s="200">
        <v>2418</v>
      </c>
      <c r="C697" s="200">
        <v>0</v>
      </c>
      <c r="D697" s="201" t="s">
        <v>282</v>
      </c>
      <c r="E697" s="201" t="s">
        <v>639</v>
      </c>
      <c r="F697" s="200" t="s">
        <v>652</v>
      </c>
      <c r="G697" s="200" t="s">
        <v>434</v>
      </c>
    </row>
    <row r="698" spans="1:7" hidden="1">
      <c r="A698" s="199" t="s">
        <v>375</v>
      </c>
      <c r="B698" s="200">
        <v>1185</v>
      </c>
      <c r="C698" s="200">
        <v>0</v>
      </c>
      <c r="D698" s="201" t="s">
        <v>283</v>
      </c>
      <c r="E698" s="201" t="s">
        <v>639</v>
      </c>
      <c r="F698" s="200" t="s">
        <v>652</v>
      </c>
      <c r="G698" s="200" t="s">
        <v>434</v>
      </c>
    </row>
    <row r="699" spans="1:7">
      <c r="A699" s="199" t="s">
        <v>375</v>
      </c>
      <c r="B699" s="200">
        <v>1186</v>
      </c>
      <c r="C699" s="200">
        <v>0</v>
      </c>
      <c r="D699" s="201" t="s">
        <v>282</v>
      </c>
      <c r="E699" s="201" t="s">
        <v>639</v>
      </c>
      <c r="F699" s="200" t="s">
        <v>652</v>
      </c>
      <c r="G699" s="200" t="s">
        <v>434</v>
      </c>
    </row>
    <row r="700" spans="1:7" hidden="1">
      <c r="A700" s="199" t="s">
        <v>653</v>
      </c>
      <c r="B700" s="200">
        <v>-8863</v>
      </c>
      <c r="C700" s="200">
        <v>0</v>
      </c>
      <c r="D700" s="201" t="s">
        <v>442</v>
      </c>
      <c r="E700" s="201" t="s">
        <v>638</v>
      </c>
      <c r="F700" s="200" t="s">
        <v>652</v>
      </c>
      <c r="G700" s="200" t="s">
        <v>434</v>
      </c>
    </row>
    <row r="701" spans="1:7" hidden="1">
      <c r="A701" s="199" t="s">
        <v>654</v>
      </c>
      <c r="B701" s="200">
        <v>-675998</v>
      </c>
      <c r="C701" s="200">
        <v>0</v>
      </c>
      <c r="D701" s="201" t="s">
        <v>442</v>
      </c>
      <c r="E701" s="201" t="s">
        <v>638</v>
      </c>
      <c r="F701" s="200" t="s">
        <v>652</v>
      </c>
      <c r="G701" s="200" t="s">
        <v>434</v>
      </c>
    </row>
    <row r="702" spans="1:7" hidden="1">
      <c r="A702" s="199" t="s">
        <v>655</v>
      </c>
      <c r="B702" s="200">
        <v>-3158</v>
      </c>
      <c r="C702" s="200">
        <v>0</v>
      </c>
      <c r="D702" s="201" t="s">
        <v>440</v>
      </c>
      <c r="E702" s="201" t="s">
        <v>639</v>
      </c>
      <c r="F702" s="200" t="s">
        <v>393</v>
      </c>
      <c r="G702" s="200" t="s">
        <v>434</v>
      </c>
    </row>
    <row r="703" spans="1:7" hidden="1">
      <c r="A703" s="199" t="s">
        <v>656</v>
      </c>
      <c r="B703" s="200">
        <v>-6018</v>
      </c>
      <c r="C703" s="200">
        <v>0</v>
      </c>
      <c r="D703" s="201" t="s">
        <v>440</v>
      </c>
      <c r="E703" s="201" t="s">
        <v>639</v>
      </c>
      <c r="F703" s="200" t="s">
        <v>393</v>
      </c>
      <c r="G703" s="200" t="s">
        <v>434</v>
      </c>
    </row>
    <row r="704" spans="1:7" hidden="1">
      <c r="A704" s="199" t="s">
        <v>657</v>
      </c>
      <c r="B704" s="200">
        <v>-27197</v>
      </c>
      <c r="C704" s="200">
        <v>0</v>
      </c>
      <c r="D704" s="201" t="s">
        <v>440</v>
      </c>
      <c r="E704" s="201" t="s">
        <v>439</v>
      </c>
      <c r="F704" s="200" t="s">
        <v>394</v>
      </c>
      <c r="G704" s="200" t="s">
        <v>434</v>
      </c>
    </row>
    <row r="705" spans="1:7" hidden="1">
      <c r="A705" s="199" t="s">
        <v>658</v>
      </c>
      <c r="B705" s="200">
        <v>54530</v>
      </c>
      <c r="C705" s="200">
        <v>0</v>
      </c>
      <c r="D705" s="201" t="s">
        <v>440</v>
      </c>
      <c r="E705" s="201" t="s">
        <v>317</v>
      </c>
      <c r="F705" s="200" t="s">
        <v>394</v>
      </c>
      <c r="G705" s="200" t="s">
        <v>434</v>
      </c>
    </row>
    <row r="706" spans="1:7" hidden="1">
      <c r="A706" s="199" t="s">
        <v>658</v>
      </c>
      <c r="B706" s="200">
        <v>-54530</v>
      </c>
      <c r="C706" s="200">
        <v>0</v>
      </c>
      <c r="D706" s="201" t="s">
        <v>440</v>
      </c>
      <c r="E706" s="201" t="s">
        <v>317</v>
      </c>
      <c r="F706" s="200" t="s">
        <v>441</v>
      </c>
      <c r="G706" s="200" t="s">
        <v>434</v>
      </c>
    </row>
    <row r="707" spans="1:7">
      <c r="A707" s="199" t="s">
        <v>658</v>
      </c>
      <c r="B707" s="200">
        <v>-35964</v>
      </c>
      <c r="C707" s="200">
        <v>0</v>
      </c>
      <c r="D707" s="201" t="s">
        <v>282</v>
      </c>
      <c r="E707" s="201" t="s">
        <v>317</v>
      </c>
      <c r="F707" s="200" t="s">
        <v>394</v>
      </c>
      <c r="G707" s="200" t="s">
        <v>434</v>
      </c>
    </row>
    <row r="708" spans="1:7">
      <c r="A708" s="199" t="s">
        <v>658</v>
      </c>
      <c r="B708" s="200">
        <v>-18566</v>
      </c>
      <c r="C708" s="200">
        <v>0</v>
      </c>
      <c r="D708" s="201" t="s">
        <v>282</v>
      </c>
      <c r="E708" s="201" t="s">
        <v>317</v>
      </c>
      <c r="F708" s="200" t="s">
        <v>393</v>
      </c>
      <c r="G708" s="200" t="s">
        <v>434</v>
      </c>
    </row>
    <row r="709" spans="1:7">
      <c r="A709" s="199" t="s">
        <v>658</v>
      </c>
      <c r="B709" s="200">
        <v>54530</v>
      </c>
      <c r="C709" s="200">
        <v>0</v>
      </c>
      <c r="D709" s="201" t="s">
        <v>282</v>
      </c>
      <c r="E709" s="201" t="s">
        <v>317</v>
      </c>
      <c r="F709" s="200" t="s">
        <v>441</v>
      </c>
      <c r="G709" s="200" t="s">
        <v>434</v>
      </c>
    </row>
    <row r="710" spans="1:7" hidden="1">
      <c r="A710" s="199" t="s">
        <v>659</v>
      </c>
      <c r="B710" s="200">
        <v>-7500000</v>
      </c>
      <c r="C710" s="200">
        <v>0</v>
      </c>
      <c r="D710" s="201" t="s">
        <v>437</v>
      </c>
      <c r="E710" s="201" t="s">
        <v>660</v>
      </c>
      <c r="F710" s="200" t="s">
        <v>394</v>
      </c>
      <c r="G710" s="200" t="s">
        <v>434</v>
      </c>
    </row>
    <row r="711" spans="1:7" hidden="1">
      <c r="A711" s="199" t="s">
        <v>659</v>
      </c>
      <c r="B711" s="200">
        <v>7500000</v>
      </c>
      <c r="C711" s="200">
        <v>0</v>
      </c>
      <c r="D711" s="201" t="s">
        <v>437</v>
      </c>
      <c r="E711" s="201" t="s">
        <v>660</v>
      </c>
      <c r="F711" s="200" t="s">
        <v>393</v>
      </c>
      <c r="G711" s="200" t="s">
        <v>434</v>
      </c>
    </row>
    <row r="712" spans="1:7">
      <c r="A712" s="199" t="s">
        <v>661</v>
      </c>
      <c r="B712" s="200">
        <v>-466</v>
      </c>
      <c r="C712" s="200">
        <v>0</v>
      </c>
      <c r="D712" s="201" t="s">
        <v>282</v>
      </c>
      <c r="E712" s="201" t="s">
        <v>317</v>
      </c>
      <c r="F712" s="200" t="s">
        <v>394</v>
      </c>
      <c r="G712" s="200" t="s">
        <v>434</v>
      </c>
    </row>
    <row r="713" spans="1:7">
      <c r="A713" s="199" t="s">
        <v>661</v>
      </c>
      <c r="B713" s="200">
        <v>466</v>
      </c>
      <c r="C713" s="200">
        <v>0</v>
      </c>
      <c r="D713" s="201" t="s">
        <v>282</v>
      </c>
      <c r="E713" s="201" t="s">
        <v>317</v>
      </c>
      <c r="F713" s="200" t="s">
        <v>413</v>
      </c>
      <c r="G713" s="200" t="s">
        <v>434</v>
      </c>
    </row>
    <row r="714" spans="1:7">
      <c r="A714" s="199" t="s">
        <v>662</v>
      </c>
      <c r="B714" s="200">
        <v>729</v>
      </c>
      <c r="C714" s="200">
        <v>0</v>
      </c>
      <c r="D714" s="201" t="s">
        <v>282</v>
      </c>
      <c r="E714" s="201" t="s">
        <v>317</v>
      </c>
      <c r="F714" s="200" t="s">
        <v>394</v>
      </c>
      <c r="G714" s="200" t="s">
        <v>434</v>
      </c>
    </row>
    <row r="715" spans="1:7">
      <c r="A715" s="199" t="s">
        <v>662</v>
      </c>
      <c r="B715" s="200">
        <v>5861</v>
      </c>
      <c r="C715" s="200">
        <v>0</v>
      </c>
      <c r="D715" s="201" t="s">
        <v>282</v>
      </c>
      <c r="E715" s="201" t="s">
        <v>317</v>
      </c>
      <c r="F715" s="200" t="s">
        <v>445</v>
      </c>
      <c r="G715" s="200" t="s">
        <v>434</v>
      </c>
    </row>
    <row r="716" spans="1:7">
      <c r="A716" s="199" t="s">
        <v>662</v>
      </c>
      <c r="B716" s="200">
        <v>-1500</v>
      </c>
      <c r="C716" s="200">
        <v>0</v>
      </c>
      <c r="D716" s="201" t="s">
        <v>282</v>
      </c>
      <c r="E716" s="201" t="s">
        <v>317</v>
      </c>
      <c r="F716" s="200" t="s">
        <v>404</v>
      </c>
      <c r="G716" s="200" t="s">
        <v>434</v>
      </c>
    </row>
    <row r="717" spans="1:7">
      <c r="A717" s="199" t="s">
        <v>662</v>
      </c>
      <c r="B717" s="200">
        <v>5610</v>
      </c>
      <c r="C717" s="200">
        <v>0</v>
      </c>
      <c r="D717" s="201" t="s">
        <v>282</v>
      </c>
      <c r="E717" s="201" t="s">
        <v>317</v>
      </c>
      <c r="F717" s="200" t="s">
        <v>393</v>
      </c>
      <c r="G717" s="200" t="s">
        <v>434</v>
      </c>
    </row>
    <row r="718" spans="1:7">
      <c r="A718" s="199" t="s">
        <v>662</v>
      </c>
      <c r="B718" s="200">
        <v>-10700</v>
      </c>
      <c r="C718" s="200">
        <v>0</v>
      </c>
      <c r="D718" s="201" t="s">
        <v>282</v>
      </c>
      <c r="E718" s="201" t="s">
        <v>317</v>
      </c>
      <c r="F718" s="200" t="s">
        <v>402</v>
      </c>
      <c r="G718" s="200" t="s">
        <v>434</v>
      </c>
    </row>
    <row r="719" spans="1:7">
      <c r="A719" s="199" t="s">
        <v>96</v>
      </c>
      <c r="B719" s="200">
        <v>65176</v>
      </c>
      <c r="C719" s="200">
        <v>0</v>
      </c>
      <c r="D719" s="201" t="s">
        <v>282</v>
      </c>
      <c r="E719" s="201" t="s">
        <v>39</v>
      </c>
      <c r="F719" s="200" t="s">
        <v>394</v>
      </c>
      <c r="G719" s="200" t="s">
        <v>434</v>
      </c>
    </row>
    <row r="720" spans="1:7">
      <c r="A720" s="199" t="s">
        <v>96</v>
      </c>
      <c r="B720" s="200">
        <v>-5857</v>
      </c>
      <c r="C720" s="200">
        <v>0</v>
      </c>
      <c r="D720" s="201" t="s">
        <v>282</v>
      </c>
      <c r="E720" s="201" t="s">
        <v>39</v>
      </c>
      <c r="F720" s="200" t="s">
        <v>445</v>
      </c>
      <c r="G720" s="200" t="s">
        <v>434</v>
      </c>
    </row>
    <row r="721" spans="1:7">
      <c r="A721" s="199" t="s">
        <v>96</v>
      </c>
      <c r="B721" s="200">
        <v>-52218</v>
      </c>
      <c r="C721" s="200">
        <v>0</v>
      </c>
      <c r="D721" s="201" t="s">
        <v>282</v>
      </c>
      <c r="E721" s="201" t="s">
        <v>39</v>
      </c>
      <c r="F721" s="200" t="s">
        <v>393</v>
      </c>
      <c r="G721" s="200" t="s">
        <v>434</v>
      </c>
    </row>
    <row r="722" spans="1:7">
      <c r="A722" s="199" t="s">
        <v>96</v>
      </c>
      <c r="B722" s="200">
        <v>-7101</v>
      </c>
      <c r="C722" s="200">
        <v>0</v>
      </c>
      <c r="D722" s="201" t="s">
        <v>282</v>
      </c>
      <c r="E722" s="201" t="s">
        <v>39</v>
      </c>
      <c r="F722" s="200" t="s">
        <v>407</v>
      </c>
      <c r="G722" s="200" t="s">
        <v>434</v>
      </c>
    </row>
    <row r="723" spans="1:7" hidden="1">
      <c r="A723" s="199" t="s">
        <v>663</v>
      </c>
      <c r="B723" s="200">
        <v>1</v>
      </c>
      <c r="C723" s="200">
        <v>0</v>
      </c>
      <c r="D723" s="201" t="s">
        <v>283</v>
      </c>
      <c r="E723" s="201" t="s">
        <v>327</v>
      </c>
      <c r="F723" s="200" t="s">
        <v>394</v>
      </c>
      <c r="G723" s="200" t="s">
        <v>434</v>
      </c>
    </row>
    <row r="724" spans="1:7" hidden="1">
      <c r="A724" s="199" t="s">
        <v>663</v>
      </c>
      <c r="B724" s="200">
        <v>-1</v>
      </c>
      <c r="C724" s="200">
        <v>0</v>
      </c>
      <c r="D724" s="201" t="s">
        <v>283</v>
      </c>
      <c r="E724" s="201" t="s">
        <v>327</v>
      </c>
      <c r="F724" s="200" t="s">
        <v>441</v>
      </c>
      <c r="G724" s="200" t="s">
        <v>434</v>
      </c>
    </row>
    <row r="725" spans="1:7">
      <c r="A725" s="199" t="s">
        <v>663</v>
      </c>
      <c r="B725" s="200">
        <v>-1</v>
      </c>
      <c r="C725" s="200">
        <v>0</v>
      </c>
      <c r="D725" s="201" t="s">
        <v>282</v>
      </c>
      <c r="E725" s="201" t="s">
        <v>327</v>
      </c>
      <c r="F725" s="200" t="s">
        <v>394</v>
      </c>
      <c r="G725" s="200" t="s">
        <v>434</v>
      </c>
    </row>
    <row r="726" spans="1:7">
      <c r="A726" s="199" t="s">
        <v>663</v>
      </c>
      <c r="B726" s="200">
        <v>1</v>
      </c>
      <c r="C726" s="200">
        <v>0</v>
      </c>
      <c r="D726" s="201" t="s">
        <v>282</v>
      </c>
      <c r="E726" s="201" t="s">
        <v>327</v>
      </c>
      <c r="F726" s="200" t="s">
        <v>441</v>
      </c>
      <c r="G726" s="200" t="s">
        <v>434</v>
      </c>
    </row>
    <row r="727" spans="1:7" hidden="1">
      <c r="A727" s="199" t="s">
        <v>664</v>
      </c>
      <c r="B727" s="200">
        <v>-1</v>
      </c>
      <c r="C727" s="200">
        <v>0</v>
      </c>
      <c r="D727" s="201" t="s">
        <v>283</v>
      </c>
      <c r="E727" s="201" t="s">
        <v>327</v>
      </c>
      <c r="F727" s="200" t="s">
        <v>394</v>
      </c>
      <c r="G727" s="200" t="s">
        <v>434</v>
      </c>
    </row>
    <row r="728" spans="1:7" hidden="1">
      <c r="A728" s="199" t="s">
        <v>664</v>
      </c>
      <c r="B728" s="200">
        <v>1</v>
      </c>
      <c r="C728" s="200">
        <v>0</v>
      </c>
      <c r="D728" s="201" t="s">
        <v>283</v>
      </c>
      <c r="E728" s="201" t="s">
        <v>327</v>
      </c>
      <c r="F728" s="200" t="s">
        <v>441</v>
      </c>
      <c r="G728" s="200" t="s">
        <v>434</v>
      </c>
    </row>
    <row r="729" spans="1:7">
      <c r="A729" s="199" t="s">
        <v>664</v>
      </c>
      <c r="B729" s="200">
        <v>1</v>
      </c>
      <c r="C729" s="200">
        <v>0</v>
      </c>
      <c r="D729" s="201" t="s">
        <v>282</v>
      </c>
      <c r="E729" s="201" t="s">
        <v>327</v>
      </c>
      <c r="F729" s="200" t="s">
        <v>394</v>
      </c>
      <c r="G729" s="200" t="s">
        <v>434</v>
      </c>
    </row>
    <row r="730" spans="1:7">
      <c r="A730" s="199" t="s">
        <v>664</v>
      </c>
      <c r="B730" s="200">
        <v>-1</v>
      </c>
      <c r="C730" s="200">
        <v>0</v>
      </c>
      <c r="D730" s="201" t="s">
        <v>282</v>
      </c>
      <c r="E730" s="201" t="s">
        <v>327</v>
      </c>
      <c r="F730" s="200" t="s">
        <v>441</v>
      </c>
      <c r="G730" s="200" t="s">
        <v>434</v>
      </c>
    </row>
    <row r="731" spans="1:7" hidden="1">
      <c r="A731" s="199" t="s">
        <v>665</v>
      </c>
      <c r="B731" s="200">
        <v>-5568</v>
      </c>
      <c r="C731" s="200">
        <v>0</v>
      </c>
      <c r="D731" s="201" t="s">
        <v>442</v>
      </c>
      <c r="E731" s="201" t="s">
        <v>317</v>
      </c>
      <c r="F731" s="200" t="s">
        <v>394</v>
      </c>
      <c r="G731" s="200" t="s">
        <v>434</v>
      </c>
    </row>
    <row r="732" spans="1:7" hidden="1">
      <c r="A732" s="199" t="s">
        <v>82</v>
      </c>
      <c r="B732" s="200">
        <v>1405</v>
      </c>
      <c r="C732" s="200">
        <v>0</v>
      </c>
      <c r="D732" s="201" t="s">
        <v>283</v>
      </c>
      <c r="E732" s="201" t="s">
        <v>317</v>
      </c>
      <c r="F732" s="200" t="s">
        <v>394</v>
      </c>
      <c r="G732" s="200" t="s">
        <v>434</v>
      </c>
    </row>
    <row r="733" spans="1:7" hidden="1">
      <c r="A733" s="199" t="s">
        <v>82</v>
      </c>
      <c r="B733" s="200">
        <v>-1405</v>
      </c>
      <c r="C733" s="200">
        <v>0</v>
      </c>
      <c r="D733" s="201" t="s">
        <v>283</v>
      </c>
      <c r="E733" s="201" t="s">
        <v>317</v>
      </c>
      <c r="F733" s="200" t="s">
        <v>441</v>
      </c>
      <c r="G733" s="200" t="s">
        <v>434</v>
      </c>
    </row>
    <row r="734" spans="1:7">
      <c r="A734" s="199" t="s">
        <v>82</v>
      </c>
      <c r="B734" s="200">
        <v>3229</v>
      </c>
      <c r="C734" s="200">
        <v>0</v>
      </c>
      <c r="D734" s="201" t="s">
        <v>282</v>
      </c>
      <c r="E734" s="201" t="s">
        <v>317</v>
      </c>
      <c r="F734" s="200" t="s">
        <v>394</v>
      </c>
      <c r="G734" s="200" t="s">
        <v>434</v>
      </c>
    </row>
    <row r="735" spans="1:7">
      <c r="A735" s="199" t="s">
        <v>82</v>
      </c>
      <c r="B735" s="200">
        <v>2217</v>
      </c>
      <c r="C735" s="200">
        <v>0</v>
      </c>
      <c r="D735" s="201" t="s">
        <v>282</v>
      </c>
      <c r="E735" s="201" t="s">
        <v>317</v>
      </c>
      <c r="F735" s="200" t="s">
        <v>393</v>
      </c>
      <c r="G735" s="200" t="s">
        <v>434</v>
      </c>
    </row>
    <row r="736" spans="1:7">
      <c r="A736" s="199" t="s">
        <v>82</v>
      </c>
      <c r="B736" s="200">
        <v>-4442</v>
      </c>
      <c r="C736" s="200">
        <v>0</v>
      </c>
      <c r="D736" s="201" t="s">
        <v>282</v>
      </c>
      <c r="E736" s="201" t="s">
        <v>317</v>
      </c>
      <c r="F736" s="200" t="s">
        <v>413</v>
      </c>
      <c r="G736" s="200" t="s">
        <v>434</v>
      </c>
    </row>
    <row r="737" spans="1:7">
      <c r="A737" s="199" t="s">
        <v>82</v>
      </c>
      <c r="B737" s="200">
        <v>-2409</v>
      </c>
      <c r="C737" s="200">
        <v>0</v>
      </c>
      <c r="D737" s="201" t="s">
        <v>282</v>
      </c>
      <c r="E737" s="201" t="s">
        <v>317</v>
      </c>
      <c r="F737" s="200" t="s">
        <v>403</v>
      </c>
      <c r="G737" s="200" t="s">
        <v>434</v>
      </c>
    </row>
    <row r="738" spans="1:7">
      <c r="A738" s="199" t="s">
        <v>82</v>
      </c>
      <c r="B738" s="200">
        <v>1405</v>
      </c>
      <c r="C738" s="200">
        <v>0</v>
      </c>
      <c r="D738" s="201" t="s">
        <v>282</v>
      </c>
      <c r="E738" s="201" t="s">
        <v>317</v>
      </c>
      <c r="F738" s="200" t="s">
        <v>441</v>
      </c>
      <c r="G738" s="200" t="s">
        <v>434</v>
      </c>
    </row>
    <row r="739" spans="1:7" hidden="1">
      <c r="A739" s="199" t="s">
        <v>666</v>
      </c>
      <c r="B739" s="200">
        <v>47</v>
      </c>
      <c r="C739" s="200">
        <v>0</v>
      </c>
      <c r="D739" s="201" t="s">
        <v>283</v>
      </c>
      <c r="E739" s="201" t="s">
        <v>319</v>
      </c>
      <c r="F739" s="200" t="s">
        <v>394</v>
      </c>
      <c r="G739" s="200" t="s">
        <v>434</v>
      </c>
    </row>
    <row r="740" spans="1:7">
      <c r="A740" s="199" t="s">
        <v>666</v>
      </c>
      <c r="B740" s="200">
        <v>-47</v>
      </c>
      <c r="C740" s="200">
        <v>0</v>
      </c>
      <c r="D740" s="201" t="s">
        <v>282</v>
      </c>
      <c r="E740" s="201" t="s">
        <v>319</v>
      </c>
      <c r="F740" s="200" t="s">
        <v>394</v>
      </c>
      <c r="G740" s="200" t="s">
        <v>434</v>
      </c>
    </row>
    <row r="741" spans="1:7">
      <c r="A741" s="199" t="s">
        <v>666</v>
      </c>
      <c r="B741" s="200">
        <v>95</v>
      </c>
      <c r="C741" s="200">
        <v>0</v>
      </c>
      <c r="D741" s="201" t="s">
        <v>282</v>
      </c>
      <c r="E741" s="201" t="s">
        <v>319</v>
      </c>
      <c r="F741" s="200" t="s">
        <v>408</v>
      </c>
      <c r="G741" s="200" t="s">
        <v>434</v>
      </c>
    </row>
    <row r="742" spans="1:7" hidden="1">
      <c r="A742" s="199" t="s">
        <v>667</v>
      </c>
      <c r="B742" s="200">
        <v>-8</v>
      </c>
      <c r="C742" s="200">
        <v>0</v>
      </c>
      <c r="D742" s="201" t="s">
        <v>463</v>
      </c>
      <c r="E742" s="201" t="s">
        <v>668</v>
      </c>
      <c r="F742" s="200" t="s">
        <v>394</v>
      </c>
      <c r="G742" s="200" t="s">
        <v>434</v>
      </c>
    </row>
    <row r="743" spans="1:7">
      <c r="A743" s="199" t="s">
        <v>669</v>
      </c>
      <c r="B743" s="200">
        <v>-2</v>
      </c>
      <c r="C743" s="200">
        <v>0</v>
      </c>
      <c r="D743" s="201" t="s">
        <v>282</v>
      </c>
      <c r="E743" s="201" t="s">
        <v>517</v>
      </c>
      <c r="F743" s="200" t="s">
        <v>394</v>
      </c>
      <c r="G743" s="200" t="s">
        <v>434</v>
      </c>
    </row>
    <row r="744" spans="1:7">
      <c r="A744" s="199" t="s">
        <v>669</v>
      </c>
      <c r="B744" s="200">
        <v>2</v>
      </c>
      <c r="C744" s="200">
        <v>0</v>
      </c>
      <c r="D744" s="201" t="s">
        <v>282</v>
      </c>
      <c r="E744" s="201" t="s">
        <v>517</v>
      </c>
      <c r="F744" s="200" t="s">
        <v>393</v>
      </c>
      <c r="G744" s="200" t="s">
        <v>434</v>
      </c>
    </row>
    <row r="745" spans="1:7" hidden="1">
      <c r="A745" s="199" t="s">
        <v>670</v>
      </c>
      <c r="B745" s="200">
        <v>-31150</v>
      </c>
      <c r="C745" s="200">
        <v>0</v>
      </c>
      <c r="D745" s="201" t="s">
        <v>440</v>
      </c>
      <c r="E745" s="201" t="s">
        <v>439</v>
      </c>
      <c r="F745" s="200" t="s">
        <v>394</v>
      </c>
      <c r="G745" s="200" t="s">
        <v>434</v>
      </c>
    </row>
    <row r="746" spans="1:7" hidden="1">
      <c r="A746" s="199" t="s">
        <v>671</v>
      </c>
      <c r="B746" s="200">
        <v>93000000</v>
      </c>
      <c r="C746" s="200">
        <v>0</v>
      </c>
      <c r="D746" s="201" t="s">
        <v>437</v>
      </c>
      <c r="E746" s="201" t="s">
        <v>672</v>
      </c>
      <c r="F746" s="200" t="s">
        <v>673</v>
      </c>
      <c r="G746" s="200" t="s">
        <v>434</v>
      </c>
    </row>
    <row r="747" spans="1:7" hidden="1">
      <c r="A747" s="199" t="s">
        <v>674</v>
      </c>
      <c r="B747" s="200">
        <v>130200000</v>
      </c>
      <c r="C747" s="200">
        <v>0</v>
      </c>
      <c r="D747" s="201" t="s">
        <v>437</v>
      </c>
      <c r="E747" s="201" t="s">
        <v>672</v>
      </c>
      <c r="F747" s="200" t="s">
        <v>673</v>
      </c>
      <c r="G747" s="200" t="s">
        <v>434</v>
      </c>
    </row>
    <row r="748" spans="1:7" hidden="1">
      <c r="A748" s="199" t="s">
        <v>675</v>
      </c>
      <c r="B748" s="200">
        <v>-93000000</v>
      </c>
      <c r="C748" s="200">
        <v>0</v>
      </c>
      <c r="D748" s="201" t="s">
        <v>437</v>
      </c>
      <c r="E748" s="201" t="s">
        <v>672</v>
      </c>
      <c r="F748" s="200" t="s">
        <v>673</v>
      </c>
      <c r="G748" s="200" t="s">
        <v>434</v>
      </c>
    </row>
    <row r="749" spans="1:7" hidden="1">
      <c r="A749" s="199" t="s">
        <v>676</v>
      </c>
      <c r="B749" s="200">
        <v>-130200000</v>
      </c>
      <c r="C749" s="200">
        <v>0</v>
      </c>
      <c r="D749" s="201" t="s">
        <v>437</v>
      </c>
      <c r="E749" s="201" t="s">
        <v>672</v>
      </c>
      <c r="F749" s="200" t="s">
        <v>673</v>
      </c>
      <c r="G749" s="200" t="s">
        <v>434</v>
      </c>
    </row>
    <row r="750" spans="1:7">
      <c r="A750" s="199" t="s">
        <v>364</v>
      </c>
      <c r="B750" s="200">
        <v>25735</v>
      </c>
      <c r="C750" s="200">
        <v>0</v>
      </c>
      <c r="D750" s="201" t="s">
        <v>282</v>
      </c>
      <c r="E750" s="201" t="s">
        <v>447</v>
      </c>
      <c r="F750" s="200" t="s">
        <v>394</v>
      </c>
      <c r="G750" s="200" t="s">
        <v>434</v>
      </c>
    </row>
    <row r="751" spans="1:7">
      <c r="A751" s="199" t="s">
        <v>364</v>
      </c>
      <c r="B751" s="200">
        <v>-19191</v>
      </c>
      <c r="C751" s="200">
        <v>0</v>
      </c>
      <c r="D751" s="201" t="s">
        <v>282</v>
      </c>
      <c r="E751" s="201" t="s">
        <v>447</v>
      </c>
      <c r="F751" s="200" t="s">
        <v>397</v>
      </c>
      <c r="G751" s="200" t="s">
        <v>434</v>
      </c>
    </row>
    <row r="752" spans="1:7">
      <c r="A752" s="199" t="s">
        <v>364</v>
      </c>
      <c r="B752" s="200">
        <v>-6544</v>
      </c>
      <c r="C752" s="200">
        <v>0</v>
      </c>
      <c r="D752" s="201" t="s">
        <v>282</v>
      </c>
      <c r="E752" s="201" t="s">
        <v>447</v>
      </c>
      <c r="F752" s="200" t="s">
        <v>393</v>
      </c>
      <c r="G752" s="200" t="s">
        <v>434</v>
      </c>
    </row>
    <row r="753" spans="1:7" hidden="1">
      <c r="A753" s="199" t="s">
        <v>87</v>
      </c>
      <c r="B753" s="200">
        <v>1206</v>
      </c>
      <c r="C753" s="200">
        <v>0</v>
      </c>
      <c r="D753" s="201" t="s">
        <v>283</v>
      </c>
      <c r="E753" s="201" t="s">
        <v>317</v>
      </c>
      <c r="F753" s="200" t="s">
        <v>394</v>
      </c>
      <c r="G753" s="200" t="s">
        <v>434</v>
      </c>
    </row>
    <row r="754" spans="1:7" hidden="1">
      <c r="A754" s="199" t="s">
        <v>87</v>
      </c>
      <c r="B754" s="200">
        <v>-1206</v>
      </c>
      <c r="C754" s="200">
        <v>0</v>
      </c>
      <c r="D754" s="201" t="s">
        <v>283</v>
      </c>
      <c r="E754" s="201" t="s">
        <v>317</v>
      </c>
      <c r="F754" s="200" t="s">
        <v>441</v>
      </c>
      <c r="G754" s="200" t="s">
        <v>434</v>
      </c>
    </row>
    <row r="755" spans="1:7">
      <c r="A755" s="199" t="s">
        <v>87</v>
      </c>
      <c r="B755" s="200">
        <v>7260</v>
      </c>
      <c r="C755" s="200">
        <v>0</v>
      </c>
      <c r="D755" s="201" t="s">
        <v>282</v>
      </c>
      <c r="E755" s="201" t="s">
        <v>317</v>
      </c>
      <c r="F755" s="200" t="s">
        <v>394</v>
      </c>
      <c r="G755" s="200" t="s">
        <v>434</v>
      </c>
    </row>
    <row r="756" spans="1:7">
      <c r="A756" s="199" t="s">
        <v>87</v>
      </c>
      <c r="B756" s="200">
        <v>-2970</v>
      </c>
      <c r="C756" s="200">
        <v>0</v>
      </c>
      <c r="D756" s="201" t="s">
        <v>282</v>
      </c>
      <c r="E756" s="201" t="s">
        <v>317</v>
      </c>
      <c r="F756" s="200" t="s">
        <v>393</v>
      </c>
      <c r="G756" s="200" t="s">
        <v>434</v>
      </c>
    </row>
    <row r="757" spans="1:7">
      <c r="A757" s="199" t="s">
        <v>87</v>
      </c>
      <c r="B757" s="200">
        <v>-656</v>
      </c>
      <c r="C757" s="200">
        <v>0</v>
      </c>
      <c r="D757" s="201" t="s">
        <v>282</v>
      </c>
      <c r="E757" s="201" t="s">
        <v>317</v>
      </c>
      <c r="F757" s="200" t="s">
        <v>413</v>
      </c>
      <c r="G757" s="200" t="s">
        <v>434</v>
      </c>
    </row>
    <row r="758" spans="1:7">
      <c r="A758" s="199" t="s">
        <v>87</v>
      </c>
      <c r="B758" s="200">
        <v>-4840</v>
      </c>
      <c r="C758" s="200">
        <v>0</v>
      </c>
      <c r="D758" s="201" t="s">
        <v>282</v>
      </c>
      <c r="E758" s="201" t="s">
        <v>317</v>
      </c>
      <c r="F758" s="200" t="s">
        <v>403</v>
      </c>
      <c r="G758" s="200" t="s">
        <v>434</v>
      </c>
    </row>
    <row r="759" spans="1:7">
      <c r="A759" s="199" t="s">
        <v>87</v>
      </c>
      <c r="B759" s="200">
        <v>1206</v>
      </c>
      <c r="C759" s="200">
        <v>0</v>
      </c>
      <c r="D759" s="201" t="s">
        <v>282</v>
      </c>
      <c r="E759" s="201" t="s">
        <v>317</v>
      </c>
      <c r="F759" s="200" t="s">
        <v>441</v>
      </c>
      <c r="G759" s="200" t="s">
        <v>434</v>
      </c>
    </row>
    <row r="760" spans="1:7" hidden="1">
      <c r="A760" s="199" t="s">
        <v>677</v>
      </c>
      <c r="B760" s="200">
        <v>1298800</v>
      </c>
      <c r="C760" s="200">
        <v>0</v>
      </c>
      <c r="D760" s="201" t="s">
        <v>440</v>
      </c>
      <c r="E760" s="201" t="s">
        <v>39</v>
      </c>
      <c r="F760" s="200" t="s">
        <v>394</v>
      </c>
      <c r="G760" s="200" t="s">
        <v>434</v>
      </c>
    </row>
    <row r="761" spans="1:7" hidden="1">
      <c r="A761" s="199" t="s">
        <v>677</v>
      </c>
      <c r="B761" s="200">
        <v>-109565</v>
      </c>
      <c r="C761" s="200">
        <v>0</v>
      </c>
      <c r="D761" s="201" t="s">
        <v>440</v>
      </c>
      <c r="E761" s="201" t="s">
        <v>39</v>
      </c>
      <c r="F761" s="200" t="s">
        <v>397</v>
      </c>
      <c r="G761" s="200" t="s">
        <v>434</v>
      </c>
    </row>
    <row r="762" spans="1:7" hidden="1">
      <c r="A762" s="199" t="s">
        <v>677</v>
      </c>
      <c r="B762" s="200">
        <v>121000</v>
      </c>
      <c r="C762" s="200">
        <v>0</v>
      </c>
      <c r="D762" s="201" t="s">
        <v>440</v>
      </c>
      <c r="E762" s="201" t="s">
        <v>39</v>
      </c>
      <c r="F762" s="200" t="s">
        <v>441</v>
      </c>
      <c r="G762" s="200" t="s">
        <v>434</v>
      </c>
    </row>
    <row r="763" spans="1:7" hidden="1">
      <c r="A763" s="199" t="s">
        <v>677</v>
      </c>
      <c r="B763" s="200">
        <v>-121000</v>
      </c>
      <c r="C763" s="200">
        <v>0</v>
      </c>
      <c r="D763" s="201" t="s">
        <v>437</v>
      </c>
      <c r="E763" s="201" t="s">
        <v>39</v>
      </c>
      <c r="F763" s="200" t="s">
        <v>441</v>
      </c>
      <c r="G763" s="200" t="s">
        <v>434</v>
      </c>
    </row>
    <row r="764" spans="1:7" hidden="1">
      <c r="A764" s="199" t="s">
        <v>677</v>
      </c>
      <c r="B764" s="200">
        <v>121000</v>
      </c>
      <c r="C764" s="200">
        <v>0</v>
      </c>
      <c r="D764" s="201" t="s">
        <v>437</v>
      </c>
      <c r="E764" s="201" t="s">
        <v>39</v>
      </c>
      <c r="F764" s="200" t="s">
        <v>402</v>
      </c>
      <c r="G764" s="200" t="s">
        <v>434</v>
      </c>
    </row>
    <row r="765" spans="1:7">
      <c r="A765" s="199" t="s">
        <v>678</v>
      </c>
      <c r="B765" s="200">
        <v>10764</v>
      </c>
      <c r="C765" s="200">
        <v>0</v>
      </c>
      <c r="D765" s="201" t="s">
        <v>282</v>
      </c>
      <c r="E765" s="201" t="s">
        <v>317</v>
      </c>
      <c r="F765" s="200" t="s">
        <v>445</v>
      </c>
      <c r="G765" s="200" t="s">
        <v>434</v>
      </c>
    </row>
    <row r="766" spans="1:7">
      <c r="A766" s="199" t="s">
        <v>678</v>
      </c>
      <c r="B766" s="200">
        <v>-10764</v>
      </c>
      <c r="C766" s="200">
        <v>0</v>
      </c>
      <c r="D766" s="201" t="s">
        <v>282</v>
      </c>
      <c r="E766" s="201" t="s">
        <v>317</v>
      </c>
      <c r="F766" s="200" t="s">
        <v>393</v>
      </c>
      <c r="G766" s="200" t="s">
        <v>434</v>
      </c>
    </row>
    <row r="767" spans="1:7">
      <c r="A767" s="199" t="s">
        <v>151</v>
      </c>
      <c r="B767" s="200">
        <v>-31258</v>
      </c>
      <c r="C767" s="200">
        <v>0</v>
      </c>
      <c r="D767" s="201" t="s">
        <v>282</v>
      </c>
      <c r="E767" s="201" t="s">
        <v>317</v>
      </c>
      <c r="F767" s="200" t="s">
        <v>394</v>
      </c>
      <c r="G767" s="200" t="s">
        <v>434</v>
      </c>
    </row>
    <row r="768" spans="1:7">
      <c r="A768" s="199" t="s">
        <v>151</v>
      </c>
      <c r="B768" s="200">
        <v>31258</v>
      </c>
      <c r="C768" s="200">
        <v>0</v>
      </c>
      <c r="D768" s="201" t="s">
        <v>282</v>
      </c>
      <c r="E768" s="201" t="s">
        <v>317</v>
      </c>
      <c r="F768" s="200" t="s">
        <v>411</v>
      </c>
      <c r="G768" s="200" t="s">
        <v>434</v>
      </c>
    </row>
    <row r="769" spans="1:7" hidden="1">
      <c r="A769" s="199" t="s">
        <v>679</v>
      </c>
      <c r="B769" s="200">
        <v>-26784</v>
      </c>
      <c r="C769" s="200">
        <v>0</v>
      </c>
      <c r="D769" s="201" t="s">
        <v>437</v>
      </c>
      <c r="E769" s="201" t="s">
        <v>320</v>
      </c>
      <c r="F769" s="200" t="s">
        <v>394</v>
      </c>
      <c r="G769" s="200" t="s">
        <v>434</v>
      </c>
    </row>
    <row r="770" spans="1:7" hidden="1">
      <c r="A770" s="199" t="s">
        <v>679</v>
      </c>
      <c r="B770" s="200">
        <v>26784</v>
      </c>
      <c r="C770" s="200">
        <v>0</v>
      </c>
      <c r="D770" s="201" t="s">
        <v>437</v>
      </c>
      <c r="E770" s="201" t="s">
        <v>320</v>
      </c>
      <c r="F770" s="200" t="s">
        <v>402</v>
      </c>
      <c r="G770" s="200" t="s">
        <v>434</v>
      </c>
    </row>
    <row r="771" spans="1:7" hidden="1">
      <c r="A771" s="199" t="s">
        <v>88</v>
      </c>
      <c r="B771" s="200">
        <v>46370</v>
      </c>
      <c r="C771" s="200">
        <v>0</v>
      </c>
      <c r="D771" s="201" t="s">
        <v>283</v>
      </c>
      <c r="E771" s="201" t="s">
        <v>320</v>
      </c>
      <c r="F771" s="200" t="s">
        <v>394</v>
      </c>
      <c r="G771" s="200" t="s">
        <v>434</v>
      </c>
    </row>
    <row r="772" spans="1:7" hidden="1">
      <c r="A772" s="199" t="s">
        <v>88</v>
      </c>
      <c r="B772" s="200">
        <v>-46370</v>
      </c>
      <c r="C772" s="200">
        <v>0</v>
      </c>
      <c r="D772" s="201" t="s">
        <v>283</v>
      </c>
      <c r="E772" s="201" t="s">
        <v>320</v>
      </c>
      <c r="F772" s="200" t="s">
        <v>441</v>
      </c>
      <c r="G772" s="200" t="s">
        <v>434</v>
      </c>
    </row>
    <row r="773" spans="1:7">
      <c r="A773" s="199" t="s">
        <v>88</v>
      </c>
      <c r="B773" s="200">
        <v>-57619</v>
      </c>
      <c r="C773" s="200">
        <v>0</v>
      </c>
      <c r="D773" s="201" t="s">
        <v>282</v>
      </c>
      <c r="E773" s="201" t="s">
        <v>320</v>
      </c>
      <c r="F773" s="200" t="s">
        <v>394</v>
      </c>
      <c r="G773" s="200" t="s">
        <v>434</v>
      </c>
    </row>
    <row r="774" spans="1:7">
      <c r="A774" s="199" t="s">
        <v>88</v>
      </c>
      <c r="B774" s="200">
        <v>2675</v>
      </c>
      <c r="C774" s="200">
        <v>0</v>
      </c>
      <c r="D774" s="201" t="s">
        <v>282</v>
      </c>
      <c r="E774" s="201" t="s">
        <v>320</v>
      </c>
      <c r="F774" s="200" t="s">
        <v>445</v>
      </c>
      <c r="G774" s="200" t="s">
        <v>434</v>
      </c>
    </row>
    <row r="775" spans="1:7">
      <c r="A775" s="199" t="s">
        <v>88</v>
      </c>
      <c r="B775" s="200">
        <v>104906</v>
      </c>
      <c r="C775" s="200">
        <v>0</v>
      </c>
      <c r="D775" s="201" t="s">
        <v>282</v>
      </c>
      <c r="E775" s="201" t="s">
        <v>320</v>
      </c>
      <c r="F775" s="200" t="s">
        <v>408</v>
      </c>
      <c r="G775" s="200" t="s">
        <v>434</v>
      </c>
    </row>
    <row r="776" spans="1:7">
      <c r="A776" s="199" t="s">
        <v>88</v>
      </c>
      <c r="B776" s="200">
        <v>-76938</v>
      </c>
      <c r="C776" s="200">
        <v>0</v>
      </c>
      <c r="D776" s="201" t="s">
        <v>282</v>
      </c>
      <c r="E776" s="201" t="s">
        <v>320</v>
      </c>
      <c r="F776" s="200" t="s">
        <v>393</v>
      </c>
      <c r="G776" s="200" t="s">
        <v>434</v>
      </c>
    </row>
    <row r="777" spans="1:7">
      <c r="A777" s="199" t="s">
        <v>88</v>
      </c>
      <c r="B777" s="200">
        <v>-27788</v>
      </c>
      <c r="C777" s="200">
        <v>0</v>
      </c>
      <c r="D777" s="201" t="s">
        <v>282</v>
      </c>
      <c r="E777" s="201" t="s">
        <v>320</v>
      </c>
      <c r="F777" s="200" t="s">
        <v>403</v>
      </c>
      <c r="G777" s="200" t="s">
        <v>434</v>
      </c>
    </row>
    <row r="778" spans="1:7">
      <c r="A778" s="199" t="s">
        <v>88</v>
      </c>
      <c r="B778" s="200">
        <v>46370</v>
      </c>
      <c r="C778" s="200">
        <v>0</v>
      </c>
      <c r="D778" s="201" t="s">
        <v>282</v>
      </c>
      <c r="E778" s="201" t="s">
        <v>320</v>
      </c>
      <c r="F778" s="200" t="s">
        <v>441</v>
      </c>
      <c r="G778" s="200" t="s">
        <v>434</v>
      </c>
    </row>
    <row r="779" spans="1:7">
      <c r="A779" s="199" t="s">
        <v>88</v>
      </c>
      <c r="B779" s="200">
        <v>8394</v>
      </c>
      <c r="C779" s="200">
        <v>0</v>
      </c>
      <c r="D779" s="201" t="s">
        <v>282</v>
      </c>
      <c r="E779" s="201" t="s">
        <v>320</v>
      </c>
      <c r="F779" s="200" t="s">
        <v>411</v>
      </c>
      <c r="G779" s="200" t="s">
        <v>434</v>
      </c>
    </row>
    <row r="780" spans="1:7" hidden="1">
      <c r="A780" s="199" t="s">
        <v>88</v>
      </c>
      <c r="B780" s="200">
        <v>14816</v>
      </c>
      <c r="C780" s="200">
        <v>0</v>
      </c>
      <c r="D780" s="201" t="s">
        <v>442</v>
      </c>
      <c r="E780" s="201" t="s">
        <v>320</v>
      </c>
      <c r="F780" s="200" t="s">
        <v>394</v>
      </c>
      <c r="G780" s="200" t="s">
        <v>434</v>
      </c>
    </row>
    <row r="781" spans="1:7">
      <c r="A781" s="199" t="s">
        <v>680</v>
      </c>
      <c r="B781" s="200">
        <v>185</v>
      </c>
      <c r="C781" s="200">
        <v>0</v>
      </c>
      <c r="D781" s="201" t="s">
        <v>282</v>
      </c>
      <c r="E781" s="201" t="s">
        <v>324</v>
      </c>
      <c r="F781" s="200" t="s">
        <v>408</v>
      </c>
      <c r="G781" s="200" t="s">
        <v>434</v>
      </c>
    </row>
    <row r="782" spans="1:7">
      <c r="A782" s="199" t="s">
        <v>680</v>
      </c>
      <c r="B782" s="200">
        <v>-185</v>
      </c>
      <c r="C782" s="200">
        <v>0</v>
      </c>
      <c r="D782" s="201" t="s">
        <v>282</v>
      </c>
      <c r="E782" s="201" t="s">
        <v>324</v>
      </c>
      <c r="F782" s="200" t="s">
        <v>393</v>
      </c>
      <c r="G782" s="200" t="s">
        <v>434</v>
      </c>
    </row>
    <row r="783" spans="1:7" hidden="1">
      <c r="A783" s="199" t="s">
        <v>681</v>
      </c>
      <c r="B783" s="200">
        <v>-463</v>
      </c>
      <c r="C783" s="200">
        <v>0</v>
      </c>
      <c r="D783" s="201" t="s">
        <v>283</v>
      </c>
      <c r="E783" s="201" t="s">
        <v>324</v>
      </c>
      <c r="F783" s="200" t="s">
        <v>394</v>
      </c>
      <c r="G783" s="200" t="s">
        <v>434</v>
      </c>
    </row>
    <row r="784" spans="1:7" hidden="1">
      <c r="A784" s="199" t="s">
        <v>681</v>
      </c>
      <c r="B784" s="200">
        <v>463</v>
      </c>
      <c r="C784" s="200">
        <v>0</v>
      </c>
      <c r="D784" s="201" t="s">
        <v>283</v>
      </c>
      <c r="E784" s="201" t="s">
        <v>324</v>
      </c>
      <c r="F784" s="200" t="s">
        <v>441</v>
      </c>
      <c r="G784" s="200" t="s">
        <v>434</v>
      </c>
    </row>
    <row r="785" spans="1:7">
      <c r="A785" s="199" t="s">
        <v>681</v>
      </c>
      <c r="B785" s="200">
        <v>1156</v>
      </c>
      <c r="C785" s="200">
        <v>0</v>
      </c>
      <c r="D785" s="201" t="s">
        <v>282</v>
      </c>
      <c r="E785" s="201" t="s">
        <v>324</v>
      </c>
      <c r="F785" s="200" t="s">
        <v>394</v>
      </c>
      <c r="G785" s="200" t="s">
        <v>434</v>
      </c>
    </row>
    <row r="786" spans="1:7">
      <c r="A786" s="199" t="s">
        <v>681</v>
      </c>
      <c r="B786" s="200">
        <v>-1202</v>
      </c>
      <c r="C786" s="200">
        <v>0</v>
      </c>
      <c r="D786" s="201" t="s">
        <v>282</v>
      </c>
      <c r="E786" s="201" t="s">
        <v>324</v>
      </c>
      <c r="F786" s="200" t="s">
        <v>408</v>
      </c>
      <c r="G786" s="200" t="s">
        <v>434</v>
      </c>
    </row>
    <row r="787" spans="1:7">
      <c r="A787" s="199" t="s">
        <v>681</v>
      </c>
      <c r="B787" s="200">
        <v>509</v>
      </c>
      <c r="C787" s="200">
        <v>0</v>
      </c>
      <c r="D787" s="201" t="s">
        <v>282</v>
      </c>
      <c r="E787" s="201" t="s">
        <v>324</v>
      </c>
      <c r="F787" s="200" t="s">
        <v>393</v>
      </c>
      <c r="G787" s="200" t="s">
        <v>434</v>
      </c>
    </row>
    <row r="788" spans="1:7">
      <c r="A788" s="199" t="s">
        <v>681</v>
      </c>
      <c r="B788" s="200">
        <v>-463</v>
      </c>
      <c r="C788" s="200">
        <v>0</v>
      </c>
      <c r="D788" s="201" t="s">
        <v>282</v>
      </c>
      <c r="E788" s="201" t="s">
        <v>324</v>
      </c>
      <c r="F788" s="200" t="s">
        <v>441</v>
      </c>
      <c r="G788" s="200" t="s">
        <v>434</v>
      </c>
    </row>
    <row r="789" spans="1:7" hidden="1">
      <c r="A789" s="199" t="s">
        <v>682</v>
      </c>
      <c r="B789" s="200">
        <v>1390</v>
      </c>
      <c r="C789" s="200">
        <v>0</v>
      </c>
      <c r="D789" s="201" t="s">
        <v>437</v>
      </c>
      <c r="E789" s="201" t="s">
        <v>324</v>
      </c>
      <c r="F789" s="200" t="s">
        <v>394</v>
      </c>
      <c r="G789" s="200" t="s">
        <v>434</v>
      </c>
    </row>
    <row r="790" spans="1:7" hidden="1">
      <c r="A790" s="199" t="s">
        <v>4</v>
      </c>
      <c r="B790" s="200">
        <v>-652760</v>
      </c>
      <c r="C790" s="200">
        <v>0</v>
      </c>
      <c r="D790" s="201" t="s">
        <v>437</v>
      </c>
      <c r="E790" s="201" t="s">
        <v>320</v>
      </c>
      <c r="F790" s="200" t="s">
        <v>394</v>
      </c>
      <c r="G790" s="200" t="s">
        <v>434</v>
      </c>
    </row>
    <row r="791" spans="1:7" hidden="1">
      <c r="A791" s="199" t="s">
        <v>4</v>
      </c>
      <c r="B791" s="200">
        <v>652760</v>
      </c>
      <c r="C791" s="200">
        <v>0</v>
      </c>
      <c r="D791" s="201" t="s">
        <v>437</v>
      </c>
      <c r="E791" s="201" t="s">
        <v>320</v>
      </c>
      <c r="F791" s="200" t="s">
        <v>402</v>
      </c>
      <c r="G791" s="200" t="s">
        <v>434</v>
      </c>
    </row>
    <row r="792" spans="1:7" hidden="1">
      <c r="A792" s="199" t="s">
        <v>4</v>
      </c>
      <c r="B792" s="200">
        <v>-9804</v>
      </c>
      <c r="C792" s="200">
        <v>0</v>
      </c>
      <c r="D792" s="201" t="s">
        <v>442</v>
      </c>
      <c r="E792" s="201" t="s">
        <v>320</v>
      </c>
      <c r="F792" s="200" t="s">
        <v>394</v>
      </c>
      <c r="G792" s="200" t="s">
        <v>434</v>
      </c>
    </row>
    <row r="793" spans="1:7" hidden="1">
      <c r="A793" s="199" t="s">
        <v>142</v>
      </c>
      <c r="B793" s="200">
        <v>-55757</v>
      </c>
      <c r="C793" s="200">
        <v>0</v>
      </c>
      <c r="D793" s="201" t="s">
        <v>283</v>
      </c>
      <c r="E793" s="201" t="s">
        <v>320</v>
      </c>
      <c r="F793" s="200" t="s">
        <v>394</v>
      </c>
      <c r="G793" s="200" t="s">
        <v>434</v>
      </c>
    </row>
    <row r="794" spans="1:7" hidden="1">
      <c r="A794" s="199" t="s">
        <v>142</v>
      </c>
      <c r="B794" s="200">
        <v>55757</v>
      </c>
      <c r="C794" s="200">
        <v>0</v>
      </c>
      <c r="D794" s="201" t="s">
        <v>283</v>
      </c>
      <c r="E794" s="201" t="s">
        <v>320</v>
      </c>
      <c r="F794" s="200" t="s">
        <v>441</v>
      </c>
      <c r="G794" s="200" t="s">
        <v>434</v>
      </c>
    </row>
    <row r="795" spans="1:7">
      <c r="A795" s="199" t="s">
        <v>142</v>
      </c>
      <c r="B795" s="200">
        <v>117685</v>
      </c>
      <c r="C795" s="200">
        <v>0</v>
      </c>
      <c r="D795" s="201" t="s">
        <v>282</v>
      </c>
      <c r="E795" s="201" t="s">
        <v>320</v>
      </c>
      <c r="F795" s="200" t="s">
        <v>394</v>
      </c>
      <c r="G795" s="200" t="s">
        <v>434</v>
      </c>
    </row>
    <row r="796" spans="1:7">
      <c r="A796" s="199" t="s">
        <v>142</v>
      </c>
      <c r="B796" s="200">
        <v>-6943</v>
      </c>
      <c r="C796" s="200">
        <v>0</v>
      </c>
      <c r="D796" s="201" t="s">
        <v>282</v>
      </c>
      <c r="E796" s="201" t="s">
        <v>320</v>
      </c>
      <c r="F796" s="200" t="s">
        <v>393</v>
      </c>
      <c r="G796" s="200" t="s">
        <v>434</v>
      </c>
    </row>
    <row r="797" spans="1:7">
      <c r="A797" s="199" t="s">
        <v>142</v>
      </c>
      <c r="B797" s="200">
        <v>-54985</v>
      </c>
      <c r="C797" s="200">
        <v>0</v>
      </c>
      <c r="D797" s="201" t="s">
        <v>282</v>
      </c>
      <c r="E797" s="201" t="s">
        <v>320</v>
      </c>
      <c r="F797" s="200" t="s">
        <v>403</v>
      </c>
      <c r="G797" s="200" t="s">
        <v>434</v>
      </c>
    </row>
    <row r="798" spans="1:7">
      <c r="A798" s="199" t="s">
        <v>142</v>
      </c>
      <c r="B798" s="200">
        <v>-55757</v>
      </c>
      <c r="C798" s="200">
        <v>0</v>
      </c>
      <c r="D798" s="201" t="s">
        <v>282</v>
      </c>
      <c r="E798" s="201" t="s">
        <v>320</v>
      </c>
      <c r="F798" s="200" t="s">
        <v>441</v>
      </c>
      <c r="G798" s="200" t="s">
        <v>434</v>
      </c>
    </row>
    <row r="799" spans="1:7" hidden="1">
      <c r="A799" s="199" t="s">
        <v>683</v>
      </c>
      <c r="B799" s="200">
        <v>-21251</v>
      </c>
      <c r="C799" s="200">
        <v>0</v>
      </c>
      <c r="D799" s="201" t="s">
        <v>440</v>
      </c>
      <c r="E799" s="201" t="s">
        <v>320</v>
      </c>
      <c r="F799" s="200" t="s">
        <v>394</v>
      </c>
      <c r="G799" s="200" t="s">
        <v>434</v>
      </c>
    </row>
    <row r="800" spans="1:7" hidden="1">
      <c r="A800" s="199" t="s">
        <v>683</v>
      </c>
      <c r="B800" s="200">
        <v>15000</v>
      </c>
      <c r="C800" s="200">
        <v>0</v>
      </c>
      <c r="D800" s="201" t="s">
        <v>440</v>
      </c>
      <c r="E800" s="201" t="s">
        <v>320</v>
      </c>
      <c r="F800" s="200" t="s">
        <v>441</v>
      </c>
      <c r="G800" s="200" t="s">
        <v>434</v>
      </c>
    </row>
    <row r="801" spans="1:7" hidden="1">
      <c r="A801" s="199" t="s">
        <v>683</v>
      </c>
      <c r="B801" s="200">
        <v>15000</v>
      </c>
      <c r="C801" s="200">
        <v>0</v>
      </c>
      <c r="D801" s="201" t="s">
        <v>437</v>
      </c>
      <c r="E801" s="201" t="s">
        <v>320</v>
      </c>
      <c r="F801" s="200" t="s">
        <v>394</v>
      </c>
      <c r="G801" s="200" t="s">
        <v>434</v>
      </c>
    </row>
    <row r="802" spans="1:7" hidden="1">
      <c r="A802" s="199" t="s">
        <v>683</v>
      </c>
      <c r="B802" s="200">
        <v>-15000</v>
      </c>
      <c r="C802" s="200">
        <v>0</v>
      </c>
      <c r="D802" s="201" t="s">
        <v>437</v>
      </c>
      <c r="E802" s="201" t="s">
        <v>320</v>
      </c>
      <c r="F802" s="200" t="s">
        <v>441</v>
      </c>
      <c r="G802" s="200" t="s">
        <v>434</v>
      </c>
    </row>
    <row r="803" spans="1:7" hidden="1">
      <c r="A803" s="199" t="s">
        <v>683</v>
      </c>
      <c r="B803" s="200">
        <v>-5177</v>
      </c>
      <c r="C803" s="200">
        <v>0</v>
      </c>
      <c r="D803" s="201" t="s">
        <v>442</v>
      </c>
      <c r="E803" s="201" t="s">
        <v>320</v>
      </c>
      <c r="F803" s="200" t="s">
        <v>394</v>
      </c>
      <c r="G803" s="200" t="s">
        <v>434</v>
      </c>
    </row>
    <row r="804" spans="1:7" hidden="1">
      <c r="A804" s="199" t="s">
        <v>683</v>
      </c>
      <c r="B804" s="200">
        <v>-4731</v>
      </c>
      <c r="C804" s="200">
        <v>0</v>
      </c>
      <c r="D804" s="201" t="s">
        <v>545</v>
      </c>
      <c r="E804" s="201" t="s">
        <v>320</v>
      </c>
      <c r="F804" s="200" t="s">
        <v>394</v>
      </c>
      <c r="G804" s="200" t="s">
        <v>434</v>
      </c>
    </row>
    <row r="805" spans="1:7" hidden="1">
      <c r="A805" s="199" t="s">
        <v>684</v>
      </c>
      <c r="B805" s="200">
        <v>-627</v>
      </c>
      <c r="C805" s="200">
        <v>0</v>
      </c>
      <c r="D805" s="201" t="s">
        <v>440</v>
      </c>
      <c r="E805" s="201" t="s">
        <v>324</v>
      </c>
      <c r="F805" s="200" t="s">
        <v>394</v>
      </c>
      <c r="G805" s="200" t="s">
        <v>434</v>
      </c>
    </row>
    <row r="806" spans="1:7" hidden="1">
      <c r="A806" s="199" t="s">
        <v>685</v>
      </c>
      <c r="B806" s="200">
        <v>627</v>
      </c>
      <c r="C806" s="200">
        <v>0</v>
      </c>
      <c r="D806" s="201" t="s">
        <v>440</v>
      </c>
      <c r="E806" s="201" t="s">
        <v>324</v>
      </c>
      <c r="F806" s="200" t="s">
        <v>394</v>
      </c>
      <c r="G806" s="200" t="s">
        <v>434</v>
      </c>
    </row>
    <row r="807" spans="1:7" hidden="1">
      <c r="A807" s="199" t="s">
        <v>686</v>
      </c>
      <c r="B807" s="200">
        <v>627</v>
      </c>
      <c r="C807" s="200">
        <v>0</v>
      </c>
      <c r="D807" s="201" t="s">
        <v>440</v>
      </c>
      <c r="E807" s="201" t="s">
        <v>324</v>
      </c>
      <c r="F807" s="200" t="s">
        <v>394</v>
      </c>
      <c r="G807" s="200" t="s">
        <v>434</v>
      </c>
    </row>
    <row r="808" spans="1:7" hidden="1">
      <c r="A808" s="199" t="s">
        <v>402</v>
      </c>
      <c r="B808" s="200">
        <v>408683</v>
      </c>
      <c r="C808" s="200">
        <v>0</v>
      </c>
      <c r="D808" s="201" t="s">
        <v>440</v>
      </c>
      <c r="E808" s="201" t="s">
        <v>317</v>
      </c>
      <c r="F808" s="200" t="s">
        <v>394</v>
      </c>
      <c r="G808" s="200" t="s">
        <v>434</v>
      </c>
    </row>
    <row r="809" spans="1:7" hidden="1">
      <c r="A809" s="199" t="s">
        <v>402</v>
      </c>
      <c r="B809" s="200">
        <v>-94370</v>
      </c>
      <c r="C809" s="200">
        <v>0</v>
      </c>
      <c r="D809" s="201" t="s">
        <v>440</v>
      </c>
      <c r="E809" s="201" t="s">
        <v>317</v>
      </c>
      <c r="F809" s="200" t="s">
        <v>673</v>
      </c>
      <c r="G809" s="200" t="s">
        <v>434</v>
      </c>
    </row>
    <row r="810" spans="1:7" hidden="1">
      <c r="A810" s="199" t="s">
        <v>402</v>
      </c>
      <c r="B810" s="200">
        <v>-126440</v>
      </c>
      <c r="C810" s="200">
        <v>0</v>
      </c>
      <c r="D810" s="201" t="s">
        <v>440</v>
      </c>
      <c r="E810" s="201" t="s">
        <v>317</v>
      </c>
      <c r="F810" s="200" t="s">
        <v>397</v>
      </c>
      <c r="G810" s="200" t="s">
        <v>434</v>
      </c>
    </row>
    <row r="811" spans="1:7" hidden="1">
      <c r="A811" s="199" t="s">
        <v>402</v>
      </c>
      <c r="B811" s="200">
        <v>-48418</v>
      </c>
      <c r="C811" s="200">
        <v>0</v>
      </c>
      <c r="D811" s="201" t="s">
        <v>440</v>
      </c>
      <c r="E811" s="201" t="s">
        <v>317</v>
      </c>
      <c r="F811" s="200" t="s">
        <v>393</v>
      </c>
      <c r="G811" s="200" t="s">
        <v>434</v>
      </c>
    </row>
    <row r="812" spans="1:7" hidden="1">
      <c r="A812" s="199" t="s">
        <v>402</v>
      </c>
      <c r="B812" s="200">
        <v>-94260</v>
      </c>
      <c r="C812" s="200">
        <v>0</v>
      </c>
      <c r="D812" s="201" t="s">
        <v>440</v>
      </c>
      <c r="E812" s="201" t="s">
        <v>317</v>
      </c>
      <c r="F812" s="200" t="s">
        <v>410</v>
      </c>
      <c r="G812" s="200" t="s">
        <v>434</v>
      </c>
    </row>
    <row r="813" spans="1:7" hidden="1">
      <c r="A813" s="199" t="s">
        <v>402</v>
      </c>
      <c r="B813" s="200">
        <v>78422</v>
      </c>
      <c r="C813" s="200">
        <v>0</v>
      </c>
      <c r="D813" s="201" t="s">
        <v>440</v>
      </c>
      <c r="E813" s="201" t="s">
        <v>317</v>
      </c>
      <c r="F813" s="200" t="s">
        <v>407</v>
      </c>
      <c r="G813" s="200" t="s">
        <v>434</v>
      </c>
    </row>
    <row r="814" spans="1:7" hidden="1">
      <c r="A814" s="199" t="s">
        <v>402</v>
      </c>
      <c r="B814" s="200">
        <v>-194600</v>
      </c>
      <c r="C814" s="200">
        <v>0</v>
      </c>
      <c r="D814" s="201" t="s">
        <v>440</v>
      </c>
      <c r="E814" s="201" t="s">
        <v>317</v>
      </c>
      <c r="F814" s="200" t="s">
        <v>441</v>
      </c>
      <c r="G814" s="200" t="s">
        <v>434</v>
      </c>
    </row>
    <row r="815" spans="1:7" hidden="1">
      <c r="A815" s="199" t="s">
        <v>402</v>
      </c>
      <c r="B815" s="200">
        <v>-110224</v>
      </c>
      <c r="C815" s="200">
        <v>0</v>
      </c>
      <c r="D815" s="201" t="s">
        <v>440</v>
      </c>
      <c r="E815" s="201" t="s">
        <v>317</v>
      </c>
      <c r="F815" s="200" t="s">
        <v>411</v>
      </c>
      <c r="G815" s="200" t="s">
        <v>434</v>
      </c>
    </row>
    <row r="816" spans="1:7" hidden="1">
      <c r="A816" s="199" t="s">
        <v>402</v>
      </c>
      <c r="B816" s="200">
        <v>459400</v>
      </c>
      <c r="C816" s="200">
        <v>0</v>
      </c>
      <c r="D816" s="201" t="s">
        <v>440</v>
      </c>
      <c r="E816" s="201" t="s">
        <v>317</v>
      </c>
      <c r="F816" s="200" t="s">
        <v>402</v>
      </c>
      <c r="G816" s="200" t="s">
        <v>434</v>
      </c>
    </row>
    <row r="817" spans="1:7" hidden="1">
      <c r="A817" s="199" t="s">
        <v>402</v>
      </c>
      <c r="B817" s="200">
        <v>-96600</v>
      </c>
      <c r="C817" s="200">
        <v>0</v>
      </c>
      <c r="D817" s="201" t="s">
        <v>437</v>
      </c>
      <c r="E817" s="201" t="s">
        <v>317</v>
      </c>
      <c r="F817" s="200" t="s">
        <v>394</v>
      </c>
      <c r="G817" s="200" t="s">
        <v>434</v>
      </c>
    </row>
    <row r="818" spans="1:7" hidden="1">
      <c r="A818" s="199" t="s">
        <v>402</v>
      </c>
      <c r="B818" s="200">
        <v>96600</v>
      </c>
      <c r="C818" s="200">
        <v>0</v>
      </c>
      <c r="D818" s="201" t="s">
        <v>437</v>
      </c>
      <c r="E818" s="201" t="s">
        <v>317</v>
      </c>
      <c r="F818" s="200" t="s">
        <v>441</v>
      </c>
      <c r="G818" s="200" t="s">
        <v>434</v>
      </c>
    </row>
    <row r="819" spans="1:7" hidden="1">
      <c r="A819" s="199" t="s">
        <v>402</v>
      </c>
      <c r="B819" s="200">
        <v>-31562</v>
      </c>
      <c r="C819" s="200">
        <v>0</v>
      </c>
      <c r="D819" s="201" t="s">
        <v>442</v>
      </c>
      <c r="E819" s="201" t="s">
        <v>317</v>
      </c>
      <c r="F819" s="200" t="s">
        <v>394</v>
      </c>
      <c r="G819" s="200" t="s">
        <v>434</v>
      </c>
    </row>
    <row r="820" spans="1:7" hidden="1">
      <c r="A820" s="199" t="s">
        <v>402</v>
      </c>
      <c r="B820" s="200">
        <v>-34008</v>
      </c>
      <c r="C820" s="200">
        <v>0</v>
      </c>
      <c r="D820" s="201" t="s">
        <v>442</v>
      </c>
      <c r="E820" s="201" t="s">
        <v>317</v>
      </c>
      <c r="F820" s="200" t="s">
        <v>397</v>
      </c>
      <c r="G820" s="200" t="s">
        <v>434</v>
      </c>
    </row>
    <row r="821" spans="1:7" hidden="1">
      <c r="A821" s="199" t="s">
        <v>402</v>
      </c>
      <c r="B821" s="200">
        <v>98000</v>
      </c>
      <c r="C821" s="200">
        <v>0</v>
      </c>
      <c r="D821" s="201" t="s">
        <v>442</v>
      </c>
      <c r="E821" s="201" t="s">
        <v>317</v>
      </c>
      <c r="F821" s="200" t="s">
        <v>441</v>
      </c>
      <c r="G821" s="200" t="s">
        <v>434</v>
      </c>
    </row>
    <row r="822" spans="1:7" hidden="1">
      <c r="A822" s="199" t="s">
        <v>402</v>
      </c>
      <c r="B822" s="200">
        <v>38525</v>
      </c>
      <c r="C822" s="200">
        <v>0</v>
      </c>
      <c r="D822" s="201" t="s">
        <v>545</v>
      </c>
      <c r="E822" s="201" t="s">
        <v>317</v>
      </c>
      <c r="F822" s="200" t="s">
        <v>394</v>
      </c>
      <c r="G822" s="200" t="s">
        <v>434</v>
      </c>
    </row>
    <row r="823" spans="1:7" hidden="1">
      <c r="A823" s="199" t="s">
        <v>402</v>
      </c>
      <c r="B823" s="200">
        <v>-985</v>
      </c>
      <c r="C823" s="200">
        <v>0</v>
      </c>
      <c r="D823" s="201" t="s">
        <v>545</v>
      </c>
      <c r="E823" s="201" t="s">
        <v>317</v>
      </c>
      <c r="F823" s="200" t="s">
        <v>397</v>
      </c>
      <c r="G823" s="200" t="s">
        <v>434</v>
      </c>
    </row>
    <row r="824" spans="1:7" hidden="1">
      <c r="A824" s="199" t="s">
        <v>402</v>
      </c>
      <c r="B824" s="200">
        <v>-37540</v>
      </c>
      <c r="C824" s="200">
        <v>0</v>
      </c>
      <c r="D824" s="201" t="s">
        <v>545</v>
      </c>
      <c r="E824" s="201" t="s">
        <v>317</v>
      </c>
      <c r="F824" s="200" t="s">
        <v>411</v>
      </c>
      <c r="G824" s="200" t="s">
        <v>434</v>
      </c>
    </row>
    <row r="825" spans="1:7" hidden="1">
      <c r="A825" s="199" t="s">
        <v>402</v>
      </c>
      <c r="B825" s="200">
        <v>-186800</v>
      </c>
      <c r="C825" s="200">
        <v>0</v>
      </c>
      <c r="D825" s="201" t="s">
        <v>474</v>
      </c>
      <c r="E825" s="201" t="s">
        <v>317</v>
      </c>
      <c r="F825" s="200" t="s">
        <v>394</v>
      </c>
      <c r="G825" s="200" t="s">
        <v>434</v>
      </c>
    </row>
    <row r="826" spans="1:7" hidden="1">
      <c r="A826" s="199" t="s">
        <v>401</v>
      </c>
      <c r="B826" s="200">
        <v>-11942</v>
      </c>
      <c r="C826" s="200">
        <v>0</v>
      </c>
      <c r="D826" s="201" t="s">
        <v>442</v>
      </c>
      <c r="E826" s="201" t="s">
        <v>320</v>
      </c>
      <c r="F826" s="200" t="s">
        <v>394</v>
      </c>
      <c r="G826" s="200" t="s">
        <v>434</v>
      </c>
    </row>
    <row r="827" spans="1:7">
      <c r="A827" s="199" t="s">
        <v>365</v>
      </c>
      <c r="B827" s="200">
        <v>91590</v>
      </c>
      <c r="C827" s="200">
        <v>0</v>
      </c>
      <c r="D827" s="201" t="s">
        <v>282</v>
      </c>
      <c r="E827" s="201" t="s">
        <v>687</v>
      </c>
      <c r="F827" s="200" t="s">
        <v>394</v>
      </c>
      <c r="G827" s="200" t="s">
        <v>434</v>
      </c>
    </row>
    <row r="828" spans="1:7">
      <c r="A828" s="199" t="s">
        <v>365</v>
      </c>
      <c r="B828" s="200">
        <v>-91590</v>
      </c>
      <c r="C828" s="200">
        <v>0</v>
      </c>
      <c r="D828" s="201" t="s">
        <v>282</v>
      </c>
      <c r="E828" s="201" t="s">
        <v>687</v>
      </c>
      <c r="F828" s="200" t="s">
        <v>393</v>
      </c>
      <c r="G828" s="200" t="s">
        <v>434</v>
      </c>
    </row>
    <row r="829" spans="1:7" hidden="1">
      <c r="A829" s="199" t="s">
        <v>433</v>
      </c>
      <c r="B829" s="200">
        <v>1</v>
      </c>
      <c r="C829" s="200">
        <v>0</v>
      </c>
      <c r="D829" s="201" t="s">
        <v>283</v>
      </c>
      <c r="E829" s="201" t="s">
        <v>315</v>
      </c>
      <c r="F829" s="200" t="s">
        <v>394</v>
      </c>
      <c r="G829" s="200" t="s">
        <v>688</v>
      </c>
    </row>
    <row r="830" spans="1:7">
      <c r="A830" s="199" t="s">
        <v>433</v>
      </c>
      <c r="B830" s="200">
        <v>-1</v>
      </c>
      <c r="C830" s="200">
        <v>0</v>
      </c>
      <c r="D830" s="201" t="s">
        <v>282</v>
      </c>
      <c r="E830" s="201" t="s">
        <v>315</v>
      </c>
      <c r="F830" s="200" t="s">
        <v>394</v>
      </c>
      <c r="G830" s="200" t="s">
        <v>688</v>
      </c>
    </row>
    <row r="831" spans="1:7" hidden="1">
      <c r="A831" s="199" t="s">
        <v>689</v>
      </c>
      <c r="B831" s="200">
        <v>-1</v>
      </c>
      <c r="C831" s="200">
        <v>0</v>
      </c>
      <c r="D831" s="201" t="s">
        <v>283</v>
      </c>
      <c r="E831" s="201" t="s">
        <v>315</v>
      </c>
      <c r="F831" s="200" t="s">
        <v>394</v>
      </c>
      <c r="G831" s="200" t="s">
        <v>688</v>
      </c>
    </row>
    <row r="832" spans="1:7">
      <c r="A832" s="199" t="s">
        <v>689</v>
      </c>
      <c r="B832" s="200">
        <v>1</v>
      </c>
      <c r="C832" s="200">
        <v>0</v>
      </c>
      <c r="D832" s="201" t="s">
        <v>282</v>
      </c>
      <c r="E832" s="201" t="s">
        <v>315</v>
      </c>
      <c r="F832" s="200" t="s">
        <v>394</v>
      </c>
      <c r="G832" s="200" t="s">
        <v>688</v>
      </c>
    </row>
    <row r="833" spans="1:7" hidden="1">
      <c r="A833" s="199" t="s">
        <v>438</v>
      </c>
      <c r="B833" s="200">
        <v>180</v>
      </c>
      <c r="C833" s="200">
        <v>0</v>
      </c>
      <c r="D833" s="201" t="s">
        <v>283</v>
      </c>
      <c r="E833" s="201" t="s">
        <v>439</v>
      </c>
      <c r="F833" s="200" t="s">
        <v>394</v>
      </c>
      <c r="G833" s="200" t="s">
        <v>688</v>
      </c>
    </row>
    <row r="834" spans="1:7">
      <c r="A834" s="199" t="s">
        <v>438</v>
      </c>
      <c r="B834" s="200">
        <v>-180</v>
      </c>
      <c r="C834" s="200">
        <v>0</v>
      </c>
      <c r="D834" s="201" t="s">
        <v>282</v>
      </c>
      <c r="E834" s="201" t="s">
        <v>439</v>
      </c>
      <c r="F834" s="200" t="s">
        <v>394</v>
      </c>
      <c r="G834" s="200" t="s">
        <v>688</v>
      </c>
    </row>
    <row r="835" spans="1:7">
      <c r="A835" s="199" t="s">
        <v>438</v>
      </c>
      <c r="B835" s="200">
        <v>359</v>
      </c>
      <c r="C835" s="200">
        <v>0</v>
      </c>
      <c r="D835" s="201" t="s">
        <v>282</v>
      </c>
      <c r="E835" s="201" t="s">
        <v>439</v>
      </c>
      <c r="F835" s="200" t="s">
        <v>393</v>
      </c>
      <c r="G835" s="200" t="s">
        <v>688</v>
      </c>
    </row>
    <row r="836" spans="1:7" hidden="1">
      <c r="A836" s="199" t="s">
        <v>79</v>
      </c>
      <c r="B836" s="200">
        <v>-630</v>
      </c>
      <c r="C836" s="200">
        <v>0</v>
      </c>
      <c r="D836" s="201" t="s">
        <v>440</v>
      </c>
      <c r="E836" s="201" t="s">
        <v>317</v>
      </c>
      <c r="F836" s="200" t="s">
        <v>394</v>
      </c>
      <c r="G836" s="200" t="s">
        <v>688</v>
      </c>
    </row>
    <row r="837" spans="1:7" hidden="1">
      <c r="A837" s="199" t="s">
        <v>79</v>
      </c>
      <c r="B837" s="200">
        <v>630</v>
      </c>
      <c r="C837" s="200">
        <v>0</v>
      </c>
      <c r="D837" s="201" t="s">
        <v>440</v>
      </c>
      <c r="E837" s="201" t="s">
        <v>317</v>
      </c>
      <c r="F837" s="200" t="s">
        <v>441</v>
      </c>
      <c r="G837" s="200" t="s">
        <v>688</v>
      </c>
    </row>
    <row r="838" spans="1:7" hidden="1">
      <c r="A838" s="199" t="s">
        <v>79</v>
      </c>
      <c r="B838" s="200">
        <v>182</v>
      </c>
      <c r="C838" s="200">
        <v>0</v>
      </c>
      <c r="D838" s="201" t="s">
        <v>283</v>
      </c>
      <c r="E838" s="201" t="s">
        <v>317</v>
      </c>
      <c r="F838" s="200" t="s">
        <v>394</v>
      </c>
      <c r="G838" s="200" t="s">
        <v>688</v>
      </c>
    </row>
    <row r="839" spans="1:7" hidden="1">
      <c r="A839" s="199" t="s">
        <v>79</v>
      </c>
      <c r="B839" s="200">
        <v>-110</v>
      </c>
      <c r="C839" s="200">
        <v>0</v>
      </c>
      <c r="D839" s="201" t="s">
        <v>283</v>
      </c>
      <c r="E839" s="201" t="s">
        <v>317</v>
      </c>
      <c r="F839" s="200" t="s">
        <v>413</v>
      </c>
      <c r="G839" s="200" t="s">
        <v>688</v>
      </c>
    </row>
    <row r="840" spans="1:7" hidden="1">
      <c r="A840" s="199" t="s">
        <v>79</v>
      </c>
      <c r="B840" s="200">
        <v>-72</v>
      </c>
      <c r="C840" s="200">
        <v>0</v>
      </c>
      <c r="D840" s="201" t="s">
        <v>283</v>
      </c>
      <c r="E840" s="201" t="s">
        <v>317</v>
      </c>
      <c r="F840" s="200" t="s">
        <v>441</v>
      </c>
      <c r="G840" s="200" t="s">
        <v>688</v>
      </c>
    </row>
    <row r="841" spans="1:7" hidden="1">
      <c r="A841" s="199" t="s">
        <v>79</v>
      </c>
      <c r="B841" s="200">
        <v>-6610</v>
      </c>
      <c r="C841" s="200">
        <v>0</v>
      </c>
      <c r="D841" s="201" t="s">
        <v>437</v>
      </c>
      <c r="E841" s="201" t="s">
        <v>317</v>
      </c>
      <c r="F841" s="200" t="s">
        <v>394</v>
      </c>
      <c r="G841" s="200" t="s">
        <v>688</v>
      </c>
    </row>
    <row r="842" spans="1:7" hidden="1">
      <c r="A842" s="199" t="s">
        <v>79</v>
      </c>
      <c r="B842" s="200">
        <v>6610</v>
      </c>
      <c r="C842" s="200">
        <v>0</v>
      </c>
      <c r="D842" s="201" t="s">
        <v>437</v>
      </c>
      <c r="E842" s="201" t="s">
        <v>317</v>
      </c>
      <c r="F842" s="200" t="s">
        <v>441</v>
      </c>
      <c r="G842" s="200" t="s">
        <v>688</v>
      </c>
    </row>
    <row r="843" spans="1:7">
      <c r="A843" s="199" t="s">
        <v>79</v>
      </c>
      <c r="B843" s="200">
        <v>7124</v>
      </c>
      <c r="C843" s="200">
        <v>0</v>
      </c>
      <c r="D843" s="201" t="s">
        <v>282</v>
      </c>
      <c r="E843" s="201" t="s">
        <v>317</v>
      </c>
      <c r="F843" s="200" t="s">
        <v>394</v>
      </c>
      <c r="G843" s="200" t="s">
        <v>688</v>
      </c>
    </row>
    <row r="844" spans="1:7">
      <c r="A844" s="199" t="s">
        <v>79</v>
      </c>
      <c r="B844" s="200">
        <v>-31</v>
      </c>
      <c r="C844" s="200">
        <v>0</v>
      </c>
      <c r="D844" s="201" t="s">
        <v>282</v>
      </c>
      <c r="E844" s="201" t="s">
        <v>317</v>
      </c>
      <c r="F844" s="200" t="s">
        <v>393</v>
      </c>
      <c r="G844" s="200" t="s">
        <v>688</v>
      </c>
    </row>
    <row r="845" spans="1:7">
      <c r="A845" s="199" t="s">
        <v>79</v>
      </c>
      <c r="B845" s="200">
        <v>-73</v>
      </c>
      <c r="C845" s="200">
        <v>0</v>
      </c>
      <c r="D845" s="201" t="s">
        <v>282</v>
      </c>
      <c r="E845" s="201" t="s">
        <v>317</v>
      </c>
      <c r="F845" s="200" t="s">
        <v>413</v>
      </c>
      <c r="G845" s="200" t="s">
        <v>688</v>
      </c>
    </row>
    <row r="846" spans="1:7">
      <c r="A846" s="199" t="s">
        <v>79</v>
      </c>
      <c r="B846" s="200">
        <v>74</v>
      </c>
      <c r="C846" s="200">
        <v>0</v>
      </c>
      <c r="D846" s="201" t="s">
        <v>282</v>
      </c>
      <c r="E846" s="201" t="s">
        <v>317</v>
      </c>
      <c r="F846" s="200" t="s">
        <v>403</v>
      </c>
      <c r="G846" s="200" t="s">
        <v>688</v>
      </c>
    </row>
    <row r="847" spans="1:7">
      <c r="A847" s="199" t="s">
        <v>79</v>
      </c>
      <c r="B847" s="200">
        <v>-7168</v>
      </c>
      <c r="C847" s="200">
        <v>0</v>
      </c>
      <c r="D847" s="201" t="s">
        <v>282</v>
      </c>
      <c r="E847" s="201" t="s">
        <v>317</v>
      </c>
      <c r="F847" s="200" t="s">
        <v>441</v>
      </c>
      <c r="G847" s="200" t="s">
        <v>688</v>
      </c>
    </row>
    <row r="848" spans="1:7">
      <c r="A848" s="199" t="s">
        <v>79</v>
      </c>
      <c r="B848" s="200">
        <v>74</v>
      </c>
      <c r="C848" s="200">
        <v>0</v>
      </c>
      <c r="D848" s="201" t="s">
        <v>282</v>
      </c>
      <c r="E848" s="201" t="s">
        <v>317</v>
      </c>
      <c r="F848" s="200" t="s">
        <v>411</v>
      </c>
      <c r="G848" s="200" t="s">
        <v>688</v>
      </c>
    </row>
    <row r="849" spans="1:7" hidden="1">
      <c r="A849" s="199" t="s">
        <v>79</v>
      </c>
      <c r="B849" s="200">
        <v>-64</v>
      </c>
      <c r="C849" s="200">
        <v>0</v>
      </c>
      <c r="D849" s="201" t="s">
        <v>442</v>
      </c>
      <c r="E849" s="201" t="s">
        <v>317</v>
      </c>
      <c r="F849" s="200" t="s">
        <v>394</v>
      </c>
      <c r="G849" s="200" t="s">
        <v>688</v>
      </c>
    </row>
    <row r="850" spans="1:7" hidden="1">
      <c r="A850" s="199" t="s">
        <v>443</v>
      </c>
      <c r="B850" s="200">
        <v>333986</v>
      </c>
      <c r="C850" s="200">
        <v>0</v>
      </c>
      <c r="D850" s="201" t="s">
        <v>440</v>
      </c>
      <c r="E850" s="201" t="s">
        <v>39</v>
      </c>
      <c r="F850" s="200" t="s">
        <v>394</v>
      </c>
      <c r="G850" s="200" t="s">
        <v>688</v>
      </c>
    </row>
    <row r="851" spans="1:7">
      <c r="A851" s="199" t="s">
        <v>444</v>
      </c>
      <c r="B851" s="200">
        <v>1029</v>
      </c>
      <c r="C851" s="200">
        <v>0</v>
      </c>
      <c r="D851" s="201" t="s">
        <v>282</v>
      </c>
      <c r="E851" s="201" t="s">
        <v>317</v>
      </c>
      <c r="F851" s="200" t="s">
        <v>394</v>
      </c>
      <c r="G851" s="200" t="s">
        <v>688</v>
      </c>
    </row>
    <row r="852" spans="1:7">
      <c r="A852" s="199" t="s">
        <v>444</v>
      </c>
      <c r="B852" s="200">
        <v>554</v>
      </c>
      <c r="C852" s="200">
        <v>0</v>
      </c>
      <c r="D852" s="201" t="s">
        <v>282</v>
      </c>
      <c r="E852" s="201" t="s">
        <v>317</v>
      </c>
      <c r="F852" s="200" t="s">
        <v>445</v>
      </c>
      <c r="G852" s="200" t="s">
        <v>688</v>
      </c>
    </row>
    <row r="853" spans="1:7">
      <c r="A853" s="199" t="s">
        <v>444</v>
      </c>
      <c r="B853" s="200">
        <v>-1583</v>
      </c>
      <c r="C853" s="200">
        <v>0</v>
      </c>
      <c r="D853" s="201" t="s">
        <v>282</v>
      </c>
      <c r="E853" s="201" t="s">
        <v>317</v>
      </c>
      <c r="F853" s="200" t="s">
        <v>393</v>
      </c>
      <c r="G853" s="200" t="s">
        <v>688</v>
      </c>
    </row>
    <row r="854" spans="1:7">
      <c r="A854" s="199" t="s">
        <v>446</v>
      </c>
      <c r="B854" s="200">
        <v>-8460</v>
      </c>
      <c r="C854" s="200">
        <v>0</v>
      </c>
      <c r="D854" s="201" t="s">
        <v>282</v>
      </c>
      <c r="E854" s="201" t="s">
        <v>447</v>
      </c>
      <c r="F854" s="200" t="s">
        <v>394</v>
      </c>
      <c r="G854" s="200" t="s">
        <v>688</v>
      </c>
    </row>
    <row r="855" spans="1:7">
      <c r="A855" s="199" t="s">
        <v>446</v>
      </c>
      <c r="B855" s="200">
        <v>8460</v>
      </c>
      <c r="C855" s="200">
        <v>0</v>
      </c>
      <c r="D855" s="201" t="s">
        <v>282</v>
      </c>
      <c r="E855" s="201" t="s">
        <v>447</v>
      </c>
      <c r="F855" s="200" t="s">
        <v>397</v>
      </c>
      <c r="G855" s="200" t="s">
        <v>688</v>
      </c>
    </row>
    <row r="856" spans="1:7">
      <c r="A856" s="199" t="s">
        <v>448</v>
      </c>
      <c r="B856" s="200">
        <v>560</v>
      </c>
      <c r="C856" s="200">
        <v>0</v>
      </c>
      <c r="D856" s="201" t="s">
        <v>282</v>
      </c>
      <c r="E856" s="201" t="s">
        <v>317</v>
      </c>
      <c r="F856" s="200" t="s">
        <v>394</v>
      </c>
      <c r="G856" s="200" t="s">
        <v>688</v>
      </c>
    </row>
    <row r="857" spans="1:7">
      <c r="A857" s="199" t="s">
        <v>448</v>
      </c>
      <c r="B857" s="200">
        <v>-560</v>
      </c>
      <c r="C857" s="200">
        <v>0</v>
      </c>
      <c r="D857" s="201" t="s">
        <v>282</v>
      </c>
      <c r="E857" s="201" t="s">
        <v>317</v>
      </c>
      <c r="F857" s="200" t="s">
        <v>449</v>
      </c>
      <c r="G857" s="200" t="s">
        <v>688</v>
      </c>
    </row>
    <row r="858" spans="1:7" hidden="1">
      <c r="A858" s="199" t="s">
        <v>399</v>
      </c>
      <c r="B858" s="200">
        <v>1615</v>
      </c>
      <c r="C858" s="200">
        <v>0</v>
      </c>
      <c r="D858" s="201" t="s">
        <v>437</v>
      </c>
      <c r="E858" s="201" t="s">
        <v>317</v>
      </c>
      <c r="F858" s="200" t="s">
        <v>394</v>
      </c>
      <c r="G858" s="200" t="s">
        <v>688</v>
      </c>
    </row>
    <row r="859" spans="1:7" hidden="1">
      <c r="A859" s="199" t="s">
        <v>399</v>
      </c>
      <c r="B859" s="200">
        <v>-1615</v>
      </c>
      <c r="C859" s="200">
        <v>0</v>
      </c>
      <c r="D859" s="201" t="s">
        <v>437</v>
      </c>
      <c r="E859" s="201" t="s">
        <v>317</v>
      </c>
      <c r="F859" s="200" t="s">
        <v>441</v>
      </c>
      <c r="G859" s="200" t="s">
        <v>688</v>
      </c>
    </row>
    <row r="860" spans="1:7">
      <c r="A860" s="199" t="s">
        <v>399</v>
      </c>
      <c r="B860" s="200">
        <v>-695</v>
      </c>
      <c r="C860" s="200">
        <v>0</v>
      </c>
      <c r="D860" s="201" t="s">
        <v>282</v>
      </c>
      <c r="E860" s="201" t="s">
        <v>317</v>
      </c>
      <c r="F860" s="200" t="s">
        <v>394</v>
      </c>
      <c r="G860" s="200" t="s">
        <v>688</v>
      </c>
    </row>
    <row r="861" spans="1:7">
      <c r="A861" s="199" t="s">
        <v>399</v>
      </c>
      <c r="B861" s="200">
        <v>-508</v>
      </c>
      <c r="C861" s="200">
        <v>0</v>
      </c>
      <c r="D861" s="201" t="s">
        <v>282</v>
      </c>
      <c r="E861" s="201" t="s">
        <v>317</v>
      </c>
      <c r="F861" s="200" t="s">
        <v>408</v>
      </c>
      <c r="G861" s="200" t="s">
        <v>688</v>
      </c>
    </row>
    <row r="862" spans="1:7">
      <c r="A862" s="199" t="s">
        <v>399</v>
      </c>
      <c r="B862" s="200">
        <v>-390</v>
      </c>
      <c r="C862" s="200">
        <v>0</v>
      </c>
      <c r="D862" s="201" t="s">
        <v>282</v>
      </c>
      <c r="E862" s="201" t="s">
        <v>317</v>
      </c>
      <c r="F862" s="200" t="s">
        <v>393</v>
      </c>
      <c r="G862" s="200" t="s">
        <v>688</v>
      </c>
    </row>
    <row r="863" spans="1:7">
      <c r="A863" s="199" t="s">
        <v>399</v>
      </c>
      <c r="B863" s="200">
        <v>368</v>
      </c>
      <c r="C863" s="200">
        <v>0</v>
      </c>
      <c r="D863" s="201" t="s">
        <v>282</v>
      </c>
      <c r="E863" s="201" t="s">
        <v>317</v>
      </c>
      <c r="F863" s="200" t="s">
        <v>413</v>
      </c>
      <c r="G863" s="200" t="s">
        <v>688</v>
      </c>
    </row>
    <row r="864" spans="1:7">
      <c r="A864" s="199" t="s">
        <v>399</v>
      </c>
      <c r="B864" s="200">
        <v>1615</v>
      </c>
      <c r="C864" s="200">
        <v>0</v>
      </c>
      <c r="D864" s="201" t="s">
        <v>282</v>
      </c>
      <c r="E864" s="201" t="s">
        <v>317</v>
      </c>
      <c r="F864" s="200" t="s">
        <v>441</v>
      </c>
      <c r="G864" s="200" t="s">
        <v>688</v>
      </c>
    </row>
    <row r="865" spans="1:7">
      <c r="A865" s="199" t="s">
        <v>399</v>
      </c>
      <c r="B865" s="200">
        <v>-390</v>
      </c>
      <c r="C865" s="200">
        <v>0</v>
      </c>
      <c r="D865" s="201" t="s">
        <v>282</v>
      </c>
      <c r="E865" s="201" t="s">
        <v>317</v>
      </c>
      <c r="F865" s="200" t="s">
        <v>449</v>
      </c>
      <c r="G865" s="200" t="s">
        <v>688</v>
      </c>
    </row>
    <row r="866" spans="1:7" hidden="1">
      <c r="A866" s="199" t="s">
        <v>399</v>
      </c>
      <c r="B866" s="200">
        <v>154</v>
      </c>
      <c r="C866" s="200">
        <v>0</v>
      </c>
      <c r="D866" s="201" t="s">
        <v>442</v>
      </c>
      <c r="E866" s="201" t="s">
        <v>317</v>
      </c>
      <c r="F866" s="200" t="s">
        <v>394</v>
      </c>
      <c r="G866" s="200" t="s">
        <v>688</v>
      </c>
    </row>
    <row r="867" spans="1:7">
      <c r="A867" s="199" t="s">
        <v>450</v>
      </c>
      <c r="B867" s="200">
        <v>26</v>
      </c>
      <c r="C867" s="200">
        <v>0</v>
      </c>
      <c r="D867" s="201" t="s">
        <v>282</v>
      </c>
      <c r="E867" s="201" t="s">
        <v>319</v>
      </c>
      <c r="F867" s="200" t="s">
        <v>408</v>
      </c>
      <c r="G867" s="200" t="s">
        <v>688</v>
      </c>
    </row>
    <row r="868" spans="1:7">
      <c r="A868" s="199" t="s">
        <v>450</v>
      </c>
      <c r="B868" s="200">
        <v>-26</v>
      </c>
      <c r="C868" s="200">
        <v>0</v>
      </c>
      <c r="D868" s="201" t="s">
        <v>282</v>
      </c>
      <c r="E868" s="201" t="s">
        <v>319</v>
      </c>
      <c r="F868" s="200" t="s">
        <v>393</v>
      </c>
      <c r="G868" s="200" t="s">
        <v>688</v>
      </c>
    </row>
    <row r="869" spans="1:7">
      <c r="A869" s="199" t="s">
        <v>451</v>
      </c>
      <c r="B869" s="200">
        <v>-26</v>
      </c>
      <c r="C869" s="200">
        <v>0</v>
      </c>
      <c r="D869" s="201" t="s">
        <v>282</v>
      </c>
      <c r="E869" s="201" t="s">
        <v>319</v>
      </c>
      <c r="F869" s="200" t="s">
        <v>408</v>
      </c>
      <c r="G869" s="200" t="s">
        <v>688</v>
      </c>
    </row>
    <row r="870" spans="1:7">
      <c r="A870" s="199" t="s">
        <v>451</v>
      </c>
      <c r="B870" s="200">
        <v>26</v>
      </c>
      <c r="C870" s="200">
        <v>0</v>
      </c>
      <c r="D870" s="201" t="s">
        <v>282</v>
      </c>
      <c r="E870" s="201" t="s">
        <v>319</v>
      </c>
      <c r="F870" s="200" t="s">
        <v>393</v>
      </c>
      <c r="G870" s="200" t="s">
        <v>688</v>
      </c>
    </row>
    <row r="871" spans="1:7" hidden="1">
      <c r="A871" s="199" t="s">
        <v>452</v>
      </c>
      <c r="B871" s="200">
        <v>2552</v>
      </c>
      <c r="C871" s="200">
        <v>0</v>
      </c>
      <c r="D871" s="201" t="s">
        <v>442</v>
      </c>
      <c r="E871" s="201" t="s">
        <v>317</v>
      </c>
      <c r="F871" s="200" t="s">
        <v>394</v>
      </c>
      <c r="G871" s="200" t="s">
        <v>688</v>
      </c>
    </row>
    <row r="872" spans="1:7" hidden="1">
      <c r="A872" s="199" t="s">
        <v>38</v>
      </c>
      <c r="B872" s="200">
        <v>363</v>
      </c>
      <c r="C872" s="200">
        <v>0</v>
      </c>
      <c r="D872" s="201" t="s">
        <v>283</v>
      </c>
      <c r="E872" s="201" t="s">
        <v>320</v>
      </c>
      <c r="F872" s="200" t="s">
        <v>394</v>
      </c>
      <c r="G872" s="200" t="s">
        <v>688</v>
      </c>
    </row>
    <row r="873" spans="1:7" hidden="1">
      <c r="A873" s="199" t="s">
        <v>38</v>
      </c>
      <c r="B873" s="200">
        <v>-363</v>
      </c>
      <c r="C873" s="200">
        <v>0</v>
      </c>
      <c r="D873" s="201" t="s">
        <v>283</v>
      </c>
      <c r="E873" s="201" t="s">
        <v>320</v>
      </c>
      <c r="F873" s="200" t="s">
        <v>408</v>
      </c>
      <c r="G873" s="200" t="s">
        <v>688</v>
      </c>
    </row>
    <row r="874" spans="1:7">
      <c r="A874" s="199" t="s">
        <v>38</v>
      </c>
      <c r="B874" s="200">
        <v>363</v>
      </c>
      <c r="C874" s="200">
        <v>0</v>
      </c>
      <c r="D874" s="201" t="s">
        <v>282</v>
      </c>
      <c r="E874" s="201" t="s">
        <v>320</v>
      </c>
      <c r="F874" s="200" t="s">
        <v>394</v>
      </c>
      <c r="G874" s="200" t="s">
        <v>688</v>
      </c>
    </row>
    <row r="875" spans="1:7">
      <c r="A875" s="199" t="s">
        <v>38</v>
      </c>
      <c r="B875" s="200">
        <v>-363</v>
      </c>
      <c r="C875" s="200">
        <v>0</v>
      </c>
      <c r="D875" s="201" t="s">
        <v>282</v>
      </c>
      <c r="E875" s="201" t="s">
        <v>320</v>
      </c>
      <c r="F875" s="200" t="s">
        <v>408</v>
      </c>
      <c r="G875" s="200" t="s">
        <v>688</v>
      </c>
    </row>
    <row r="876" spans="1:7" hidden="1">
      <c r="A876" s="199" t="s">
        <v>38</v>
      </c>
      <c r="B876" s="200">
        <v>1428</v>
      </c>
      <c r="C876" s="200">
        <v>0</v>
      </c>
      <c r="D876" s="201" t="s">
        <v>442</v>
      </c>
      <c r="E876" s="201" t="s">
        <v>320</v>
      </c>
      <c r="F876" s="200" t="s">
        <v>394</v>
      </c>
      <c r="G876" s="200" t="s">
        <v>688</v>
      </c>
    </row>
    <row r="877" spans="1:7" hidden="1">
      <c r="A877" s="199" t="s">
        <v>453</v>
      </c>
      <c r="B877" s="200">
        <v>643</v>
      </c>
      <c r="C877" s="200">
        <v>0</v>
      </c>
      <c r="D877" s="201" t="s">
        <v>437</v>
      </c>
      <c r="E877" s="201" t="s">
        <v>324</v>
      </c>
      <c r="F877" s="200" t="s">
        <v>394</v>
      </c>
      <c r="G877" s="200" t="s">
        <v>688</v>
      </c>
    </row>
    <row r="878" spans="1:7" hidden="1">
      <c r="A878" s="199" t="s">
        <v>454</v>
      </c>
      <c r="B878" s="200">
        <v>-643</v>
      </c>
      <c r="C878" s="200">
        <v>0</v>
      </c>
      <c r="D878" s="201" t="s">
        <v>437</v>
      </c>
      <c r="E878" s="201" t="s">
        <v>324</v>
      </c>
      <c r="F878" s="200" t="s">
        <v>394</v>
      </c>
      <c r="G878" s="200" t="s">
        <v>688</v>
      </c>
    </row>
    <row r="879" spans="1:7" hidden="1">
      <c r="A879" s="199" t="s">
        <v>455</v>
      </c>
      <c r="B879" s="200">
        <v>411</v>
      </c>
      <c r="C879" s="200">
        <v>0</v>
      </c>
      <c r="D879" s="201" t="s">
        <v>283</v>
      </c>
      <c r="E879" s="201" t="s">
        <v>324</v>
      </c>
      <c r="F879" s="200" t="s">
        <v>394</v>
      </c>
      <c r="G879" s="200" t="s">
        <v>688</v>
      </c>
    </row>
    <row r="880" spans="1:7" hidden="1">
      <c r="A880" s="199" t="s">
        <v>455</v>
      </c>
      <c r="B880" s="200">
        <v>27</v>
      </c>
      <c r="C880" s="200">
        <v>0</v>
      </c>
      <c r="D880" s="201" t="s">
        <v>283</v>
      </c>
      <c r="E880" s="201" t="s">
        <v>324</v>
      </c>
      <c r="F880" s="200" t="s">
        <v>408</v>
      </c>
      <c r="G880" s="200" t="s">
        <v>688</v>
      </c>
    </row>
    <row r="881" spans="1:7">
      <c r="A881" s="199" t="s">
        <v>455</v>
      </c>
      <c r="B881" s="200">
        <v>-65</v>
      </c>
      <c r="C881" s="200">
        <v>0</v>
      </c>
      <c r="D881" s="201" t="s">
        <v>282</v>
      </c>
      <c r="E881" s="201" t="s">
        <v>324</v>
      </c>
      <c r="F881" s="200" t="s">
        <v>394</v>
      </c>
      <c r="G881" s="200" t="s">
        <v>688</v>
      </c>
    </row>
    <row r="882" spans="1:7">
      <c r="A882" s="199" t="s">
        <v>455</v>
      </c>
      <c r="B882" s="200">
        <v>503</v>
      </c>
      <c r="C882" s="200">
        <v>0</v>
      </c>
      <c r="D882" s="201" t="s">
        <v>282</v>
      </c>
      <c r="E882" s="201" t="s">
        <v>324</v>
      </c>
      <c r="F882" s="200" t="s">
        <v>408</v>
      </c>
      <c r="G882" s="200" t="s">
        <v>688</v>
      </c>
    </row>
    <row r="883" spans="1:7" hidden="1">
      <c r="A883" s="199" t="s">
        <v>456</v>
      </c>
      <c r="B883" s="200">
        <v>-411</v>
      </c>
      <c r="C883" s="200">
        <v>0</v>
      </c>
      <c r="D883" s="201" t="s">
        <v>283</v>
      </c>
      <c r="E883" s="201" t="s">
        <v>324</v>
      </c>
      <c r="F883" s="200" t="s">
        <v>394</v>
      </c>
      <c r="G883" s="200" t="s">
        <v>688</v>
      </c>
    </row>
    <row r="884" spans="1:7" hidden="1">
      <c r="A884" s="199" t="s">
        <v>456</v>
      </c>
      <c r="B884" s="200">
        <v>-27</v>
      </c>
      <c r="C884" s="200">
        <v>0</v>
      </c>
      <c r="D884" s="201" t="s">
        <v>283</v>
      </c>
      <c r="E884" s="201" t="s">
        <v>324</v>
      </c>
      <c r="F884" s="200" t="s">
        <v>408</v>
      </c>
      <c r="G884" s="200" t="s">
        <v>688</v>
      </c>
    </row>
    <row r="885" spans="1:7">
      <c r="A885" s="199" t="s">
        <v>456</v>
      </c>
      <c r="B885" s="200">
        <v>65</v>
      </c>
      <c r="C885" s="200">
        <v>0</v>
      </c>
      <c r="D885" s="201" t="s">
        <v>282</v>
      </c>
      <c r="E885" s="201" t="s">
        <v>324</v>
      </c>
      <c r="F885" s="200" t="s">
        <v>394</v>
      </c>
      <c r="G885" s="200" t="s">
        <v>688</v>
      </c>
    </row>
    <row r="886" spans="1:7">
      <c r="A886" s="199" t="s">
        <v>456</v>
      </c>
      <c r="B886" s="200">
        <v>-503</v>
      </c>
      <c r="C886" s="200">
        <v>0</v>
      </c>
      <c r="D886" s="201" t="s">
        <v>282</v>
      </c>
      <c r="E886" s="201" t="s">
        <v>324</v>
      </c>
      <c r="F886" s="200" t="s">
        <v>408</v>
      </c>
      <c r="G886" s="200" t="s">
        <v>688</v>
      </c>
    </row>
    <row r="887" spans="1:7">
      <c r="A887" s="199" t="s">
        <v>457</v>
      </c>
      <c r="B887" s="200">
        <v>-65</v>
      </c>
      <c r="C887" s="200">
        <v>0</v>
      </c>
      <c r="D887" s="201" t="s">
        <v>282</v>
      </c>
      <c r="E887" s="201" t="s">
        <v>39</v>
      </c>
      <c r="F887" s="200" t="s">
        <v>394</v>
      </c>
      <c r="G887" s="200" t="s">
        <v>688</v>
      </c>
    </row>
    <row r="888" spans="1:7">
      <c r="A888" s="199" t="s">
        <v>457</v>
      </c>
      <c r="B888" s="200">
        <v>65</v>
      </c>
      <c r="C888" s="200">
        <v>0</v>
      </c>
      <c r="D888" s="201" t="s">
        <v>282</v>
      </c>
      <c r="E888" s="201" t="s">
        <v>39</v>
      </c>
      <c r="F888" s="200" t="s">
        <v>393</v>
      </c>
      <c r="G888" s="200" t="s">
        <v>688</v>
      </c>
    </row>
    <row r="889" spans="1:7" hidden="1">
      <c r="A889" s="199" t="s">
        <v>137</v>
      </c>
      <c r="B889" s="200">
        <v>227</v>
      </c>
      <c r="C889" s="200">
        <v>0</v>
      </c>
      <c r="D889" s="201" t="s">
        <v>283</v>
      </c>
      <c r="E889" s="201" t="s">
        <v>317</v>
      </c>
      <c r="F889" s="200" t="s">
        <v>394</v>
      </c>
      <c r="G889" s="200" t="s">
        <v>688</v>
      </c>
    </row>
    <row r="890" spans="1:7" hidden="1">
      <c r="A890" s="199" t="s">
        <v>137</v>
      </c>
      <c r="B890" s="200">
        <v>-40</v>
      </c>
      <c r="C890" s="200">
        <v>0</v>
      </c>
      <c r="D890" s="201" t="s">
        <v>283</v>
      </c>
      <c r="E890" s="201" t="s">
        <v>317</v>
      </c>
      <c r="F890" s="200" t="s">
        <v>397</v>
      </c>
      <c r="G890" s="200" t="s">
        <v>688</v>
      </c>
    </row>
    <row r="891" spans="1:7" hidden="1">
      <c r="A891" s="199" t="s">
        <v>137</v>
      </c>
      <c r="B891" s="200">
        <v>55</v>
      </c>
      <c r="C891" s="200">
        <v>0</v>
      </c>
      <c r="D891" s="201" t="s">
        <v>283</v>
      </c>
      <c r="E891" s="201" t="s">
        <v>317</v>
      </c>
      <c r="F891" s="200" t="s">
        <v>413</v>
      </c>
      <c r="G891" s="200" t="s">
        <v>688</v>
      </c>
    </row>
    <row r="892" spans="1:7" hidden="1">
      <c r="A892" s="199" t="s">
        <v>137</v>
      </c>
      <c r="B892" s="200">
        <v>-241</v>
      </c>
      <c r="C892" s="200">
        <v>0</v>
      </c>
      <c r="D892" s="201" t="s">
        <v>283</v>
      </c>
      <c r="E892" s="201" t="s">
        <v>317</v>
      </c>
      <c r="F892" s="200" t="s">
        <v>441</v>
      </c>
      <c r="G892" s="200" t="s">
        <v>688</v>
      </c>
    </row>
    <row r="893" spans="1:7">
      <c r="A893" s="199" t="s">
        <v>137</v>
      </c>
      <c r="B893" s="200">
        <v>-104</v>
      </c>
      <c r="C893" s="200">
        <v>0</v>
      </c>
      <c r="D893" s="201" t="s">
        <v>282</v>
      </c>
      <c r="E893" s="201" t="s">
        <v>317</v>
      </c>
      <c r="F893" s="200" t="s">
        <v>394</v>
      </c>
      <c r="G893" s="200" t="s">
        <v>688</v>
      </c>
    </row>
    <row r="894" spans="1:7">
      <c r="A894" s="199" t="s">
        <v>137</v>
      </c>
      <c r="B894" s="200">
        <v>-340</v>
      </c>
      <c r="C894" s="200">
        <v>0</v>
      </c>
      <c r="D894" s="201" t="s">
        <v>282</v>
      </c>
      <c r="E894" s="201" t="s">
        <v>317</v>
      </c>
      <c r="F894" s="200" t="s">
        <v>445</v>
      </c>
      <c r="G894" s="200" t="s">
        <v>688</v>
      </c>
    </row>
    <row r="895" spans="1:7">
      <c r="A895" s="199" t="s">
        <v>137</v>
      </c>
      <c r="B895" s="200">
        <v>159</v>
      </c>
      <c r="C895" s="200">
        <v>0</v>
      </c>
      <c r="D895" s="201" t="s">
        <v>282</v>
      </c>
      <c r="E895" s="201" t="s">
        <v>317</v>
      </c>
      <c r="F895" s="200" t="s">
        <v>408</v>
      </c>
      <c r="G895" s="200" t="s">
        <v>688</v>
      </c>
    </row>
    <row r="896" spans="1:7">
      <c r="A896" s="199" t="s">
        <v>137</v>
      </c>
      <c r="B896" s="200">
        <v>318</v>
      </c>
      <c r="C896" s="200">
        <v>0</v>
      </c>
      <c r="D896" s="201" t="s">
        <v>282</v>
      </c>
      <c r="E896" s="201" t="s">
        <v>317</v>
      </c>
      <c r="F896" s="200" t="s">
        <v>393</v>
      </c>
      <c r="G896" s="200" t="s">
        <v>688</v>
      </c>
    </row>
    <row r="897" spans="1:7">
      <c r="A897" s="199" t="s">
        <v>137</v>
      </c>
      <c r="B897" s="200">
        <v>142</v>
      </c>
      <c r="C897" s="200">
        <v>0</v>
      </c>
      <c r="D897" s="201" t="s">
        <v>282</v>
      </c>
      <c r="E897" s="201" t="s">
        <v>317</v>
      </c>
      <c r="F897" s="200" t="s">
        <v>413</v>
      </c>
      <c r="G897" s="200" t="s">
        <v>688</v>
      </c>
    </row>
    <row r="898" spans="1:7">
      <c r="A898" s="199" t="s">
        <v>137</v>
      </c>
      <c r="B898" s="200">
        <v>-307</v>
      </c>
      <c r="C898" s="200">
        <v>0</v>
      </c>
      <c r="D898" s="201" t="s">
        <v>282</v>
      </c>
      <c r="E898" s="201" t="s">
        <v>317</v>
      </c>
      <c r="F898" s="200" t="s">
        <v>403</v>
      </c>
      <c r="G898" s="200" t="s">
        <v>688</v>
      </c>
    </row>
    <row r="899" spans="1:7">
      <c r="A899" s="199" t="s">
        <v>137</v>
      </c>
      <c r="B899" s="200">
        <v>241</v>
      </c>
      <c r="C899" s="200">
        <v>0</v>
      </c>
      <c r="D899" s="201" t="s">
        <v>282</v>
      </c>
      <c r="E899" s="201" t="s">
        <v>317</v>
      </c>
      <c r="F899" s="200" t="s">
        <v>441</v>
      </c>
      <c r="G899" s="200" t="s">
        <v>688</v>
      </c>
    </row>
    <row r="900" spans="1:7">
      <c r="A900" s="199" t="s">
        <v>137</v>
      </c>
      <c r="B900" s="200">
        <v>-110</v>
      </c>
      <c r="C900" s="200">
        <v>0</v>
      </c>
      <c r="D900" s="201" t="s">
        <v>282</v>
      </c>
      <c r="E900" s="201" t="s">
        <v>317</v>
      </c>
      <c r="F900" s="200" t="s">
        <v>449</v>
      </c>
      <c r="G900" s="200" t="s">
        <v>688</v>
      </c>
    </row>
    <row r="901" spans="1:7">
      <c r="A901" s="199" t="s">
        <v>458</v>
      </c>
      <c r="B901" s="200">
        <v>9</v>
      </c>
      <c r="C901" s="200">
        <v>0</v>
      </c>
      <c r="D901" s="201" t="s">
        <v>282</v>
      </c>
      <c r="E901" s="201" t="s">
        <v>319</v>
      </c>
      <c r="F901" s="200" t="s">
        <v>394</v>
      </c>
      <c r="G901" s="200" t="s">
        <v>688</v>
      </c>
    </row>
    <row r="902" spans="1:7">
      <c r="A902" s="199" t="s">
        <v>458</v>
      </c>
      <c r="B902" s="200">
        <v>-9</v>
      </c>
      <c r="C902" s="200">
        <v>0</v>
      </c>
      <c r="D902" s="201" t="s">
        <v>282</v>
      </c>
      <c r="E902" s="201" t="s">
        <v>319</v>
      </c>
      <c r="F902" s="200" t="s">
        <v>408</v>
      </c>
      <c r="G902" s="200" t="s">
        <v>688</v>
      </c>
    </row>
    <row r="903" spans="1:7">
      <c r="A903" s="199" t="s">
        <v>459</v>
      </c>
      <c r="B903" s="200">
        <v>-9</v>
      </c>
      <c r="C903" s="200">
        <v>0</v>
      </c>
      <c r="D903" s="201" t="s">
        <v>282</v>
      </c>
      <c r="E903" s="201" t="s">
        <v>319</v>
      </c>
      <c r="F903" s="200" t="s">
        <v>394</v>
      </c>
      <c r="G903" s="200" t="s">
        <v>688</v>
      </c>
    </row>
    <row r="904" spans="1:7">
      <c r="A904" s="199" t="s">
        <v>459</v>
      </c>
      <c r="B904" s="200">
        <v>9</v>
      </c>
      <c r="C904" s="200">
        <v>0</v>
      </c>
      <c r="D904" s="201" t="s">
        <v>282</v>
      </c>
      <c r="E904" s="201" t="s">
        <v>319</v>
      </c>
      <c r="F904" s="200" t="s">
        <v>408</v>
      </c>
      <c r="G904" s="200" t="s">
        <v>688</v>
      </c>
    </row>
    <row r="905" spans="1:7">
      <c r="A905" s="199" t="s">
        <v>460</v>
      </c>
      <c r="B905" s="200">
        <v>199</v>
      </c>
      <c r="C905" s="200">
        <v>0</v>
      </c>
      <c r="D905" s="201" t="s">
        <v>282</v>
      </c>
      <c r="E905" s="201" t="s">
        <v>317</v>
      </c>
      <c r="F905" s="200" t="s">
        <v>394</v>
      </c>
      <c r="G905" s="200" t="s">
        <v>688</v>
      </c>
    </row>
    <row r="906" spans="1:7">
      <c r="A906" s="199" t="s">
        <v>460</v>
      </c>
      <c r="B906" s="200">
        <v>697</v>
      </c>
      <c r="C906" s="200">
        <v>0</v>
      </c>
      <c r="D906" s="201" t="s">
        <v>282</v>
      </c>
      <c r="E906" s="201" t="s">
        <v>317</v>
      </c>
      <c r="F906" s="200" t="s">
        <v>445</v>
      </c>
      <c r="G906" s="200" t="s">
        <v>688</v>
      </c>
    </row>
    <row r="907" spans="1:7">
      <c r="A907" s="199" t="s">
        <v>460</v>
      </c>
      <c r="B907" s="200">
        <v>-705</v>
      </c>
      <c r="C907" s="200">
        <v>0</v>
      </c>
      <c r="D907" s="201" t="s">
        <v>282</v>
      </c>
      <c r="E907" s="201" t="s">
        <v>317</v>
      </c>
      <c r="F907" s="200" t="s">
        <v>397</v>
      </c>
      <c r="G907" s="200" t="s">
        <v>688</v>
      </c>
    </row>
    <row r="908" spans="1:7">
      <c r="A908" s="199" t="s">
        <v>460</v>
      </c>
      <c r="B908" s="200">
        <v>-191</v>
      </c>
      <c r="C908" s="200">
        <v>0</v>
      </c>
      <c r="D908" s="201" t="s">
        <v>282</v>
      </c>
      <c r="E908" s="201" t="s">
        <v>317</v>
      </c>
      <c r="F908" s="200" t="s">
        <v>393</v>
      </c>
      <c r="G908" s="200" t="s">
        <v>688</v>
      </c>
    </row>
    <row r="909" spans="1:7">
      <c r="A909" s="199" t="s">
        <v>461</v>
      </c>
      <c r="B909" s="200">
        <v>426</v>
      </c>
      <c r="C909" s="200">
        <v>0</v>
      </c>
      <c r="D909" s="201" t="s">
        <v>282</v>
      </c>
      <c r="E909" s="201" t="s">
        <v>39</v>
      </c>
      <c r="F909" s="200" t="s">
        <v>394</v>
      </c>
      <c r="G909" s="200" t="s">
        <v>688</v>
      </c>
    </row>
    <row r="910" spans="1:7">
      <c r="A910" s="199" t="s">
        <v>461</v>
      </c>
      <c r="B910" s="200">
        <v>-572</v>
      </c>
      <c r="C910" s="200">
        <v>0</v>
      </c>
      <c r="D910" s="201" t="s">
        <v>282</v>
      </c>
      <c r="E910" s="201" t="s">
        <v>39</v>
      </c>
      <c r="F910" s="200" t="s">
        <v>445</v>
      </c>
      <c r="G910" s="200" t="s">
        <v>688</v>
      </c>
    </row>
    <row r="911" spans="1:7">
      <c r="A911" s="199" t="s">
        <v>461</v>
      </c>
      <c r="B911" s="200">
        <v>146</v>
      </c>
      <c r="C911" s="200">
        <v>0</v>
      </c>
      <c r="D911" s="201" t="s">
        <v>282</v>
      </c>
      <c r="E911" s="201" t="s">
        <v>39</v>
      </c>
      <c r="F911" s="200" t="s">
        <v>393</v>
      </c>
      <c r="G911" s="200" t="s">
        <v>688</v>
      </c>
    </row>
    <row r="912" spans="1:7">
      <c r="A912" s="199" t="s">
        <v>465</v>
      </c>
      <c r="B912" s="200">
        <v>649</v>
      </c>
      <c r="C912" s="200">
        <v>0</v>
      </c>
      <c r="D912" s="201" t="s">
        <v>282</v>
      </c>
      <c r="E912" s="201" t="s">
        <v>317</v>
      </c>
      <c r="F912" s="200" t="s">
        <v>394</v>
      </c>
      <c r="G912" s="200" t="s">
        <v>688</v>
      </c>
    </row>
    <row r="913" spans="1:7">
      <c r="A913" s="199" t="s">
        <v>465</v>
      </c>
      <c r="B913" s="200">
        <v>-1262</v>
      </c>
      <c r="C913" s="200">
        <v>0</v>
      </c>
      <c r="D913" s="201" t="s">
        <v>282</v>
      </c>
      <c r="E913" s="201" t="s">
        <v>317</v>
      </c>
      <c r="F913" s="200" t="s">
        <v>445</v>
      </c>
      <c r="G913" s="200" t="s">
        <v>688</v>
      </c>
    </row>
    <row r="914" spans="1:7">
      <c r="A914" s="199" t="s">
        <v>465</v>
      </c>
      <c r="B914" s="200">
        <v>613</v>
      </c>
      <c r="C914" s="200">
        <v>0</v>
      </c>
      <c r="D914" s="201" t="s">
        <v>282</v>
      </c>
      <c r="E914" s="201" t="s">
        <v>317</v>
      </c>
      <c r="F914" s="200" t="s">
        <v>393</v>
      </c>
      <c r="G914" s="200" t="s">
        <v>688</v>
      </c>
    </row>
    <row r="915" spans="1:7">
      <c r="A915" s="199" t="s">
        <v>128</v>
      </c>
      <c r="B915" s="200">
        <v>-8</v>
      </c>
      <c r="C915" s="200">
        <v>0</v>
      </c>
      <c r="D915" s="201" t="s">
        <v>282</v>
      </c>
      <c r="E915" s="201" t="s">
        <v>317</v>
      </c>
      <c r="F915" s="200" t="s">
        <v>394</v>
      </c>
      <c r="G915" s="200" t="s">
        <v>688</v>
      </c>
    </row>
    <row r="916" spans="1:7">
      <c r="A916" s="199" t="s">
        <v>128</v>
      </c>
      <c r="B916" s="200">
        <v>8</v>
      </c>
      <c r="C916" s="200">
        <v>0</v>
      </c>
      <c r="D916" s="201" t="s">
        <v>282</v>
      </c>
      <c r="E916" s="201" t="s">
        <v>317</v>
      </c>
      <c r="F916" s="200" t="s">
        <v>393</v>
      </c>
      <c r="G916" s="200" t="s">
        <v>688</v>
      </c>
    </row>
    <row r="917" spans="1:7" hidden="1">
      <c r="A917" s="199" t="s">
        <v>471</v>
      </c>
      <c r="B917" s="200">
        <v>20000</v>
      </c>
      <c r="C917" s="200">
        <v>0</v>
      </c>
      <c r="D917" s="201" t="s">
        <v>463</v>
      </c>
      <c r="E917" s="201" t="s">
        <v>464</v>
      </c>
      <c r="F917" s="200" t="s">
        <v>468</v>
      </c>
      <c r="G917" s="200" t="s">
        <v>688</v>
      </c>
    </row>
    <row r="918" spans="1:7" hidden="1">
      <c r="A918" s="199" t="s">
        <v>471</v>
      </c>
      <c r="B918" s="200">
        <v>-90000</v>
      </c>
      <c r="C918" s="200">
        <v>0</v>
      </c>
      <c r="D918" s="201" t="s">
        <v>463</v>
      </c>
      <c r="E918" s="201" t="s">
        <v>464</v>
      </c>
      <c r="F918" s="200" t="s">
        <v>397</v>
      </c>
      <c r="G918" s="200" t="s">
        <v>688</v>
      </c>
    </row>
    <row r="919" spans="1:7" hidden="1">
      <c r="A919" s="199" t="s">
        <v>471</v>
      </c>
      <c r="B919" s="200">
        <v>70000</v>
      </c>
      <c r="C919" s="200">
        <v>0</v>
      </c>
      <c r="D919" s="201" t="s">
        <v>463</v>
      </c>
      <c r="E919" s="201" t="s">
        <v>464</v>
      </c>
      <c r="F919" s="200" t="s">
        <v>469</v>
      </c>
      <c r="G919" s="200" t="s">
        <v>688</v>
      </c>
    </row>
    <row r="920" spans="1:7" hidden="1">
      <c r="A920" s="199" t="s">
        <v>472</v>
      </c>
      <c r="B920" s="200">
        <v>-1100000</v>
      </c>
      <c r="C920" s="200">
        <v>0</v>
      </c>
      <c r="D920" s="201" t="s">
        <v>463</v>
      </c>
      <c r="E920" s="201" t="s">
        <v>464</v>
      </c>
      <c r="F920" s="200" t="s">
        <v>397</v>
      </c>
      <c r="G920" s="200" t="s">
        <v>688</v>
      </c>
    </row>
    <row r="921" spans="1:7" hidden="1">
      <c r="A921" s="199" t="s">
        <v>472</v>
      </c>
      <c r="B921" s="200">
        <v>950000</v>
      </c>
      <c r="C921" s="200">
        <v>0</v>
      </c>
      <c r="D921" s="201" t="s">
        <v>463</v>
      </c>
      <c r="E921" s="201" t="s">
        <v>464</v>
      </c>
      <c r="F921" s="200" t="s">
        <v>413</v>
      </c>
      <c r="G921" s="200" t="s">
        <v>688</v>
      </c>
    </row>
    <row r="922" spans="1:7" hidden="1">
      <c r="A922" s="199" t="s">
        <v>472</v>
      </c>
      <c r="B922" s="200">
        <v>150000</v>
      </c>
      <c r="C922" s="200">
        <v>0</v>
      </c>
      <c r="D922" s="201" t="s">
        <v>463</v>
      </c>
      <c r="E922" s="201" t="s">
        <v>464</v>
      </c>
      <c r="F922" s="200" t="s">
        <v>469</v>
      </c>
      <c r="G922" s="200" t="s">
        <v>688</v>
      </c>
    </row>
    <row r="923" spans="1:7" hidden="1">
      <c r="A923" s="199" t="s">
        <v>473</v>
      </c>
      <c r="B923" s="200">
        <v>-428</v>
      </c>
      <c r="C923" s="200">
        <v>0</v>
      </c>
      <c r="D923" s="201" t="s">
        <v>442</v>
      </c>
      <c r="E923" s="201" t="s">
        <v>39</v>
      </c>
      <c r="F923" s="200" t="s">
        <v>394</v>
      </c>
      <c r="G923" s="200" t="s">
        <v>688</v>
      </c>
    </row>
    <row r="924" spans="1:7" hidden="1">
      <c r="A924" s="199" t="s">
        <v>473</v>
      </c>
      <c r="B924" s="200">
        <v>3283</v>
      </c>
      <c r="C924" s="200">
        <v>0</v>
      </c>
      <c r="D924" s="201" t="s">
        <v>474</v>
      </c>
      <c r="E924" s="201" t="s">
        <v>39</v>
      </c>
      <c r="F924" s="200" t="s">
        <v>394</v>
      </c>
      <c r="G924" s="200" t="s">
        <v>688</v>
      </c>
    </row>
    <row r="925" spans="1:7" hidden="1">
      <c r="A925" s="199" t="s">
        <v>473</v>
      </c>
      <c r="B925" s="200">
        <v>-3283</v>
      </c>
      <c r="C925" s="200">
        <v>0</v>
      </c>
      <c r="D925" s="201" t="s">
        <v>474</v>
      </c>
      <c r="E925" s="201" t="s">
        <v>39</v>
      </c>
      <c r="F925" s="200" t="s">
        <v>402</v>
      </c>
      <c r="G925" s="200" t="s">
        <v>688</v>
      </c>
    </row>
    <row r="926" spans="1:7">
      <c r="A926" s="199" t="s">
        <v>475</v>
      </c>
      <c r="B926" s="200">
        <v>-5906</v>
      </c>
      <c r="C926" s="200">
        <v>0</v>
      </c>
      <c r="D926" s="201" t="s">
        <v>282</v>
      </c>
      <c r="E926" s="201" t="s">
        <v>317</v>
      </c>
      <c r="F926" s="200" t="s">
        <v>394</v>
      </c>
      <c r="G926" s="200" t="s">
        <v>688</v>
      </c>
    </row>
    <row r="927" spans="1:7">
      <c r="A927" s="199" t="s">
        <v>475</v>
      </c>
      <c r="B927" s="200">
        <v>345</v>
      </c>
      <c r="C927" s="200">
        <v>0</v>
      </c>
      <c r="D927" s="201" t="s">
        <v>282</v>
      </c>
      <c r="E927" s="201" t="s">
        <v>317</v>
      </c>
      <c r="F927" s="200" t="s">
        <v>445</v>
      </c>
      <c r="G927" s="200" t="s">
        <v>688</v>
      </c>
    </row>
    <row r="928" spans="1:7">
      <c r="A928" s="199" t="s">
        <v>475</v>
      </c>
      <c r="B928" s="200">
        <v>5561</v>
      </c>
      <c r="C928" s="200">
        <v>0</v>
      </c>
      <c r="D928" s="201" t="s">
        <v>282</v>
      </c>
      <c r="E928" s="201" t="s">
        <v>317</v>
      </c>
      <c r="F928" s="200" t="s">
        <v>393</v>
      </c>
      <c r="G928" s="200" t="s">
        <v>688</v>
      </c>
    </row>
    <row r="929" spans="1:7">
      <c r="A929" s="199" t="s">
        <v>690</v>
      </c>
      <c r="B929" s="200">
        <v>74</v>
      </c>
      <c r="C929" s="200">
        <v>0</v>
      </c>
      <c r="D929" s="201" t="s">
        <v>282</v>
      </c>
      <c r="E929" s="201" t="s">
        <v>317</v>
      </c>
      <c r="F929" s="200" t="s">
        <v>394</v>
      </c>
      <c r="G929" s="200" t="s">
        <v>688</v>
      </c>
    </row>
    <row r="930" spans="1:7">
      <c r="A930" s="199" t="s">
        <v>690</v>
      </c>
      <c r="B930" s="200">
        <v>-74</v>
      </c>
      <c r="C930" s="200">
        <v>0</v>
      </c>
      <c r="D930" s="201" t="s">
        <v>282</v>
      </c>
      <c r="E930" s="201" t="s">
        <v>317</v>
      </c>
      <c r="F930" s="200" t="s">
        <v>449</v>
      </c>
      <c r="G930" s="200" t="s">
        <v>688</v>
      </c>
    </row>
    <row r="931" spans="1:7" hidden="1">
      <c r="A931" s="199" t="s">
        <v>479</v>
      </c>
      <c r="B931" s="200">
        <v>-825000</v>
      </c>
      <c r="C931" s="200">
        <v>0</v>
      </c>
      <c r="D931" s="201" t="s">
        <v>480</v>
      </c>
      <c r="E931" s="201" t="s">
        <v>477</v>
      </c>
      <c r="F931" s="200" t="s">
        <v>394</v>
      </c>
      <c r="G931" s="200" t="s">
        <v>688</v>
      </c>
    </row>
    <row r="932" spans="1:7" hidden="1">
      <c r="A932" s="199" t="s">
        <v>479</v>
      </c>
      <c r="B932" s="200">
        <v>825000</v>
      </c>
      <c r="C932" s="200">
        <v>0</v>
      </c>
      <c r="D932" s="201" t="s">
        <v>480</v>
      </c>
      <c r="E932" s="201" t="s">
        <v>477</v>
      </c>
      <c r="F932" s="200" t="s">
        <v>481</v>
      </c>
      <c r="G932" s="200" t="s">
        <v>688</v>
      </c>
    </row>
    <row r="933" spans="1:7">
      <c r="A933" s="199" t="s">
        <v>479</v>
      </c>
      <c r="B933" s="200">
        <v>-425000</v>
      </c>
      <c r="C933" s="200">
        <v>0</v>
      </c>
      <c r="D933" s="201" t="s">
        <v>282</v>
      </c>
      <c r="E933" s="201" t="s">
        <v>477</v>
      </c>
      <c r="F933" s="200" t="s">
        <v>394</v>
      </c>
      <c r="G933" s="200" t="s">
        <v>688</v>
      </c>
    </row>
    <row r="934" spans="1:7">
      <c r="A934" s="199" t="s">
        <v>479</v>
      </c>
      <c r="B934" s="200">
        <v>425000</v>
      </c>
      <c r="C934" s="200">
        <v>0</v>
      </c>
      <c r="D934" s="201" t="s">
        <v>282</v>
      </c>
      <c r="E934" s="201" t="s">
        <v>477</v>
      </c>
      <c r="F934" s="200" t="s">
        <v>481</v>
      </c>
      <c r="G934" s="200" t="s">
        <v>688</v>
      </c>
    </row>
    <row r="935" spans="1:7" hidden="1">
      <c r="A935" s="199" t="s">
        <v>482</v>
      </c>
      <c r="B935" s="200">
        <v>1818750</v>
      </c>
      <c r="C935" s="200">
        <v>0</v>
      </c>
      <c r="D935" s="201" t="s">
        <v>480</v>
      </c>
      <c r="E935" s="201" t="s">
        <v>477</v>
      </c>
      <c r="F935" s="200" t="s">
        <v>394</v>
      </c>
      <c r="G935" s="200" t="s">
        <v>688</v>
      </c>
    </row>
    <row r="936" spans="1:7">
      <c r="A936" s="199" t="s">
        <v>482</v>
      </c>
      <c r="B936" s="200">
        <v>681250</v>
      </c>
      <c r="C936" s="200">
        <v>0</v>
      </c>
      <c r="D936" s="201" t="s">
        <v>282</v>
      </c>
      <c r="E936" s="201" t="s">
        <v>477</v>
      </c>
      <c r="F936" s="200" t="s">
        <v>394</v>
      </c>
      <c r="G936" s="200" t="s">
        <v>688</v>
      </c>
    </row>
    <row r="937" spans="1:7">
      <c r="A937" s="199" t="s">
        <v>483</v>
      </c>
      <c r="B937" s="200">
        <v>-996</v>
      </c>
      <c r="C937" s="200">
        <v>0</v>
      </c>
      <c r="D937" s="201" t="s">
        <v>282</v>
      </c>
      <c r="E937" s="201" t="s">
        <v>320</v>
      </c>
      <c r="F937" s="200" t="s">
        <v>394</v>
      </c>
      <c r="G937" s="200" t="s">
        <v>688</v>
      </c>
    </row>
    <row r="938" spans="1:7">
      <c r="A938" s="199" t="s">
        <v>483</v>
      </c>
      <c r="B938" s="200">
        <v>996</v>
      </c>
      <c r="C938" s="200">
        <v>0</v>
      </c>
      <c r="D938" s="201" t="s">
        <v>282</v>
      </c>
      <c r="E938" s="201" t="s">
        <v>320</v>
      </c>
      <c r="F938" s="200" t="s">
        <v>393</v>
      </c>
      <c r="G938" s="200" t="s">
        <v>688</v>
      </c>
    </row>
    <row r="939" spans="1:7">
      <c r="A939" s="199" t="s">
        <v>80</v>
      </c>
      <c r="B939" s="200">
        <v>191</v>
      </c>
      <c r="C939" s="200">
        <v>0</v>
      </c>
      <c r="D939" s="201" t="s">
        <v>282</v>
      </c>
      <c r="E939" s="201" t="s">
        <v>317</v>
      </c>
      <c r="F939" s="200" t="s">
        <v>394</v>
      </c>
      <c r="G939" s="200" t="s">
        <v>688</v>
      </c>
    </row>
    <row r="940" spans="1:7">
      <c r="A940" s="199" t="s">
        <v>80</v>
      </c>
      <c r="B940" s="200">
        <v>-191</v>
      </c>
      <c r="C940" s="200">
        <v>0</v>
      </c>
      <c r="D940" s="201" t="s">
        <v>282</v>
      </c>
      <c r="E940" s="201" t="s">
        <v>317</v>
      </c>
      <c r="F940" s="200" t="s">
        <v>393</v>
      </c>
      <c r="G940" s="200" t="s">
        <v>688</v>
      </c>
    </row>
    <row r="941" spans="1:7">
      <c r="A941" s="199" t="s">
        <v>484</v>
      </c>
      <c r="B941" s="200">
        <v>2592</v>
      </c>
      <c r="C941" s="200">
        <v>0</v>
      </c>
      <c r="D941" s="201" t="s">
        <v>282</v>
      </c>
      <c r="E941" s="201" t="s">
        <v>320</v>
      </c>
      <c r="F941" s="200" t="s">
        <v>394</v>
      </c>
      <c r="G941" s="200" t="s">
        <v>688</v>
      </c>
    </row>
    <row r="942" spans="1:7">
      <c r="A942" s="199" t="s">
        <v>484</v>
      </c>
      <c r="B942" s="200">
        <v>-2232</v>
      </c>
      <c r="C942" s="200">
        <v>0</v>
      </c>
      <c r="D942" s="201" t="s">
        <v>282</v>
      </c>
      <c r="E942" s="201" t="s">
        <v>320</v>
      </c>
      <c r="F942" s="200" t="s">
        <v>445</v>
      </c>
      <c r="G942" s="200" t="s">
        <v>688</v>
      </c>
    </row>
    <row r="943" spans="1:7">
      <c r="A943" s="199" t="s">
        <v>484</v>
      </c>
      <c r="B943" s="200">
        <v>-360</v>
      </c>
      <c r="C943" s="200">
        <v>0</v>
      </c>
      <c r="D943" s="201" t="s">
        <v>282</v>
      </c>
      <c r="E943" s="201" t="s">
        <v>320</v>
      </c>
      <c r="F943" s="200" t="s">
        <v>393</v>
      </c>
      <c r="G943" s="200" t="s">
        <v>688</v>
      </c>
    </row>
    <row r="944" spans="1:7" hidden="1">
      <c r="A944" s="199" t="s">
        <v>485</v>
      </c>
      <c r="B944" s="200">
        <v>29</v>
      </c>
      <c r="C944" s="200">
        <v>0</v>
      </c>
      <c r="D944" s="201" t="s">
        <v>440</v>
      </c>
      <c r="E944" s="201" t="s">
        <v>486</v>
      </c>
      <c r="F944" s="200" t="s">
        <v>394</v>
      </c>
      <c r="G944" s="200" t="s">
        <v>688</v>
      </c>
    </row>
    <row r="945" spans="1:7" hidden="1">
      <c r="A945" s="199" t="s">
        <v>485</v>
      </c>
      <c r="B945" s="200">
        <v>6</v>
      </c>
      <c r="C945" s="200">
        <v>0</v>
      </c>
      <c r="D945" s="201" t="s">
        <v>437</v>
      </c>
      <c r="E945" s="201" t="s">
        <v>486</v>
      </c>
      <c r="F945" s="200" t="s">
        <v>394</v>
      </c>
      <c r="G945" s="200" t="s">
        <v>688</v>
      </c>
    </row>
    <row r="946" spans="1:7" hidden="1">
      <c r="A946" s="199" t="s">
        <v>485</v>
      </c>
      <c r="B946" s="200">
        <v>-2</v>
      </c>
      <c r="C946" s="200">
        <v>0</v>
      </c>
      <c r="D946" s="201" t="s">
        <v>437</v>
      </c>
      <c r="E946" s="201" t="s">
        <v>486</v>
      </c>
      <c r="F946" s="200" t="s">
        <v>396</v>
      </c>
      <c r="G946" s="200" t="s">
        <v>688</v>
      </c>
    </row>
    <row r="947" spans="1:7" hidden="1">
      <c r="A947" s="199" t="s">
        <v>485</v>
      </c>
      <c r="B947" s="200">
        <v>-1</v>
      </c>
      <c r="C947" s="200">
        <v>0</v>
      </c>
      <c r="D947" s="201" t="s">
        <v>442</v>
      </c>
      <c r="E947" s="201" t="s">
        <v>486</v>
      </c>
      <c r="F947" s="200" t="s">
        <v>394</v>
      </c>
      <c r="G947" s="200" t="s">
        <v>688</v>
      </c>
    </row>
    <row r="948" spans="1:7" hidden="1">
      <c r="A948" s="199" t="s">
        <v>487</v>
      </c>
      <c r="B948" s="200">
        <v>70</v>
      </c>
      <c r="C948" s="200">
        <v>0</v>
      </c>
      <c r="D948" s="201" t="s">
        <v>440</v>
      </c>
      <c r="E948" s="201" t="s">
        <v>488</v>
      </c>
      <c r="F948" s="200" t="s">
        <v>394</v>
      </c>
      <c r="G948" s="200" t="s">
        <v>688</v>
      </c>
    </row>
    <row r="949" spans="1:7" hidden="1">
      <c r="A949" s="199" t="s">
        <v>489</v>
      </c>
      <c r="B949" s="200">
        <v>-70</v>
      </c>
      <c r="C949" s="200">
        <v>0</v>
      </c>
      <c r="D949" s="201" t="s">
        <v>440</v>
      </c>
      <c r="E949" s="201" t="s">
        <v>488</v>
      </c>
      <c r="F949" s="200" t="s">
        <v>394</v>
      </c>
      <c r="G949" s="200" t="s">
        <v>688</v>
      </c>
    </row>
    <row r="950" spans="1:7" hidden="1">
      <c r="A950" s="199" t="s">
        <v>490</v>
      </c>
      <c r="B950" s="200">
        <v>70</v>
      </c>
      <c r="C950" s="200">
        <v>0</v>
      </c>
      <c r="D950" s="201" t="s">
        <v>440</v>
      </c>
      <c r="E950" s="201" t="s">
        <v>488</v>
      </c>
      <c r="F950" s="200" t="s">
        <v>394</v>
      </c>
      <c r="G950" s="200" t="s">
        <v>688</v>
      </c>
    </row>
    <row r="951" spans="1:7" hidden="1">
      <c r="A951" s="199" t="s">
        <v>491</v>
      </c>
      <c r="B951" s="200">
        <v>-44</v>
      </c>
      <c r="C951" s="200">
        <v>0</v>
      </c>
      <c r="D951" s="201" t="s">
        <v>440</v>
      </c>
      <c r="E951" s="201" t="s">
        <v>486</v>
      </c>
      <c r="F951" s="200" t="s">
        <v>394</v>
      </c>
      <c r="G951" s="200" t="s">
        <v>688</v>
      </c>
    </row>
    <row r="952" spans="1:7" hidden="1">
      <c r="A952" s="199" t="s">
        <v>491</v>
      </c>
      <c r="B952" s="200">
        <v>3</v>
      </c>
      <c r="C952" s="200">
        <v>0</v>
      </c>
      <c r="D952" s="201" t="s">
        <v>440</v>
      </c>
      <c r="E952" s="201" t="s">
        <v>486</v>
      </c>
      <c r="F952" s="200" t="s">
        <v>409</v>
      </c>
      <c r="G952" s="200" t="s">
        <v>688</v>
      </c>
    </row>
    <row r="953" spans="1:7" hidden="1">
      <c r="A953" s="199" t="s">
        <v>491</v>
      </c>
      <c r="B953" s="200">
        <v>1</v>
      </c>
      <c r="C953" s="200">
        <v>0</v>
      </c>
      <c r="D953" s="201" t="s">
        <v>440</v>
      </c>
      <c r="E953" s="201" t="s">
        <v>486</v>
      </c>
      <c r="F953" s="200" t="s">
        <v>402</v>
      </c>
      <c r="G953" s="200" t="s">
        <v>688</v>
      </c>
    </row>
    <row r="954" spans="1:7" hidden="1">
      <c r="A954" s="199" t="s">
        <v>492</v>
      </c>
      <c r="B954" s="200">
        <v>288</v>
      </c>
      <c r="C954" s="200">
        <v>0</v>
      </c>
      <c r="D954" s="201" t="s">
        <v>442</v>
      </c>
      <c r="E954" s="201" t="s">
        <v>317</v>
      </c>
      <c r="F954" s="200" t="s">
        <v>394</v>
      </c>
      <c r="G954" s="200" t="s">
        <v>688</v>
      </c>
    </row>
    <row r="955" spans="1:7" hidden="1">
      <c r="A955" s="199" t="s">
        <v>691</v>
      </c>
      <c r="B955" s="200">
        <v>347600</v>
      </c>
      <c r="C955" s="200">
        <v>0</v>
      </c>
      <c r="D955" s="201" t="s">
        <v>440</v>
      </c>
      <c r="E955" s="201" t="s">
        <v>692</v>
      </c>
      <c r="F955" s="200" t="s">
        <v>409</v>
      </c>
      <c r="G955" s="200" t="s">
        <v>688</v>
      </c>
    </row>
    <row r="956" spans="1:7" hidden="1">
      <c r="A956" s="199" t="s">
        <v>693</v>
      </c>
      <c r="B956" s="200">
        <v>-347600</v>
      </c>
      <c r="C956" s="200">
        <v>0</v>
      </c>
      <c r="D956" s="201" t="s">
        <v>440</v>
      </c>
      <c r="E956" s="201" t="s">
        <v>692</v>
      </c>
      <c r="F956" s="200" t="s">
        <v>409</v>
      </c>
      <c r="G956" s="200" t="s">
        <v>688</v>
      </c>
    </row>
    <row r="957" spans="1:7" hidden="1">
      <c r="A957" s="199" t="s">
        <v>134</v>
      </c>
      <c r="B957" s="200">
        <v>72</v>
      </c>
      <c r="C957" s="200">
        <v>0</v>
      </c>
      <c r="D957" s="201" t="s">
        <v>283</v>
      </c>
      <c r="E957" s="201" t="s">
        <v>317</v>
      </c>
      <c r="F957" s="200" t="s">
        <v>394</v>
      </c>
      <c r="G957" s="200" t="s">
        <v>688</v>
      </c>
    </row>
    <row r="958" spans="1:7" hidden="1">
      <c r="A958" s="199" t="s">
        <v>134</v>
      </c>
      <c r="B958" s="200">
        <v>-73</v>
      </c>
      <c r="C958" s="200">
        <v>0</v>
      </c>
      <c r="D958" s="201" t="s">
        <v>283</v>
      </c>
      <c r="E958" s="201" t="s">
        <v>317</v>
      </c>
      <c r="F958" s="200" t="s">
        <v>441</v>
      </c>
      <c r="G958" s="200" t="s">
        <v>688</v>
      </c>
    </row>
    <row r="959" spans="1:7">
      <c r="A959" s="199" t="s">
        <v>134</v>
      </c>
      <c r="B959" s="200">
        <v>684</v>
      </c>
      <c r="C959" s="200">
        <v>0</v>
      </c>
      <c r="D959" s="201" t="s">
        <v>282</v>
      </c>
      <c r="E959" s="201" t="s">
        <v>317</v>
      </c>
      <c r="F959" s="200" t="s">
        <v>394</v>
      </c>
      <c r="G959" s="200" t="s">
        <v>688</v>
      </c>
    </row>
    <row r="960" spans="1:7">
      <c r="A960" s="199" t="s">
        <v>134</v>
      </c>
      <c r="B960" s="200">
        <v>-239</v>
      </c>
      <c r="C960" s="200">
        <v>0</v>
      </c>
      <c r="D960" s="201" t="s">
        <v>282</v>
      </c>
      <c r="E960" s="201" t="s">
        <v>317</v>
      </c>
      <c r="F960" s="200" t="s">
        <v>408</v>
      </c>
      <c r="G960" s="200" t="s">
        <v>688</v>
      </c>
    </row>
    <row r="961" spans="1:7">
      <c r="A961" s="199" t="s">
        <v>134</v>
      </c>
      <c r="B961" s="200">
        <v>-165</v>
      </c>
      <c r="C961" s="200">
        <v>0</v>
      </c>
      <c r="D961" s="201" t="s">
        <v>282</v>
      </c>
      <c r="E961" s="201" t="s">
        <v>317</v>
      </c>
      <c r="F961" s="200" t="s">
        <v>393</v>
      </c>
      <c r="G961" s="200" t="s">
        <v>688</v>
      </c>
    </row>
    <row r="962" spans="1:7">
      <c r="A962" s="199" t="s">
        <v>134</v>
      </c>
      <c r="B962" s="200">
        <v>-131</v>
      </c>
      <c r="C962" s="200">
        <v>0</v>
      </c>
      <c r="D962" s="201" t="s">
        <v>282</v>
      </c>
      <c r="E962" s="201" t="s">
        <v>317</v>
      </c>
      <c r="F962" s="200" t="s">
        <v>413</v>
      </c>
      <c r="G962" s="200" t="s">
        <v>688</v>
      </c>
    </row>
    <row r="963" spans="1:7">
      <c r="A963" s="199" t="s">
        <v>134</v>
      </c>
      <c r="B963" s="200">
        <v>-221</v>
      </c>
      <c r="C963" s="200">
        <v>0</v>
      </c>
      <c r="D963" s="201" t="s">
        <v>282</v>
      </c>
      <c r="E963" s="201" t="s">
        <v>317</v>
      </c>
      <c r="F963" s="200" t="s">
        <v>403</v>
      </c>
      <c r="G963" s="200" t="s">
        <v>688</v>
      </c>
    </row>
    <row r="964" spans="1:7">
      <c r="A964" s="199" t="s">
        <v>134</v>
      </c>
      <c r="B964" s="200">
        <v>73</v>
      </c>
      <c r="C964" s="200">
        <v>0</v>
      </c>
      <c r="D964" s="201" t="s">
        <v>282</v>
      </c>
      <c r="E964" s="201" t="s">
        <v>317</v>
      </c>
      <c r="F964" s="200" t="s">
        <v>441</v>
      </c>
      <c r="G964" s="200" t="s">
        <v>688</v>
      </c>
    </row>
    <row r="965" spans="1:7">
      <c r="A965" s="199" t="s">
        <v>493</v>
      </c>
      <c r="B965" s="200">
        <v>-9</v>
      </c>
      <c r="C965" s="200">
        <v>0</v>
      </c>
      <c r="D965" s="201" t="s">
        <v>282</v>
      </c>
      <c r="E965" s="201" t="s">
        <v>319</v>
      </c>
      <c r="F965" s="200" t="s">
        <v>408</v>
      </c>
      <c r="G965" s="200" t="s">
        <v>688</v>
      </c>
    </row>
    <row r="966" spans="1:7">
      <c r="A966" s="199" t="s">
        <v>493</v>
      </c>
      <c r="B966" s="200">
        <v>9</v>
      </c>
      <c r="C966" s="200">
        <v>0</v>
      </c>
      <c r="D966" s="201" t="s">
        <v>282</v>
      </c>
      <c r="E966" s="201" t="s">
        <v>319</v>
      </c>
      <c r="F966" s="200" t="s">
        <v>393</v>
      </c>
      <c r="G966" s="200" t="s">
        <v>688</v>
      </c>
    </row>
    <row r="967" spans="1:7">
      <c r="A967" s="199" t="s">
        <v>494</v>
      </c>
      <c r="B967" s="200">
        <v>13</v>
      </c>
      <c r="C967" s="200">
        <v>0</v>
      </c>
      <c r="D967" s="201" t="s">
        <v>282</v>
      </c>
      <c r="E967" s="201" t="s">
        <v>319</v>
      </c>
      <c r="F967" s="200" t="s">
        <v>394</v>
      </c>
      <c r="G967" s="200" t="s">
        <v>688</v>
      </c>
    </row>
    <row r="968" spans="1:7">
      <c r="A968" s="199" t="s">
        <v>494</v>
      </c>
      <c r="B968" s="200">
        <v>14</v>
      </c>
      <c r="C968" s="200">
        <v>0</v>
      </c>
      <c r="D968" s="201" t="s">
        <v>282</v>
      </c>
      <c r="E968" s="201" t="s">
        <v>319</v>
      </c>
      <c r="F968" s="200" t="s">
        <v>408</v>
      </c>
      <c r="G968" s="200" t="s">
        <v>688</v>
      </c>
    </row>
    <row r="969" spans="1:7">
      <c r="A969" s="199" t="s">
        <v>494</v>
      </c>
      <c r="B969" s="200">
        <v>-27</v>
      </c>
      <c r="C969" s="200">
        <v>0</v>
      </c>
      <c r="D969" s="201" t="s">
        <v>282</v>
      </c>
      <c r="E969" s="201" t="s">
        <v>319</v>
      </c>
      <c r="F969" s="200" t="s">
        <v>393</v>
      </c>
      <c r="G969" s="200" t="s">
        <v>688</v>
      </c>
    </row>
    <row r="970" spans="1:7">
      <c r="A970" s="199" t="s">
        <v>495</v>
      </c>
      <c r="B970" s="200">
        <v>10</v>
      </c>
      <c r="C970" s="200">
        <v>0</v>
      </c>
      <c r="D970" s="201" t="s">
        <v>282</v>
      </c>
      <c r="E970" s="201" t="s">
        <v>319</v>
      </c>
      <c r="F970" s="200" t="s">
        <v>408</v>
      </c>
      <c r="G970" s="200" t="s">
        <v>688</v>
      </c>
    </row>
    <row r="971" spans="1:7">
      <c r="A971" s="199" t="s">
        <v>495</v>
      </c>
      <c r="B971" s="200">
        <v>-10</v>
      </c>
      <c r="C971" s="200">
        <v>0</v>
      </c>
      <c r="D971" s="201" t="s">
        <v>282</v>
      </c>
      <c r="E971" s="201" t="s">
        <v>319</v>
      </c>
      <c r="F971" s="200" t="s">
        <v>393</v>
      </c>
      <c r="G971" s="200" t="s">
        <v>688</v>
      </c>
    </row>
    <row r="972" spans="1:7">
      <c r="A972" s="199" t="s">
        <v>496</v>
      </c>
      <c r="B972" s="200">
        <v>7</v>
      </c>
      <c r="C972" s="200">
        <v>0</v>
      </c>
      <c r="D972" s="201" t="s">
        <v>282</v>
      </c>
      <c r="E972" s="201" t="s">
        <v>319</v>
      </c>
      <c r="F972" s="200" t="s">
        <v>394</v>
      </c>
      <c r="G972" s="200" t="s">
        <v>688</v>
      </c>
    </row>
    <row r="973" spans="1:7">
      <c r="A973" s="199" t="s">
        <v>496</v>
      </c>
      <c r="B973" s="200">
        <v>-7</v>
      </c>
      <c r="C973" s="200">
        <v>0</v>
      </c>
      <c r="D973" s="201" t="s">
        <v>282</v>
      </c>
      <c r="E973" s="201" t="s">
        <v>319</v>
      </c>
      <c r="F973" s="200" t="s">
        <v>408</v>
      </c>
      <c r="G973" s="200" t="s">
        <v>688</v>
      </c>
    </row>
    <row r="974" spans="1:7">
      <c r="A974" s="199" t="s">
        <v>497</v>
      </c>
      <c r="B974" s="200">
        <v>-13</v>
      </c>
      <c r="C974" s="200">
        <v>0</v>
      </c>
      <c r="D974" s="201" t="s">
        <v>282</v>
      </c>
      <c r="E974" s="201" t="s">
        <v>319</v>
      </c>
      <c r="F974" s="200" t="s">
        <v>394</v>
      </c>
      <c r="G974" s="200" t="s">
        <v>688</v>
      </c>
    </row>
    <row r="975" spans="1:7">
      <c r="A975" s="199" t="s">
        <v>497</v>
      </c>
      <c r="B975" s="200">
        <v>-16</v>
      </c>
      <c r="C975" s="200">
        <v>0</v>
      </c>
      <c r="D975" s="201" t="s">
        <v>282</v>
      </c>
      <c r="E975" s="201" t="s">
        <v>319</v>
      </c>
      <c r="F975" s="200" t="s">
        <v>408</v>
      </c>
      <c r="G975" s="200" t="s">
        <v>688</v>
      </c>
    </row>
    <row r="976" spans="1:7">
      <c r="A976" s="199" t="s">
        <v>497</v>
      </c>
      <c r="B976" s="200">
        <v>29</v>
      </c>
      <c r="C976" s="200">
        <v>0</v>
      </c>
      <c r="D976" s="201" t="s">
        <v>282</v>
      </c>
      <c r="E976" s="201" t="s">
        <v>319</v>
      </c>
      <c r="F976" s="200" t="s">
        <v>393</v>
      </c>
      <c r="G976" s="200" t="s">
        <v>688</v>
      </c>
    </row>
    <row r="977" spans="1:7">
      <c r="A977" s="199" t="s">
        <v>498</v>
      </c>
      <c r="B977" s="200">
        <v>-7</v>
      </c>
      <c r="C977" s="200">
        <v>0</v>
      </c>
      <c r="D977" s="201" t="s">
        <v>282</v>
      </c>
      <c r="E977" s="201" t="s">
        <v>319</v>
      </c>
      <c r="F977" s="200" t="s">
        <v>394</v>
      </c>
      <c r="G977" s="200" t="s">
        <v>688</v>
      </c>
    </row>
    <row r="978" spans="1:7">
      <c r="A978" s="199" t="s">
        <v>498</v>
      </c>
      <c r="B978" s="200">
        <v>7</v>
      </c>
      <c r="C978" s="200">
        <v>0</v>
      </c>
      <c r="D978" s="201" t="s">
        <v>282</v>
      </c>
      <c r="E978" s="201" t="s">
        <v>319</v>
      </c>
      <c r="F978" s="200" t="s">
        <v>408</v>
      </c>
      <c r="G978" s="200" t="s">
        <v>688</v>
      </c>
    </row>
    <row r="979" spans="1:7">
      <c r="A979" s="199" t="s">
        <v>499</v>
      </c>
      <c r="B979" s="200">
        <v>65</v>
      </c>
      <c r="C979" s="200">
        <v>0</v>
      </c>
      <c r="D979" s="201" t="s">
        <v>282</v>
      </c>
      <c r="E979" s="201" t="s">
        <v>317</v>
      </c>
      <c r="F979" s="200" t="s">
        <v>394</v>
      </c>
      <c r="G979" s="200" t="s">
        <v>688</v>
      </c>
    </row>
    <row r="980" spans="1:7">
      <c r="A980" s="199" t="s">
        <v>499</v>
      </c>
      <c r="B980" s="200">
        <v>-817</v>
      </c>
      <c r="C980" s="200">
        <v>0</v>
      </c>
      <c r="D980" s="201" t="s">
        <v>282</v>
      </c>
      <c r="E980" s="201" t="s">
        <v>317</v>
      </c>
      <c r="F980" s="200" t="s">
        <v>445</v>
      </c>
      <c r="G980" s="200" t="s">
        <v>688</v>
      </c>
    </row>
    <row r="981" spans="1:7">
      <c r="A981" s="199" t="s">
        <v>499</v>
      </c>
      <c r="B981" s="200">
        <v>282</v>
      </c>
      <c r="C981" s="200">
        <v>0</v>
      </c>
      <c r="D981" s="201" t="s">
        <v>282</v>
      </c>
      <c r="E981" s="201" t="s">
        <v>317</v>
      </c>
      <c r="F981" s="200" t="s">
        <v>397</v>
      </c>
      <c r="G981" s="200" t="s">
        <v>688</v>
      </c>
    </row>
    <row r="982" spans="1:7">
      <c r="A982" s="199" t="s">
        <v>499</v>
      </c>
      <c r="B982" s="200">
        <v>470</v>
      </c>
      <c r="C982" s="200">
        <v>0</v>
      </c>
      <c r="D982" s="201" t="s">
        <v>282</v>
      </c>
      <c r="E982" s="201" t="s">
        <v>317</v>
      </c>
      <c r="F982" s="200" t="s">
        <v>393</v>
      </c>
      <c r="G982" s="200" t="s">
        <v>688</v>
      </c>
    </row>
    <row r="983" spans="1:7">
      <c r="A983" s="199" t="s">
        <v>500</v>
      </c>
      <c r="B983" s="200">
        <v>539</v>
      </c>
      <c r="C983" s="200">
        <v>0</v>
      </c>
      <c r="D983" s="201" t="s">
        <v>282</v>
      </c>
      <c r="E983" s="201" t="s">
        <v>317</v>
      </c>
      <c r="F983" s="200" t="s">
        <v>445</v>
      </c>
      <c r="G983" s="200" t="s">
        <v>688</v>
      </c>
    </row>
    <row r="984" spans="1:7">
      <c r="A984" s="199" t="s">
        <v>500</v>
      </c>
      <c r="B984" s="200">
        <v>-539</v>
      </c>
      <c r="C984" s="200">
        <v>0</v>
      </c>
      <c r="D984" s="201" t="s">
        <v>282</v>
      </c>
      <c r="E984" s="201" t="s">
        <v>317</v>
      </c>
      <c r="F984" s="200" t="s">
        <v>393</v>
      </c>
      <c r="G984" s="200" t="s">
        <v>688</v>
      </c>
    </row>
    <row r="985" spans="1:7">
      <c r="A985" s="199" t="s">
        <v>501</v>
      </c>
      <c r="B985" s="200">
        <v>-243</v>
      </c>
      <c r="C985" s="200">
        <v>0</v>
      </c>
      <c r="D985" s="201" t="s">
        <v>282</v>
      </c>
      <c r="E985" s="201" t="s">
        <v>317</v>
      </c>
      <c r="F985" s="200" t="s">
        <v>394</v>
      </c>
      <c r="G985" s="200" t="s">
        <v>688</v>
      </c>
    </row>
    <row r="986" spans="1:7">
      <c r="A986" s="199" t="s">
        <v>501</v>
      </c>
      <c r="B986" s="200">
        <v>-8</v>
      </c>
      <c r="C986" s="200">
        <v>0</v>
      </c>
      <c r="D986" s="201" t="s">
        <v>282</v>
      </c>
      <c r="E986" s="201" t="s">
        <v>317</v>
      </c>
      <c r="F986" s="200" t="s">
        <v>393</v>
      </c>
      <c r="G986" s="200" t="s">
        <v>688</v>
      </c>
    </row>
    <row r="987" spans="1:7">
      <c r="A987" s="199" t="s">
        <v>501</v>
      </c>
      <c r="B987" s="200">
        <v>251</v>
      </c>
      <c r="C987" s="200">
        <v>0</v>
      </c>
      <c r="D987" s="201" t="s">
        <v>282</v>
      </c>
      <c r="E987" s="201" t="s">
        <v>317</v>
      </c>
      <c r="F987" s="200" t="s">
        <v>403</v>
      </c>
      <c r="G987" s="200" t="s">
        <v>688</v>
      </c>
    </row>
    <row r="988" spans="1:7" hidden="1">
      <c r="A988" s="199" t="s">
        <v>502</v>
      </c>
      <c r="B988" s="200">
        <v>1230</v>
      </c>
      <c r="C988" s="200">
        <v>0</v>
      </c>
      <c r="D988" s="201" t="s">
        <v>442</v>
      </c>
      <c r="E988" s="201" t="s">
        <v>320</v>
      </c>
      <c r="F988" s="200" t="s">
        <v>394</v>
      </c>
      <c r="G988" s="200" t="s">
        <v>688</v>
      </c>
    </row>
    <row r="989" spans="1:7" hidden="1">
      <c r="A989" s="199" t="s">
        <v>148</v>
      </c>
      <c r="B989" s="200">
        <v>-1655</v>
      </c>
      <c r="C989" s="200">
        <v>0</v>
      </c>
      <c r="D989" s="201" t="s">
        <v>283</v>
      </c>
      <c r="E989" s="201" t="s">
        <v>320</v>
      </c>
      <c r="F989" s="200" t="s">
        <v>394</v>
      </c>
      <c r="G989" s="200" t="s">
        <v>688</v>
      </c>
    </row>
    <row r="990" spans="1:7" hidden="1">
      <c r="A990" s="199" t="s">
        <v>148</v>
      </c>
      <c r="B990" s="200">
        <v>744</v>
      </c>
      <c r="C990" s="200">
        <v>0</v>
      </c>
      <c r="D990" s="201" t="s">
        <v>283</v>
      </c>
      <c r="E990" s="201" t="s">
        <v>320</v>
      </c>
      <c r="F990" s="200" t="s">
        <v>413</v>
      </c>
      <c r="G990" s="200" t="s">
        <v>688</v>
      </c>
    </row>
    <row r="991" spans="1:7" hidden="1">
      <c r="A991" s="199" t="s">
        <v>148</v>
      </c>
      <c r="B991" s="200">
        <v>911</v>
      </c>
      <c r="C991" s="200">
        <v>0</v>
      </c>
      <c r="D991" s="201" t="s">
        <v>283</v>
      </c>
      <c r="E991" s="201" t="s">
        <v>320</v>
      </c>
      <c r="F991" s="200" t="s">
        <v>441</v>
      </c>
      <c r="G991" s="200" t="s">
        <v>688</v>
      </c>
    </row>
    <row r="992" spans="1:7">
      <c r="A992" s="199" t="s">
        <v>148</v>
      </c>
      <c r="B992" s="200">
        <v>188</v>
      </c>
      <c r="C992" s="200">
        <v>0</v>
      </c>
      <c r="D992" s="201" t="s">
        <v>282</v>
      </c>
      <c r="E992" s="201" t="s">
        <v>320</v>
      </c>
      <c r="F992" s="200" t="s">
        <v>394</v>
      </c>
      <c r="G992" s="200" t="s">
        <v>688</v>
      </c>
    </row>
    <row r="993" spans="1:7">
      <c r="A993" s="199" t="s">
        <v>148</v>
      </c>
      <c r="B993" s="200">
        <v>723</v>
      </c>
      <c r="C993" s="200">
        <v>0</v>
      </c>
      <c r="D993" s="201" t="s">
        <v>282</v>
      </c>
      <c r="E993" s="201" t="s">
        <v>320</v>
      </c>
      <c r="F993" s="200" t="s">
        <v>413</v>
      </c>
      <c r="G993" s="200" t="s">
        <v>688</v>
      </c>
    </row>
    <row r="994" spans="1:7">
      <c r="A994" s="199" t="s">
        <v>148</v>
      </c>
      <c r="B994" s="200">
        <v>-911</v>
      </c>
      <c r="C994" s="200">
        <v>0</v>
      </c>
      <c r="D994" s="201" t="s">
        <v>282</v>
      </c>
      <c r="E994" s="201" t="s">
        <v>320</v>
      </c>
      <c r="F994" s="200" t="s">
        <v>441</v>
      </c>
      <c r="G994" s="200" t="s">
        <v>688</v>
      </c>
    </row>
    <row r="995" spans="1:7" hidden="1">
      <c r="A995" s="199" t="s">
        <v>694</v>
      </c>
      <c r="B995" s="200">
        <v>-98400</v>
      </c>
      <c r="C995" s="200">
        <v>0</v>
      </c>
      <c r="D995" s="201" t="s">
        <v>440</v>
      </c>
      <c r="E995" s="201" t="s">
        <v>692</v>
      </c>
      <c r="F995" s="200" t="s">
        <v>409</v>
      </c>
      <c r="G995" s="200" t="s">
        <v>688</v>
      </c>
    </row>
    <row r="996" spans="1:7" hidden="1">
      <c r="A996" s="199" t="s">
        <v>695</v>
      </c>
      <c r="B996" s="200">
        <v>98400</v>
      </c>
      <c r="C996" s="200">
        <v>0</v>
      </c>
      <c r="D996" s="201" t="s">
        <v>440</v>
      </c>
      <c r="E996" s="201" t="s">
        <v>692</v>
      </c>
      <c r="F996" s="200" t="s">
        <v>409</v>
      </c>
      <c r="G996" s="200" t="s">
        <v>688</v>
      </c>
    </row>
    <row r="997" spans="1:7" hidden="1">
      <c r="A997" s="199" t="s">
        <v>503</v>
      </c>
      <c r="B997" s="200">
        <v>434</v>
      </c>
      <c r="C997" s="200">
        <v>0</v>
      </c>
      <c r="D997" s="201" t="s">
        <v>442</v>
      </c>
      <c r="E997" s="201" t="s">
        <v>320</v>
      </c>
      <c r="F997" s="200" t="s">
        <v>394</v>
      </c>
      <c r="G997" s="200" t="s">
        <v>688</v>
      </c>
    </row>
    <row r="998" spans="1:7" hidden="1">
      <c r="A998" s="199" t="s">
        <v>503</v>
      </c>
      <c r="B998" s="200">
        <v>-371</v>
      </c>
      <c r="C998" s="200">
        <v>0</v>
      </c>
      <c r="D998" s="201" t="s">
        <v>442</v>
      </c>
      <c r="E998" s="201" t="s">
        <v>320</v>
      </c>
      <c r="F998" s="200" t="s">
        <v>409</v>
      </c>
      <c r="G998" s="200" t="s">
        <v>688</v>
      </c>
    </row>
    <row r="999" spans="1:7" hidden="1">
      <c r="A999" s="199" t="s">
        <v>504</v>
      </c>
      <c r="B999" s="200">
        <v>-710</v>
      </c>
      <c r="C999" s="200">
        <v>0</v>
      </c>
      <c r="D999" s="201" t="s">
        <v>440</v>
      </c>
      <c r="E999" s="201" t="s">
        <v>439</v>
      </c>
      <c r="F999" s="200" t="s">
        <v>394</v>
      </c>
      <c r="G999" s="200" t="s">
        <v>688</v>
      </c>
    </row>
    <row r="1000" spans="1:7" hidden="1">
      <c r="A1000" s="199" t="s">
        <v>505</v>
      </c>
      <c r="B1000" s="200">
        <v>1106</v>
      </c>
      <c r="C1000" s="200">
        <v>0</v>
      </c>
      <c r="D1000" s="201" t="s">
        <v>283</v>
      </c>
      <c r="E1000" s="201" t="s">
        <v>320</v>
      </c>
      <c r="F1000" s="200" t="s">
        <v>394</v>
      </c>
      <c r="G1000" s="200" t="s">
        <v>688</v>
      </c>
    </row>
    <row r="1001" spans="1:7" hidden="1">
      <c r="A1001" s="199" t="s">
        <v>505</v>
      </c>
      <c r="B1001" s="200">
        <v>-1106</v>
      </c>
      <c r="C1001" s="200">
        <v>0</v>
      </c>
      <c r="D1001" s="201" t="s">
        <v>283</v>
      </c>
      <c r="E1001" s="201" t="s">
        <v>320</v>
      </c>
      <c r="F1001" s="200" t="s">
        <v>441</v>
      </c>
      <c r="G1001" s="200" t="s">
        <v>688</v>
      </c>
    </row>
    <row r="1002" spans="1:7">
      <c r="A1002" s="199" t="s">
        <v>505</v>
      </c>
      <c r="B1002" s="200">
        <v>-3207</v>
      </c>
      <c r="C1002" s="200">
        <v>0</v>
      </c>
      <c r="D1002" s="201" t="s">
        <v>282</v>
      </c>
      <c r="E1002" s="201" t="s">
        <v>320</v>
      </c>
      <c r="F1002" s="200" t="s">
        <v>394</v>
      </c>
      <c r="G1002" s="200" t="s">
        <v>688</v>
      </c>
    </row>
    <row r="1003" spans="1:7">
      <c r="A1003" s="199" t="s">
        <v>505</v>
      </c>
      <c r="B1003" s="200">
        <v>2101</v>
      </c>
      <c r="C1003" s="200">
        <v>0</v>
      </c>
      <c r="D1003" s="201" t="s">
        <v>282</v>
      </c>
      <c r="E1003" s="201" t="s">
        <v>320</v>
      </c>
      <c r="F1003" s="200" t="s">
        <v>393</v>
      </c>
      <c r="G1003" s="200" t="s">
        <v>688</v>
      </c>
    </row>
    <row r="1004" spans="1:7">
      <c r="A1004" s="199" t="s">
        <v>505</v>
      </c>
      <c r="B1004" s="200">
        <v>1106</v>
      </c>
      <c r="C1004" s="200">
        <v>0</v>
      </c>
      <c r="D1004" s="201" t="s">
        <v>282</v>
      </c>
      <c r="E1004" s="201" t="s">
        <v>320</v>
      </c>
      <c r="F1004" s="200" t="s">
        <v>441</v>
      </c>
      <c r="G1004" s="200" t="s">
        <v>688</v>
      </c>
    </row>
    <row r="1005" spans="1:7">
      <c r="A1005" s="199" t="s">
        <v>506</v>
      </c>
      <c r="B1005" s="200">
        <v>-234</v>
      </c>
      <c r="C1005" s="200">
        <v>0</v>
      </c>
      <c r="D1005" s="201" t="s">
        <v>282</v>
      </c>
      <c r="E1005" s="201" t="s">
        <v>317</v>
      </c>
      <c r="F1005" s="200" t="s">
        <v>394</v>
      </c>
      <c r="G1005" s="200" t="s">
        <v>688</v>
      </c>
    </row>
    <row r="1006" spans="1:7">
      <c r="A1006" s="199" t="s">
        <v>506</v>
      </c>
      <c r="B1006" s="200">
        <v>80</v>
      </c>
      <c r="C1006" s="200">
        <v>0</v>
      </c>
      <c r="D1006" s="201" t="s">
        <v>282</v>
      </c>
      <c r="E1006" s="201" t="s">
        <v>317</v>
      </c>
      <c r="F1006" s="200" t="s">
        <v>445</v>
      </c>
      <c r="G1006" s="200" t="s">
        <v>688</v>
      </c>
    </row>
    <row r="1007" spans="1:7">
      <c r="A1007" s="199" t="s">
        <v>506</v>
      </c>
      <c r="B1007" s="200">
        <v>154</v>
      </c>
      <c r="C1007" s="200">
        <v>0</v>
      </c>
      <c r="D1007" s="201" t="s">
        <v>282</v>
      </c>
      <c r="E1007" s="201" t="s">
        <v>317</v>
      </c>
      <c r="F1007" s="200" t="s">
        <v>403</v>
      </c>
      <c r="G1007" s="200" t="s">
        <v>688</v>
      </c>
    </row>
    <row r="1008" spans="1:7" hidden="1">
      <c r="A1008" s="199" t="s">
        <v>507</v>
      </c>
      <c r="B1008" s="200">
        <v>1521</v>
      </c>
      <c r="C1008" s="200">
        <v>0</v>
      </c>
      <c r="D1008" s="201" t="s">
        <v>442</v>
      </c>
      <c r="E1008" s="201" t="s">
        <v>39</v>
      </c>
      <c r="F1008" s="200" t="s">
        <v>394</v>
      </c>
      <c r="G1008" s="200" t="s">
        <v>688</v>
      </c>
    </row>
    <row r="1009" spans="1:7" hidden="1">
      <c r="A1009" s="199" t="s">
        <v>358</v>
      </c>
      <c r="B1009" s="200">
        <v>6</v>
      </c>
      <c r="C1009" s="200">
        <v>0</v>
      </c>
      <c r="D1009" s="201" t="s">
        <v>283</v>
      </c>
      <c r="E1009" s="201" t="s">
        <v>322</v>
      </c>
      <c r="F1009" s="200" t="s">
        <v>394</v>
      </c>
      <c r="G1009" s="200" t="s">
        <v>688</v>
      </c>
    </row>
    <row r="1010" spans="1:7" hidden="1">
      <c r="A1010" s="199" t="s">
        <v>358</v>
      </c>
      <c r="B1010" s="200">
        <v>-6</v>
      </c>
      <c r="C1010" s="200">
        <v>0</v>
      </c>
      <c r="D1010" s="201" t="s">
        <v>283</v>
      </c>
      <c r="E1010" s="201" t="s">
        <v>322</v>
      </c>
      <c r="F1010" s="200" t="s">
        <v>409</v>
      </c>
      <c r="G1010" s="200" t="s">
        <v>688</v>
      </c>
    </row>
    <row r="1011" spans="1:7" hidden="1">
      <c r="A1011" s="199" t="s">
        <v>358</v>
      </c>
      <c r="B1011" s="200">
        <v>-1</v>
      </c>
      <c r="C1011" s="200">
        <v>0</v>
      </c>
      <c r="D1011" s="201" t="s">
        <v>437</v>
      </c>
      <c r="E1011" s="201" t="s">
        <v>322</v>
      </c>
      <c r="F1011" s="200" t="s">
        <v>394</v>
      </c>
      <c r="G1011" s="200" t="s">
        <v>688</v>
      </c>
    </row>
    <row r="1012" spans="1:7" hidden="1">
      <c r="A1012" s="199" t="s">
        <v>508</v>
      </c>
      <c r="B1012" s="200">
        <v>-5</v>
      </c>
      <c r="C1012" s="200">
        <v>0</v>
      </c>
      <c r="D1012" s="201" t="s">
        <v>283</v>
      </c>
      <c r="E1012" s="201" t="s">
        <v>315</v>
      </c>
      <c r="F1012" s="200" t="s">
        <v>394</v>
      </c>
      <c r="G1012" s="200" t="s">
        <v>688</v>
      </c>
    </row>
    <row r="1013" spans="1:7" hidden="1">
      <c r="A1013" s="199" t="s">
        <v>508</v>
      </c>
      <c r="B1013" s="200">
        <v>-7</v>
      </c>
      <c r="C1013" s="200">
        <v>0</v>
      </c>
      <c r="D1013" s="201" t="s">
        <v>437</v>
      </c>
      <c r="E1013" s="201" t="s">
        <v>315</v>
      </c>
      <c r="F1013" s="200" t="s">
        <v>394</v>
      </c>
      <c r="G1013" s="200" t="s">
        <v>688</v>
      </c>
    </row>
    <row r="1014" spans="1:7">
      <c r="A1014" s="199" t="s">
        <v>508</v>
      </c>
      <c r="B1014" s="200">
        <v>-5</v>
      </c>
      <c r="C1014" s="200">
        <v>0</v>
      </c>
      <c r="D1014" s="201" t="s">
        <v>282</v>
      </c>
      <c r="E1014" s="201" t="s">
        <v>315</v>
      </c>
      <c r="F1014" s="200" t="s">
        <v>394</v>
      </c>
      <c r="G1014" s="200" t="s">
        <v>688</v>
      </c>
    </row>
    <row r="1015" spans="1:7" hidden="1">
      <c r="A1015" s="199" t="s">
        <v>509</v>
      </c>
      <c r="B1015" s="200">
        <v>5</v>
      </c>
      <c r="C1015" s="200">
        <v>0</v>
      </c>
      <c r="D1015" s="201" t="s">
        <v>283</v>
      </c>
      <c r="E1015" s="201" t="s">
        <v>315</v>
      </c>
      <c r="F1015" s="200" t="s">
        <v>394</v>
      </c>
      <c r="G1015" s="200" t="s">
        <v>688</v>
      </c>
    </row>
    <row r="1016" spans="1:7" hidden="1">
      <c r="A1016" s="199" t="s">
        <v>509</v>
      </c>
      <c r="B1016" s="200">
        <v>7</v>
      </c>
      <c r="C1016" s="200">
        <v>0</v>
      </c>
      <c r="D1016" s="201" t="s">
        <v>437</v>
      </c>
      <c r="E1016" s="201" t="s">
        <v>315</v>
      </c>
      <c r="F1016" s="200" t="s">
        <v>394</v>
      </c>
      <c r="G1016" s="200" t="s">
        <v>688</v>
      </c>
    </row>
    <row r="1017" spans="1:7">
      <c r="A1017" s="199" t="s">
        <v>509</v>
      </c>
      <c r="B1017" s="200">
        <v>5</v>
      </c>
      <c r="C1017" s="200">
        <v>0</v>
      </c>
      <c r="D1017" s="201" t="s">
        <v>282</v>
      </c>
      <c r="E1017" s="201" t="s">
        <v>315</v>
      </c>
      <c r="F1017" s="200" t="s">
        <v>394</v>
      </c>
      <c r="G1017" s="200" t="s">
        <v>688</v>
      </c>
    </row>
    <row r="1018" spans="1:7" hidden="1">
      <c r="A1018" s="199" t="s">
        <v>510</v>
      </c>
      <c r="B1018" s="200">
        <v>1647</v>
      </c>
      <c r="C1018" s="200">
        <v>0</v>
      </c>
      <c r="D1018" s="201" t="s">
        <v>283</v>
      </c>
      <c r="E1018" s="201" t="s">
        <v>320</v>
      </c>
      <c r="F1018" s="200" t="s">
        <v>394</v>
      </c>
      <c r="G1018" s="200" t="s">
        <v>688</v>
      </c>
    </row>
    <row r="1019" spans="1:7">
      <c r="A1019" s="199" t="s">
        <v>510</v>
      </c>
      <c r="B1019" s="200">
        <v>-1647</v>
      </c>
      <c r="C1019" s="200">
        <v>0</v>
      </c>
      <c r="D1019" s="201" t="s">
        <v>282</v>
      </c>
      <c r="E1019" s="201" t="s">
        <v>320</v>
      </c>
      <c r="F1019" s="200" t="s">
        <v>394</v>
      </c>
      <c r="G1019" s="200" t="s">
        <v>688</v>
      </c>
    </row>
    <row r="1020" spans="1:7">
      <c r="A1020" s="199" t="s">
        <v>510</v>
      </c>
      <c r="B1020" s="200">
        <v>3294</v>
      </c>
      <c r="C1020" s="200">
        <v>0</v>
      </c>
      <c r="D1020" s="201" t="s">
        <v>282</v>
      </c>
      <c r="E1020" s="201" t="s">
        <v>320</v>
      </c>
      <c r="F1020" s="200" t="s">
        <v>393</v>
      </c>
      <c r="G1020" s="200" t="s">
        <v>688</v>
      </c>
    </row>
    <row r="1021" spans="1:7" hidden="1">
      <c r="A1021" s="199" t="s">
        <v>511</v>
      </c>
      <c r="B1021" s="200">
        <v>15</v>
      </c>
      <c r="C1021" s="200">
        <v>0</v>
      </c>
      <c r="D1021" s="201" t="s">
        <v>283</v>
      </c>
      <c r="E1021" s="201" t="s">
        <v>324</v>
      </c>
      <c r="F1021" s="200" t="s">
        <v>394</v>
      </c>
      <c r="G1021" s="200" t="s">
        <v>688</v>
      </c>
    </row>
    <row r="1022" spans="1:7">
      <c r="A1022" s="199" t="s">
        <v>511</v>
      </c>
      <c r="B1022" s="200">
        <v>-15</v>
      </c>
      <c r="C1022" s="200">
        <v>0</v>
      </c>
      <c r="D1022" s="201" t="s">
        <v>282</v>
      </c>
      <c r="E1022" s="201" t="s">
        <v>324</v>
      </c>
      <c r="F1022" s="200" t="s">
        <v>394</v>
      </c>
      <c r="G1022" s="200" t="s">
        <v>688</v>
      </c>
    </row>
    <row r="1023" spans="1:7">
      <c r="A1023" s="199" t="s">
        <v>511</v>
      </c>
      <c r="B1023" s="200">
        <v>29</v>
      </c>
      <c r="C1023" s="200">
        <v>0</v>
      </c>
      <c r="D1023" s="201" t="s">
        <v>282</v>
      </c>
      <c r="E1023" s="201" t="s">
        <v>324</v>
      </c>
      <c r="F1023" s="200" t="s">
        <v>408</v>
      </c>
      <c r="G1023" s="200" t="s">
        <v>688</v>
      </c>
    </row>
    <row r="1024" spans="1:7" hidden="1">
      <c r="A1024" s="199" t="s">
        <v>512</v>
      </c>
      <c r="B1024" s="200">
        <v>37</v>
      </c>
      <c r="C1024" s="200">
        <v>0</v>
      </c>
      <c r="D1024" s="201" t="s">
        <v>283</v>
      </c>
      <c r="E1024" s="201" t="s">
        <v>324</v>
      </c>
      <c r="F1024" s="200" t="s">
        <v>394</v>
      </c>
      <c r="G1024" s="200" t="s">
        <v>688</v>
      </c>
    </row>
    <row r="1025" spans="1:7">
      <c r="A1025" s="199" t="s">
        <v>512</v>
      </c>
      <c r="B1025" s="200">
        <v>-37</v>
      </c>
      <c r="C1025" s="200">
        <v>0</v>
      </c>
      <c r="D1025" s="201" t="s">
        <v>282</v>
      </c>
      <c r="E1025" s="201" t="s">
        <v>324</v>
      </c>
      <c r="F1025" s="200" t="s">
        <v>394</v>
      </c>
      <c r="G1025" s="200" t="s">
        <v>688</v>
      </c>
    </row>
    <row r="1026" spans="1:7">
      <c r="A1026" s="199" t="s">
        <v>512</v>
      </c>
      <c r="B1026" s="200">
        <v>73</v>
      </c>
      <c r="C1026" s="200">
        <v>0</v>
      </c>
      <c r="D1026" s="201" t="s">
        <v>282</v>
      </c>
      <c r="E1026" s="201" t="s">
        <v>324</v>
      </c>
      <c r="F1026" s="200" t="s">
        <v>408</v>
      </c>
      <c r="G1026" s="200" t="s">
        <v>688</v>
      </c>
    </row>
    <row r="1027" spans="1:7">
      <c r="A1027" s="199" t="s">
        <v>513</v>
      </c>
      <c r="B1027" s="200">
        <v>-1008</v>
      </c>
      <c r="C1027" s="200">
        <v>0</v>
      </c>
      <c r="D1027" s="201" t="s">
        <v>282</v>
      </c>
      <c r="E1027" s="201" t="s">
        <v>320</v>
      </c>
      <c r="F1027" s="200" t="s">
        <v>394</v>
      </c>
      <c r="G1027" s="200" t="s">
        <v>688</v>
      </c>
    </row>
    <row r="1028" spans="1:7">
      <c r="A1028" s="199" t="s">
        <v>513</v>
      </c>
      <c r="B1028" s="200">
        <v>5440</v>
      </c>
      <c r="C1028" s="200">
        <v>0</v>
      </c>
      <c r="D1028" s="201" t="s">
        <v>282</v>
      </c>
      <c r="E1028" s="201" t="s">
        <v>320</v>
      </c>
      <c r="F1028" s="200" t="s">
        <v>445</v>
      </c>
      <c r="G1028" s="200" t="s">
        <v>688</v>
      </c>
    </row>
    <row r="1029" spans="1:7">
      <c r="A1029" s="199" t="s">
        <v>513</v>
      </c>
      <c r="B1029" s="200">
        <v>-4432</v>
      </c>
      <c r="C1029" s="200">
        <v>0</v>
      </c>
      <c r="D1029" s="201" t="s">
        <v>282</v>
      </c>
      <c r="E1029" s="201" t="s">
        <v>320</v>
      </c>
      <c r="F1029" s="200" t="s">
        <v>393</v>
      </c>
      <c r="G1029" s="200" t="s">
        <v>688</v>
      </c>
    </row>
    <row r="1030" spans="1:7" hidden="1">
      <c r="A1030" s="199" t="s">
        <v>514</v>
      </c>
      <c r="B1030" s="200">
        <v>-152541</v>
      </c>
      <c r="C1030" s="200">
        <v>0</v>
      </c>
      <c r="D1030" s="201" t="s">
        <v>440</v>
      </c>
      <c r="E1030" s="201" t="s">
        <v>320</v>
      </c>
      <c r="F1030" s="200" t="s">
        <v>394</v>
      </c>
      <c r="G1030" s="200" t="s">
        <v>688</v>
      </c>
    </row>
    <row r="1031" spans="1:7" hidden="1">
      <c r="A1031" s="199" t="s">
        <v>514</v>
      </c>
      <c r="B1031" s="200">
        <v>-5213</v>
      </c>
      <c r="C1031" s="200">
        <v>0</v>
      </c>
      <c r="D1031" s="201" t="s">
        <v>442</v>
      </c>
      <c r="E1031" s="201" t="s">
        <v>320</v>
      </c>
      <c r="F1031" s="200" t="s">
        <v>394</v>
      </c>
      <c r="G1031" s="200" t="s">
        <v>688</v>
      </c>
    </row>
    <row r="1032" spans="1:7">
      <c r="A1032" s="199" t="s">
        <v>149</v>
      </c>
      <c r="B1032" s="200">
        <v>-6075</v>
      </c>
      <c r="C1032" s="200">
        <v>0</v>
      </c>
      <c r="D1032" s="201" t="s">
        <v>282</v>
      </c>
      <c r="E1032" s="201" t="s">
        <v>320</v>
      </c>
      <c r="F1032" s="200" t="s">
        <v>394</v>
      </c>
      <c r="G1032" s="200" t="s">
        <v>688</v>
      </c>
    </row>
    <row r="1033" spans="1:7">
      <c r="A1033" s="199" t="s">
        <v>149</v>
      </c>
      <c r="B1033" s="200">
        <v>1663</v>
      </c>
      <c r="C1033" s="200">
        <v>0</v>
      </c>
      <c r="D1033" s="201" t="s">
        <v>282</v>
      </c>
      <c r="E1033" s="201" t="s">
        <v>320</v>
      </c>
      <c r="F1033" s="200" t="s">
        <v>445</v>
      </c>
      <c r="G1033" s="200" t="s">
        <v>688</v>
      </c>
    </row>
    <row r="1034" spans="1:7">
      <c r="A1034" s="199" t="s">
        <v>149</v>
      </c>
      <c r="B1034" s="200">
        <v>2558</v>
      </c>
      <c r="C1034" s="200">
        <v>0</v>
      </c>
      <c r="D1034" s="201" t="s">
        <v>282</v>
      </c>
      <c r="E1034" s="201" t="s">
        <v>320</v>
      </c>
      <c r="F1034" s="200" t="s">
        <v>393</v>
      </c>
      <c r="G1034" s="200" t="s">
        <v>688</v>
      </c>
    </row>
    <row r="1035" spans="1:7">
      <c r="A1035" s="199" t="s">
        <v>149</v>
      </c>
      <c r="B1035" s="200">
        <v>1854</v>
      </c>
      <c r="C1035" s="200">
        <v>0</v>
      </c>
      <c r="D1035" s="201" t="s">
        <v>282</v>
      </c>
      <c r="E1035" s="201" t="s">
        <v>320</v>
      </c>
      <c r="F1035" s="200" t="s">
        <v>403</v>
      </c>
      <c r="G1035" s="200" t="s">
        <v>688</v>
      </c>
    </row>
    <row r="1036" spans="1:7">
      <c r="A1036" s="199" t="s">
        <v>515</v>
      </c>
      <c r="B1036" s="200">
        <v>-26</v>
      </c>
      <c r="C1036" s="200">
        <v>0</v>
      </c>
      <c r="D1036" s="201" t="s">
        <v>282</v>
      </c>
      <c r="E1036" s="201" t="s">
        <v>324</v>
      </c>
      <c r="F1036" s="200" t="s">
        <v>394</v>
      </c>
      <c r="G1036" s="200" t="s">
        <v>688</v>
      </c>
    </row>
    <row r="1037" spans="1:7">
      <c r="A1037" s="199" t="s">
        <v>515</v>
      </c>
      <c r="B1037" s="200">
        <v>26</v>
      </c>
      <c r="C1037" s="200">
        <v>0</v>
      </c>
      <c r="D1037" s="201" t="s">
        <v>282</v>
      </c>
      <c r="E1037" s="201" t="s">
        <v>324</v>
      </c>
      <c r="F1037" s="200" t="s">
        <v>408</v>
      </c>
      <c r="G1037" s="200" t="s">
        <v>688</v>
      </c>
    </row>
    <row r="1038" spans="1:7" hidden="1">
      <c r="A1038" s="199" t="s">
        <v>45</v>
      </c>
      <c r="B1038" s="200">
        <v>4140</v>
      </c>
      <c r="C1038" s="200">
        <v>0</v>
      </c>
      <c r="D1038" s="201" t="s">
        <v>437</v>
      </c>
      <c r="E1038" s="201" t="s">
        <v>320</v>
      </c>
      <c r="F1038" s="200" t="s">
        <v>394</v>
      </c>
      <c r="G1038" s="200" t="s">
        <v>688</v>
      </c>
    </row>
    <row r="1039" spans="1:7" hidden="1">
      <c r="A1039" s="199" t="s">
        <v>45</v>
      </c>
      <c r="B1039" s="200">
        <v>-4140</v>
      </c>
      <c r="C1039" s="200">
        <v>0</v>
      </c>
      <c r="D1039" s="201" t="s">
        <v>437</v>
      </c>
      <c r="E1039" s="201" t="s">
        <v>320</v>
      </c>
      <c r="F1039" s="200" t="s">
        <v>393</v>
      </c>
      <c r="G1039" s="200" t="s">
        <v>688</v>
      </c>
    </row>
    <row r="1040" spans="1:7" hidden="1">
      <c r="A1040" s="199" t="s">
        <v>395</v>
      </c>
      <c r="B1040" s="200">
        <v>77</v>
      </c>
      <c r="C1040" s="200">
        <v>0</v>
      </c>
      <c r="D1040" s="201" t="s">
        <v>283</v>
      </c>
      <c r="E1040" s="201" t="s">
        <v>517</v>
      </c>
      <c r="F1040" s="200" t="s">
        <v>394</v>
      </c>
      <c r="G1040" s="200" t="s">
        <v>688</v>
      </c>
    </row>
    <row r="1041" spans="1:7">
      <c r="A1041" s="199" t="s">
        <v>395</v>
      </c>
      <c r="B1041" s="200">
        <v>65</v>
      </c>
      <c r="C1041" s="200">
        <v>0</v>
      </c>
      <c r="D1041" s="201" t="s">
        <v>282</v>
      </c>
      <c r="E1041" s="201" t="s">
        <v>517</v>
      </c>
      <c r="F1041" s="200" t="s">
        <v>394</v>
      </c>
      <c r="G1041" s="200" t="s">
        <v>688</v>
      </c>
    </row>
    <row r="1042" spans="1:7">
      <c r="A1042" s="199" t="s">
        <v>395</v>
      </c>
      <c r="B1042" s="200">
        <v>11</v>
      </c>
      <c r="C1042" s="200">
        <v>0</v>
      </c>
      <c r="D1042" s="201" t="s">
        <v>282</v>
      </c>
      <c r="E1042" s="201" t="s">
        <v>517</v>
      </c>
      <c r="F1042" s="200" t="s">
        <v>393</v>
      </c>
      <c r="G1042" s="200" t="s">
        <v>688</v>
      </c>
    </row>
    <row r="1043" spans="1:7" hidden="1">
      <c r="A1043" s="199" t="s">
        <v>696</v>
      </c>
      <c r="B1043" s="200">
        <v>-16300</v>
      </c>
      <c r="C1043" s="200">
        <v>0</v>
      </c>
      <c r="D1043" s="201" t="s">
        <v>440</v>
      </c>
      <c r="E1043" s="201" t="s">
        <v>697</v>
      </c>
      <c r="F1043" s="200" t="s">
        <v>394</v>
      </c>
      <c r="G1043" s="200" t="s">
        <v>688</v>
      </c>
    </row>
    <row r="1044" spans="1:7" hidden="1">
      <c r="A1044" s="199" t="s">
        <v>696</v>
      </c>
      <c r="B1044" s="200">
        <v>16300</v>
      </c>
      <c r="C1044" s="200">
        <v>0</v>
      </c>
      <c r="D1044" s="201" t="s">
        <v>440</v>
      </c>
      <c r="E1044" s="201" t="s">
        <v>697</v>
      </c>
      <c r="F1044" s="200" t="s">
        <v>407</v>
      </c>
      <c r="G1044" s="200" t="s">
        <v>688</v>
      </c>
    </row>
    <row r="1045" spans="1:7" hidden="1">
      <c r="A1045" s="199" t="s">
        <v>698</v>
      </c>
      <c r="B1045" s="200">
        <v>-208000</v>
      </c>
      <c r="C1045" s="200">
        <v>0</v>
      </c>
      <c r="D1045" s="201" t="s">
        <v>442</v>
      </c>
      <c r="E1045" s="201" t="s">
        <v>692</v>
      </c>
      <c r="F1045" s="200" t="s">
        <v>409</v>
      </c>
      <c r="G1045" s="200" t="s">
        <v>688</v>
      </c>
    </row>
    <row r="1046" spans="1:7" hidden="1">
      <c r="A1046" s="199" t="s">
        <v>699</v>
      </c>
      <c r="B1046" s="200">
        <v>-208000</v>
      </c>
      <c r="C1046" s="200">
        <v>0</v>
      </c>
      <c r="D1046" s="201" t="s">
        <v>442</v>
      </c>
      <c r="E1046" s="201" t="s">
        <v>692</v>
      </c>
      <c r="F1046" s="200" t="s">
        <v>409</v>
      </c>
      <c r="G1046" s="200" t="s">
        <v>688</v>
      </c>
    </row>
    <row r="1047" spans="1:7" hidden="1">
      <c r="A1047" s="199" t="s">
        <v>700</v>
      </c>
      <c r="B1047" s="200">
        <v>208000</v>
      </c>
      <c r="C1047" s="200">
        <v>0</v>
      </c>
      <c r="D1047" s="201" t="s">
        <v>442</v>
      </c>
      <c r="E1047" s="201" t="s">
        <v>692</v>
      </c>
      <c r="F1047" s="200" t="s">
        <v>409</v>
      </c>
      <c r="G1047" s="200" t="s">
        <v>688</v>
      </c>
    </row>
    <row r="1048" spans="1:7">
      <c r="A1048" s="199" t="s">
        <v>303</v>
      </c>
      <c r="B1048" s="200">
        <v>-326</v>
      </c>
      <c r="C1048" s="200">
        <v>0</v>
      </c>
      <c r="D1048" s="201" t="s">
        <v>282</v>
      </c>
      <c r="E1048" s="201" t="s">
        <v>317</v>
      </c>
      <c r="F1048" s="200" t="s">
        <v>394</v>
      </c>
      <c r="G1048" s="200" t="s">
        <v>688</v>
      </c>
    </row>
    <row r="1049" spans="1:7">
      <c r="A1049" s="199" t="s">
        <v>303</v>
      </c>
      <c r="B1049" s="200">
        <v>344</v>
      </c>
      <c r="C1049" s="200">
        <v>0</v>
      </c>
      <c r="D1049" s="201" t="s">
        <v>282</v>
      </c>
      <c r="E1049" s="201" t="s">
        <v>317</v>
      </c>
      <c r="F1049" s="200" t="s">
        <v>445</v>
      </c>
      <c r="G1049" s="200" t="s">
        <v>688</v>
      </c>
    </row>
    <row r="1050" spans="1:7">
      <c r="A1050" s="199" t="s">
        <v>303</v>
      </c>
      <c r="B1050" s="200">
        <v>40</v>
      </c>
      <c r="C1050" s="200">
        <v>0</v>
      </c>
      <c r="D1050" s="201" t="s">
        <v>282</v>
      </c>
      <c r="E1050" s="201" t="s">
        <v>317</v>
      </c>
      <c r="F1050" s="200" t="s">
        <v>393</v>
      </c>
      <c r="G1050" s="200" t="s">
        <v>688</v>
      </c>
    </row>
    <row r="1051" spans="1:7">
      <c r="A1051" s="199" t="s">
        <v>303</v>
      </c>
      <c r="B1051" s="200">
        <v>-58</v>
      </c>
      <c r="C1051" s="200">
        <v>0</v>
      </c>
      <c r="D1051" s="201" t="s">
        <v>282</v>
      </c>
      <c r="E1051" s="201" t="s">
        <v>317</v>
      </c>
      <c r="F1051" s="200" t="s">
        <v>403</v>
      </c>
      <c r="G1051" s="200" t="s">
        <v>688</v>
      </c>
    </row>
    <row r="1052" spans="1:7" hidden="1">
      <c r="A1052" s="199" t="s">
        <v>521</v>
      </c>
      <c r="B1052" s="200">
        <v>-1143</v>
      </c>
      <c r="C1052" s="200">
        <v>0</v>
      </c>
      <c r="D1052" s="201" t="s">
        <v>442</v>
      </c>
      <c r="E1052" s="201" t="s">
        <v>522</v>
      </c>
      <c r="F1052" s="200" t="s">
        <v>394</v>
      </c>
      <c r="G1052" s="200" t="s">
        <v>688</v>
      </c>
    </row>
    <row r="1053" spans="1:7" hidden="1">
      <c r="A1053" s="199" t="s">
        <v>701</v>
      </c>
      <c r="B1053" s="200">
        <v>-5</v>
      </c>
      <c r="C1053" s="200">
        <v>0</v>
      </c>
      <c r="D1053" s="201" t="s">
        <v>442</v>
      </c>
      <c r="E1053" s="201" t="s">
        <v>702</v>
      </c>
      <c r="F1053" s="200" t="s">
        <v>394</v>
      </c>
      <c r="G1053" s="200" t="s">
        <v>688</v>
      </c>
    </row>
    <row r="1054" spans="1:7" hidden="1">
      <c r="A1054" s="199" t="s">
        <v>703</v>
      </c>
      <c r="B1054" s="200">
        <v>24500</v>
      </c>
      <c r="C1054" s="200">
        <v>0</v>
      </c>
      <c r="D1054" s="201" t="s">
        <v>440</v>
      </c>
      <c r="E1054" s="201" t="s">
        <v>704</v>
      </c>
      <c r="F1054" s="200" t="s">
        <v>409</v>
      </c>
      <c r="G1054" s="200" t="s">
        <v>688</v>
      </c>
    </row>
    <row r="1055" spans="1:7" hidden="1">
      <c r="A1055" s="199" t="s">
        <v>705</v>
      </c>
      <c r="B1055" s="200">
        <v>23300</v>
      </c>
      <c r="C1055" s="200">
        <v>0</v>
      </c>
      <c r="D1055" s="201" t="s">
        <v>440</v>
      </c>
      <c r="E1055" s="201" t="s">
        <v>704</v>
      </c>
      <c r="F1055" s="200" t="s">
        <v>409</v>
      </c>
      <c r="G1055" s="200" t="s">
        <v>688</v>
      </c>
    </row>
    <row r="1056" spans="1:7" hidden="1">
      <c r="A1056" s="199" t="s">
        <v>706</v>
      </c>
      <c r="B1056" s="200">
        <v>-31700</v>
      </c>
      <c r="C1056" s="200">
        <v>0</v>
      </c>
      <c r="D1056" s="201" t="s">
        <v>440</v>
      </c>
      <c r="E1056" s="201" t="s">
        <v>704</v>
      </c>
      <c r="F1056" s="200" t="s">
        <v>409</v>
      </c>
      <c r="G1056" s="200" t="s">
        <v>688</v>
      </c>
    </row>
    <row r="1057" spans="1:7" hidden="1">
      <c r="A1057" s="199" t="s">
        <v>707</v>
      </c>
      <c r="B1057" s="200">
        <v>31700</v>
      </c>
      <c r="C1057" s="200">
        <v>0</v>
      </c>
      <c r="D1057" s="201" t="s">
        <v>440</v>
      </c>
      <c r="E1057" s="201" t="s">
        <v>704</v>
      </c>
      <c r="F1057" s="200" t="s">
        <v>409</v>
      </c>
      <c r="G1057" s="200" t="s">
        <v>688</v>
      </c>
    </row>
    <row r="1058" spans="1:7" hidden="1">
      <c r="A1058" s="199" t="s">
        <v>89</v>
      </c>
      <c r="B1058" s="200">
        <v>-363</v>
      </c>
      <c r="C1058" s="200">
        <v>0</v>
      </c>
      <c r="D1058" s="201" t="s">
        <v>283</v>
      </c>
      <c r="E1058" s="201" t="s">
        <v>320</v>
      </c>
      <c r="F1058" s="200" t="s">
        <v>394</v>
      </c>
      <c r="G1058" s="200" t="s">
        <v>688</v>
      </c>
    </row>
    <row r="1059" spans="1:7" hidden="1">
      <c r="A1059" s="199" t="s">
        <v>89</v>
      </c>
      <c r="B1059" s="200">
        <v>363</v>
      </c>
      <c r="C1059" s="200">
        <v>0</v>
      </c>
      <c r="D1059" s="201" t="s">
        <v>283</v>
      </c>
      <c r="E1059" s="201" t="s">
        <v>320</v>
      </c>
      <c r="F1059" s="200" t="s">
        <v>441</v>
      </c>
      <c r="G1059" s="200" t="s">
        <v>688</v>
      </c>
    </row>
    <row r="1060" spans="1:7">
      <c r="A1060" s="199" t="s">
        <v>89</v>
      </c>
      <c r="B1060" s="200">
        <v>-5597</v>
      </c>
      <c r="C1060" s="200">
        <v>0</v>
      </c>
      <c r="D1060" s="201" t="s">
        <v>282</v>
      </c>
      <c r="E1060" s="201" t="s">
        <v>320</v>
      </c>
      <c r="F1060" s="200" t="s">
        <v>394</v>
      </c>
      <c r="G1060" s="200" t="s">
        <v>688</v>
      </c>
    </row>
    <row r="1061" spans="1:7">
      <c r="A1061" s="199" t="s">
        <v>89</v>
      </c>
      <c r="B1061" s="200">
        <v>3637</v>
      </c>
      <c r="C1061" s="200">
        <v>0</v>
      </c>
      <c r="D1061" s="201" t="s">
        <v>282</v>
      </c>
      <c r="E1061" s="201" t="s">
        <v>320</v>
      </c>
      <c r="F1061" s="200" t="s">
        <v>393</v>
      </c>
      <c r="G1061" s="200" t="s">
        <v>688</v>
      </c>
    </row>
    <row r="1062" spans="1:7">
      <c r="A1062" s="199" t="s">
        <v>89</v>
      </c>
      <c r="B1062" s="200">
        <v>1274</v>
      </c>
      <c r="C1062" s="200">
        <v>0</v>
      </c>
      <c r="D1062" s="201" t="s">
        <v>282</v>
      </c>
      <c r="E1062" s="201" t="s">
        <v>320</v>
      </c>
      <c r="F1062" s="200" t="s">
        <v>413</v>
      </c>
      <c r="G1062" s="200" t="s">
        <v>688</v>
      </c>
    </row>
    <row r="1063" spans="1:7">
      <c r="A1063" s="199" t="s">
        <v>89</v>
      </c>
      <c r="B1063" s="200">
        <v>2071</v>
      </c>
      <c r="C1063" s="200">
        <v>0</v>
      </c>
      <c r="D1063" s="201" t="s">
        <v>282</v>
      </c>
      <c r="E1063" s="201" t="s">
        <v>320</v>
      </c>
      <c r="F1063" s="200" t="s">
        <v>403</v>
      </c>
      <c r="G1063" s="200" t="s">
        <v>688</v>
      </c>
    </row>
    <row r="1064" spans="1:7">
      <c r="A1064" s="199" t="s">
        <v>89</v>
      </c>
      <c r="B1064" s="200">
        <v>-363</v>
      </c>
      <c r="C1064" s="200">
        <v>0</v>
      </c>
      <c r="D1064" s="201" t="s">
        <v>282</v>
      </c>
      <c r="E1064" s="201" t="s">
        <v>320</v>
      </c>
      <c r="F1064" s="200" t="s">
        <v>441</v>
      </c>
      <c r="G1064" s="200" t="s">
        <v>688</v>
      </c>
    </row>
    <row r="1065" spans="1:7">
      <c r="A1065" s="199" t="s">
        <v>89</v>
      </c>
      <c r="B1065" s="200">
        <v>-1022</v>
      </c>
      <c r="C1065" s="200">
        <v>0</v>
      </c>
      <c r="D1065" s="201" t="s">
        <v>282</v>
      </c>
      <c r="E1065" s="201" t="s">
        <v>320</v>
      </c>
      <c r="F1065" s="200" t="s">
        <v>411</v>
      </c>
      <c r="G1065" s="200" t="s">
        <v>688</v>
      </c>
    </row>
    <row r="1066" spans="1:7">
      <c r="A1066" s="199" t="s">
        <v>708</v>
      </c>
      <c r="B1066" s="200">
        <v>2550</v>
      </c>
      <c r="C1066" s="200">
        <v>0</v>
      </c>
      <c r="D1066" s="201" t="s">
        <v>282</v>
      </c>
      <c r="E1066" s="201" t="s">
        <v>317</v>
      </c>
      <c r="F1066" s="200" t="s">
        <v>394</v>
      </c>
      <c r="G1066" s="200" t="s">
        <v>688</v>
      </c>
    </row>
    <row r="1067" spans="1:7">
      <c r="A1067" s="199" t="s">
        <v>708</v>
      </c>
      <c r="B1067" s="200">
        <v>-2550</v>
      </c>
      <c r="C1067" s="200">
        <v>0</v>
      </c>
      <c r="D1067" s="201" t="s">
        <v>282</v>
      </c>
      <c r="E1067" s="201" t="s">
        <v>317</v>
      </c>
      <c r="F1067" s="200" t="s">
        <v>407</v>
      </c>
      <c r="G1067" s="200" t="s">
        <v>688</v>
      </c>
    </row>
    <row r="1068" spans="1:7" hidden="1">
      <c r="A1068" s="199" t="s">
        <v>234</v>
      </c>
      <c r="B1068" s="200">
        <v>55</v>
      </c>
      <c r="C1068" s="200">
        <v>0</v>
      </c>
      <c r="D1068" s="201" t="s">
        <v>283</v>
      </c>
      <c r="E1068" s="201" t="s">
        <v>319</v>
      </c>
      <c r="F1068" s="200" t="s">
        <v>441</v>
      </c>
      <c r="G1068" s="200" t="s">
        <v>688</v>
      </c>
    </row>
    <row r="1069" spans="1:7">
      <c r="A1069" s="199" t="s">
        <v>234</v>
      </c>
      <c r="B1069" s="200">
        <v>110</v>
      </c>
      <c r="C1069" s="200">
        <v>0</v>
      </c>
      <c r="D1069" s="201" t="s">
        <v>282</v>
      </c>
      <c r="E1069" s="201" t="s">
        <v>319</v>
      </c>
      <c r="F1069" s="200" t="s">
        <v>408</v>
      </c>
      <c r="G1069" s="200" t="s">
        <v>688</v>
      </c>
    </row>
    <row r="1070" spans="1:7">
      <c r="A1070" s="199" t="s">
        <v>234</v>
      </c>
      <c r="B1070" s="200">
        <v>-55</v>
      </c>
      <c r="C1070" s="200">
        <v>0</v>
      </c>
      <c r="D1070" s="201" t="s">
        <v>282</v>
      </c>
      <c r="E1070" s="201" t="s">
        <v>319</v>
      </c>
      <c r="F1070" s="200" t="s">
        <v>441</v>
      </c>
      <c r="G1070" s="200" t="s">
        <v>688</v>
      </c>
    </row>
    <row r="1071" spans="1:7" hidden="1">
      <c r="A1071" s="199" t="s">
        <v>524</v>
      </c>
      <c r="B1071" s="200">
        <v>618800</v>
      </c>
      <c r="C1071" s="200">
        <v>0</v>
      </c>
      <c r="D1071" s="201" t="s">
        <v>437</v>
      </c>
      <c r="E1071" s="201" t="s">
        <v>525</v>
      </c>
      <c r="F1071" s="200" t="s">
        <v>394</v>
      </c>
      <c r="G1071" s="200" t="s">
        <v>688</v>
      </c>
    </row>
    <row r="1072" spans="1:7" hidden="1">
      <c r="A1072" s="199" t="s">
        <v>524</v>
      </c>
      <c r="B1072" s="200">
        <v>-618800</v>
      </c>
      <c r="C1072" s="200">
        <v>0</v>
      </c>
      <c r="D1072" s="201" t="s">
        <v>437</v>
      </c>
      <c r="E1072" s="201" t="s">
        <v>525</v>
      </c>
      <c r="F1072" s="200" t="s">
        <v>393</v>
      </c>
      <c r="G1072" s="200" t="s">
        <v>688</v>
      </c>
    </row>
    <row r="1073" spans="1:7">
      <c r="A1073" s="199" t="s">
        <v>524</v>
      </c>
      <c r="B1073" s="200">
        <v>618800</v>
      </c>
      <c r="C1073" s="200">
        <v>0</v>
      </c>
      <c r="D1073" s="201" t="s">
        <v>282</v>
      </c>
      <c r="E1073" s="201" t="s">
        <v>525</v>
      </c>
      <c r="F1073" s="200" t="s">
        <v>394</v>
      </c>
      <c r="G1073" s="200" t="s">
        <v>688</v>
      </c>
    </row>
    <row r="1074" spans="1:7">
      <c r="A1074" s="199" t="s">
        <v>524</v>
      </c>
      <c r="B1074" s="200">
        <v>-618800</v>
      </c>
      <c r="C1074" s="200">
        <v>0</v>
      </c>
      <c r="D1074" s="201" t="s">
        <v>282</v>
      </c>
      <c r="E1074" s="201" t="s">
        <v>525</v>
      </c>
      <c r="F1074" s="200" t="s">
        <v>393</v>
      </c>
      <c r="G1074" s="200" t="s">
        <v>688</v>
      </c>
    </row>
    <row r="1075" spans="1:7" hidden="1">
      <c r="A1075" s="199" t="s">
        <v>526</v>
      </c>
      <c r="B1075" s="200">
        <v>348203</v>
      </c>
      <c r="C1075" s="200">
        <v>0</v>
      </c>
      <c r="D1075" s="201" t="s">
        <v>440</v>
      </c>
      <c r="E1075" s="201" t="s">
        <v>39</v>
      </c>
      <c r="F1075" s="200" t="s">
        <v>394</v>
      </c>
      <c r="G1075" s="200" t="s">
        <v>688</v>
      </c>
    </row>
    <row r="1076" spans="1:7" hidden="1">
      <c r="A1076" s="199" t="s">
        <v>526</v>
      </c>
      <c r="B1076" s="200">
        <v>14179</v>
      </c>
      <c r="C1076" s="200">
        <v>0</v>
      </c>
      <c r="D1076" s="201" t="s">
        <v>442</v>
      </c>
      <c r="E1076" s="201" t="s">
        <v>39</v>
      </c>
      <c r="F1076" s="200" t="s">
        <v>394</v>
      </c>
      <c r="G1076" s="200" t="s">
        <v>688</v>
      </c>
    </row>
    <row r="1077" spans="1:7" hidden="1">
      <c r="A1077" s="199" t="s">
        <v>527</v>
      </c>
      <c r="B1077" s="200">
        <v>-3020</v>
      </c>
      <c r="C1077" s="200">
        <v>0</v>
      </c>
      <c r="D1077" s="201" t="s">
        <v>440</v>
      </c>
      <c r="E1077" s="201" t="s">
        <v>327</v>
      </c>
      <c r="F1077" s="200" t="s">
        <v>394</v>
      </c>
      <c r="G1077" s="200" t="s">
        <v>688</v>
      </c>
    </row>
    <row r="1078" spans="1:7" hidden="1">
      <c r="A1078" s="199" t="s">
        <v>528</v>
      </c>
      <c r="B1078" s="200">
        <v>-3020</v>
      </c>
      <c r="C1078" s="200">
        <v>0</v>
      </c>
      <c r="D1078" s="201" t="s">
        <v>440</v>
      </c>
      <c r="E1078" s="201" t="s">
        <v>327</v>
      </c>
      <c r="F1078" s="200" t="s">
        <v>394</v>
      </c>
      <c r="G1078" s="200" t="s">
        <v>688</v>
      </c>
    </row>
    <row r="1079" spans="1:7" hidden="1">
      <c r="A1079" s="199" t="s">
        <v>529</v>
      </c>
      <c r="B1079" s="200">
        <v>3020</v>
      </c>
      <c r="C1079" s="200">
        <v>0</v>
      </c>
      <c r="D1079" s="201" t="s">
        <v>440</v>
      </c>
      <c r="E1079" s="201" t="s">
        <v>327</v>
      </c>
      <c r="F1079" s="200" t="s">
        <v>394</v>
      </c>
      <c r="G1079" s="200" t="s">
        <v>688</v>
      </c>
    </row>
    <row r="1080" spans="1:7" hidden="1">
      <c r="A1080" s="199" t="s">
        <v>530</v>
      </c>
      <c r="B1080" s="200">
        <v>-3280</v>
      </c>
      <c r="C1080" s="200">
        <v>0</v>
      </c>
      <c r="D1080" s="201" t="s">
        <v>440</v>
      </c>
      <c r="E1080" s="201" t="s">
        <v>327</v>
      </c>
      <c r="F1080" s="200" t="s">
        <v>409</v>
      </c>
      <c r="G1080" s="200" t="s">
        <v>688</v>
      </c>
    </row>
    <row r="1081" spans="1:7" hidden="1">
      <c r="A1081" s="199" t="s">
        <v>531</v>
      </c>
      <c r="B1081" s="200">
        <v>-3280</v>
      </c>
      <c r="C1081" s="200">
        <v>0</v>
      </c>
      <c r="D1081" s="201" t="s">
        <v>440</v>
      </c>
      <c r="E1081" s="201" t="s">
        <v>327</v>
      </c>
      <c r="F1081" s="200" t="s">
        <v>409</v>
      </c>
      <c r="G1081" s="200" t="s">
        <v>688</v>
      </c>
    </row>
    <row r="1082" spans="1:7" hidden="1">
      <c r="A1082" s="199" t="s">
        <v>532</v>
      </c>
      <c r="B1082" s="200">
        <v>3280</v>
      </c>
      <c r="C1082" s="200">
        <v>0</v>
      </c>
      <c r="D1082" s="201" t="s">
        <v>440</v>
      </c>
      <c r="E1082" s="201" t="s">
        <v>327</v>
      </c>
      <c r="F1082" s="200" t="s">
        <v>409</v>
      </c>
      <c r="G1082" s="200" t="s">
        <v>688</v>
      </c>
    </row>
    <row r="1083" spans="1:7" hidden="1">
      <c r="A1083" s="199" t="s">
        <v>709</v>
      </c>
      <c r="B1083" s="200">
        <v>-44300</v>
      </c>
      <c r="C1083" s="200">
        <v>0</v>
      </c>
      <c r="D1083" s="201" t="s">
        <v>442</v>
      </c>
      <c r="E1083" s="201" t="s">
        <v>692</v>
      </c>
      <c r="F1083" s="200" t="s">
        <v>409</v>
      </c>
      <c r="G1083" s="200" t="s">
        <v>688</v>
      </c>
    </row>
    <row r="1084" spans="1:7" hidden="1">
      <c r="A1084" s="199" t="s">
        <v>710</v>
      </c>
      <c r="B1084" s="200">
        <v>44300</v>
      </c>
      <c r="C1084" s="200">
        <v>0</v>
      </c>
      <c r="D1084" s="201" t="s">
        <v>442</v>
      </c>
      <c r="E1084" s="201" t="s">
        <v>692</v>
      </c>
      <c r="F1084" s="200" t="s">
        <v>409</v>
      </c>
      <c r="G1084" s="200" t="s">
        <v>688</v>
      </c>
    </row>
    <row r="1085" spans="1:7" hidden="1">
      <c r="A1085" s="199" t="s">
        <v>711</v>
      </c>
      <c r="B1085" s="200">
        <v>438000</v>
      </c>
      <c r="C1085" s="200">
        <v>0</v>
      </c>
      <c r="D1085" s="201" t="s">
        <v>440</v>
      </c>
      <c r="E1085" s="201" t="s">
        <v>692</v>
      </c>
      <c r="F1085" s="200" t="s">
        <v>409</v>
      </c>
      <c r="G1085" s="200" t="s">
        <v>688</v>
      </c>
    </row>
    <row r="1086" spans="1:7" hidden="1">
      <c r="A1086" s="199" t="s">
        <v>144</v>
      </c>
      <c r="B1086" s="200">
        <v>79</v>
      </c>
      <c r="C1086" s="200">
        <v>0</v>
      </c>
      <c r="D1086" s="201" t="s">
        <v>440</v>
      </c>
      <c r="E1086" s="201" t="s">
        <v>320</v>
      </c>
      <c r="F1086" s="200" t="s">
        <v>394</v>
      </c>
      <c r="G1086" s="200" t="s">
        <v>688</v>
      </c>
    </row>
    <row r="1087" spans="1:7" hidden="1">
      <c r="A1087" s="199" t="s">
        <v>144</v>
      </c>
      <c r="B1087" s="200">
        <v>-79</v>
      </c>
      <c r="C1087" s="200">
        <v>0</v>
      </c>
      <c r="D1087" s="201" t="s">
        <v>440</v>
      </c>
      <c r="E1087" s="201" t="s">
        <v>320</v>
      </c>
      <c r="F1087" s="200" t="s">
        <v>441</v>
      </c>
      <c r="G1087" s="200" t="s">
        <v>688</v>
      </c>
    </row>
    <row r="1088" spans="1:7" hidden="1">
      <c r="A1088" s="199" t="s">
        <v>144</v>
      </c>
      <c r="B1088" s="200">
        <v>-79</v>
      </c>
      <c r="C1088" s="200">
        <v>0</v>
      </c>
      <c r="D1088" s="201" t="s">
        <v>437</v>
      </c>
      <c r="E1088" s="201" t="s">
        <v>320</v>
      </c>
      <c r="F1088" s="200" t="s">
        <v>394</v>
      </c>
      <c r="G1088" s="200" t="s">
        <v>688</v>
      </c>
    </row>
    <row r="1089" spans="1:7" hidden="1">
      <c r="A1089" s="199" t="s">
        <v>144</v>
      </c>
      <c r="B1089" s="200">
        <v>79</v>
      </c>
      <c r="C1089" s="200">
        <v>0</v>
      </c>
      <c r="D1089" s="201" t="s">
        <v>437</v>
      </c>
      <c r="E1089" s="201" t="s">
        <v>320</v>
      </c>
      <c r="F1089" s="200" t="s">
        <v>441</v>
      </c>
      <c r="G1089" s="200" t="s">
        <v>688</v>
      </c>
    </row>
    <row r="1090" spans="1:7">
      <c r="A1090" s="199" t="s">
        <v>144</v>
      </c>
      <c r="B1090" s="200">
        <v>703</v>
      </c>
      <c r="C1090" s="200">
        <v>0</v>
      </c>
      <c r="D1090" s="201" t="s">
        <v>282</v>
      </c>
      <c r="E1090" s="201" t="s">
        <v>320</v>
      </c>
      <c r="F1090" s="200" t="s">
        <v>394</v>
      </c>
      <c r="G1090" s="200" t="s">
        <v>688</v>
      </c>
    </row>
    <row r="1091" spans="1:7">
      <c r="A1091" s="199" t="s">
        <v>144</v>
      </c>
      <c r="B1091" s="200">
        <v>-703</v>
      </c>
      <c r="C1091" s="200">
        <v>0</v>
      </c>
      <c r="D1091" s="201" t="s">
        <v>282</v>
      </c>
      <c r="E1091" s="201" t="s">
        <v>320</v>
      </c>
      <c r="F1091" s="200" t="s">
        <v>393</v>
      </c>
      <c r="G1091" s="200" t="s">
        <v>688</v>
      </c>
    </row>
    <row r="1092" spans="1:7" hidden="1">
      <c r="A1092" s="199" t="s">
        <v>144</v>
      </c>
      <c r="B1092" s="200">
        <v>-108</v>
      </c>
      <c r="C1092" s="200">
        <v>0</v>
      </c>
      <c r="D1092" s="201" t="s">
        <v>442</v>
      </c>
      <c r="E1092" s="201" t="s">
        <v>320</v>
      </c>
      <c r="F1092" s="200" t="s">
        <v>394</v>
      </c>
      <c r="G1092" s="200" t="s">
        <v>688</v>
      </c>
    </row>
    <row r="1093" spans="1:7" hidden="1">
      <c r="A1093" s="199" t="s">
        <v>533</v>
      </c>
      <c r="B1093" s="200">
        <v>1400</v>
      </c>
      <c r="C1093" s="200">
        <v>0</v>
      </c>
      <c r="D1093" s="201" t="s">
        <v>442</v>
      </c>
      <c r="E1093" s="201" t="s">
        <v>39</v>
      </c>
      <c r="F1093" s="200" t="s">
        <v>394</v>
      </c>
      <c r="G1093" s="200" t="s">
        <v>688</v>
      </c>
    </row>
    <row r="1094" spans="1:7" hidden="1">
      <c r="A1094" s="199" t="s">
        <v>6</v>
      </c>
      <c r="B1094" s="200">
        <v>1277</v>
      </c>
      <c r="C1094" s="200">
        <v>0</v>
      </c>
      <c r="D1094" s="201" t="s">
        <v>283</v>
      </c>
      <c r="E1094" s="201" t="s">
        <v>320</v>
      </c>
      <c r="F1094" s="200" t="s">
        <v>394</v>
      </c>
      <c r="G1094" s="200" t="s">
        <v>688</v>
      </c>
    </row>
    <row r="1095" spans="1:7" hidden="1">
      <c r="A1095" s="199" t="s">
        <v>6</v>
      </c>
      <c r="B1095" s="200">
        <v>-1277</v>
      </c>
      <c r="C1095" s="200">
        <v>0</v>
      </c>
      <c r="D1095" s="201" t="s">
        <v>283</v>
      </c>
      <c r="E1095" s="201" t="s">
        <v>320</v>
      </c>
      <c r="F1095" s="200" t="s">
        <v>441</v>
      </c>
      <c r="G1095" s="200" t="s">
        <v>688</v>
      </c>
    </row>
    <row r="1096" spans="1:7" hidden="1">
      <c r="A1096" s="199" t="s">
        <v>6</v>
      </c>
      <c r="B1096" s="200">
        <v>-1370</v>
      </c>
      <c r="C1096" s="200">
        <v>0</v>
      </c>
      <c r="D1096" s="201" t="s">
        <v>437</v>
      </c>
      <c r="E1096" s="201" t="s">
        <v>320</v>
      </c>
      <c r="F1096" s="200" t="s">
        <v>394</v>
      </c>
      <c r="G1096" s="200" t="s">
        <v>688</v>
      </c>
    </row>
    <row r="1097" spans="1:7">
      <c r="A1097" s="199" t="s">
        <v>6</v>
      </c>
      <c r="B1097" s="200">
        <v>5534</v>
      </c>
      <c r="C1097" s="200">
        <v>0</v>
      </c>
      <c r="D1097" s="201" t="s">
        <v>282</v>
      </c>
      <c r="E1097" s="201" t="s">
        <v>320</v>
      </c>
      <c r="F1097" s="200" t="s">
        <v>394</v>
      </c>
      <c r="G1097" s="200" t="s">
        <v>688</v>
      </c>
    </row>
    <row r="1098" spans="1:7">
      <c r="A1098" s="199" t="s">
        <v>6</v>
      </c>
      <c r="B1098" s="200">
        <v>162</v>
      </c>
      <c r="C1098" s="200">
        <v>0</v>
      </c>
      <c r="D1098" s="201" t="s">
        <v>282</v>
      </c>
      <c r="E1098" s="201" t="s">
        <v>320</v>
      </c>
      <c r="F1098" s="200" t="s">
        <v>445</v>
      </c>
      <c r="G1098" s="200" t="s">
        <v>688</v>
      </c>
    </row>
    <row r="1099" spans="1:7">
      <c r="A1099" s="199" t="s">
        <v>6</v>
      </c>
      <c r="B1099" s="200">
        <v>1137</v>
      </c>
      <c r="C1099" s="200">
        <v>0</v>
      </c>
      <c r="D1099" s="201" t="s">
        <v>282</v>
      </c>
      <c r="E1099" s="201" t="s">
        <v>320</v>
      </c>
      <c r="F1099" s="200" t="s">
        <v>393</v>
      </c>
      <c r="G1099" s="200" t="s">
        <v>688</v>
      </c>
    </row>
    <row r="1100" spans="1:7">
      <c r="A1100" s="199" t="s">
        <v>6</v>
      </c>
      <c r="B1100" s="200">
        <v>-1757</v>
      </c>
      <c r="C1100" s="200">
        <v>0</v>
      </c>
      <c r="D1100" s="201" t="s">
        <v>282</v>
      </c>
      <c r="E1100" s="201" t="s">
        <v>320</v>
      </c>
      <c r="F1100" s="200" t="s">
        <v>413</v>
      </c>
      <c r="G1100" s="200" t="s">
        <v>688</v>
      </c>
    </row>
    <row r="1101" spans="1:7">
      <c r="A1101" s="199" t="s">
        <v>6</v>
      </c>
      <c r="B1101" s="200">
        <v>-5051</v>
      </c>
      <c r="C1101" s="200">
        <v>0</v>
      </c>
      <c r="D1101" s="201" t="s">
        <v>282</v>
      </c>
      <c r="E1101" s="201" t="s">
        <v>320</v>
      </c>
      <c r="F1101" s="200" t="s">
        <v>403</v>
      </c>
      <c r="G1101" s="200" t="s">
        <v>688</v>
      </c>
    </row>
    <row r="1102" spans="1:7">
      <c r="A1102" s="199" t="s">
        <v>6</v>
      </c>
      <c r="B1102" s="200">
        <v>1277</v>
      </c>
      <c r="C1102" s="200">
        <v>0</v>
      </c>
      <c r="D1102" s="201" t="s">
        <v>282</v>
      </c>
      <c r="E1102" s="201" t="s">
        <v>320</v>
      </c>
      <c r="F1102" s="200" t="s">
        <v>441</v>
      </c>
      <c r="G1102" s="200" t="s">
        <v>688</v>
      </c>
    </row>
    <row r="1103" spans="1:7">
      <c r="A1103" s="199" t="s">
        <v>6</v>
      </c>
      <c r="B1103" s="200">
        <v>-1302</v>
      </c>
      <c r="C1103" s="200">
        <v>0</v>
      </c>
      <c r="D1103" s="201" t="s">
        <v>282</v>
      </c>
      <c r="E1103" s="201" t="s">
        <v>320</v>
      </c>
      <c r="F1103" s="200" t="s">
        <v>449</v>
      </c>
      <c r="G1103" s="200" t="s">
        <v>688</v>
      </c>
    </row>
    <row r="1104" spans="1:7" hidden="1">
      <c r="A1104" s="199" t="s">
        <v>71</v>
      </c>
      <c r="B1104" s="200">
        <v>2929</v>
      </c>
      <c r="C1104" s="200">
        <v>0</v>
      </c>
      <c r="D1104" s="201" t="s">
        <v>283</v>
      </c>
      <c r="E1104" s="201" t="s">
        <v>320</v>
      </c>
      <c r="F1104" s="200" t="s">
        <v>394</v>
      </c>
      <c r="G1104" s="200" t="s">
        <v>688</v>
      </c>
    </row>
    <row r="1105" spans="1:7">
      <c r="A1105" s="199" t="s">
        <v>71</v>
      </c>
      <c r="B1105" s="200">
        <v>-2253</v>
      </c>
      <c r="C1105" s="200">
        <v>0</v>
      </c>
      <c r="D1105" s="201" t="s">
        <v>282</v>
      </c>
      <c r="E1105" s="201" t="s">
        <v>320</v>
      </c>
      <c r="F1105" s="200" t="s">
        <v>394</v>
      </c>
      <c r="G1105" s="200" t="s">
        <v>688</v>
      </c>
    </row>
    <row r="1106" spans="1:7">
      <c r="A1106" s="199" t="s">
        <v>71</v>
      </c>
      <c r="B1106" s="200">
        <v>-676</v>
      </c>
      <c r="C1106" s="200">
        <v>0</v>
      </c>
      <c r="D1106" s="201" t="s">
        <v>282</v>
      </c>
      <c r="E1106" s="201" t="s">
        <v>320</v>
      </c>
      <c r="F1106" s="200" t="s">
        <v>445</v>
      </c>
      <c r="G1106" s="200" t="s">
        <v>688</v>
      </c>
    </row>
    <row r="1107" spans="1:7">
      <c r="A1107" s="199" t="s">
        <v>71</v>
      </c>
      <c r="B1107" s="200">
        <v>5857</v>
      </c>
      <c r="C1107" s="200">
        <v>0</v>
      </c>
      <c r="D1107" s="201" t="s">
        <v>282</v>
      </c>
      <c r="E1107" s="201" t="s">
        <v>320</v>
      </c>
      <c r="F1107" s="200" t="s">
        <v>393</v>
      </c>
      <c r="G1107" s="200" t="s">
        <v>688</v>
      </c>
    </row>
    <row r="1108" spans="1:7" hidden="1">
      <c r="A1108" s="199" t="s">
        <v>534</v>
      </c>
      <c r="B1108" s="200">
        <v>19</v>
      </c>
      <c r="C1108" s="200">
        <v>0</v>
      </c>
      <c r="D1108" s="201" t="s">
        <v>283</v>
      </c>
      <c r="E1108" s="201" t="s">
        <v>324</v>
      </c>
      <c r="F1108" s="200" t="s">
        <v>394</v>
      </c>
      <c r="G1108" s="200" t="s">
        <v>688</v>
      </c>
    </row>
    <row r="1109" spans="1:7">
      <c r="A1109" s="199" t="s">
        <v>534</v>
      </c>
      <c r="B1109" s="200">
        <v>-19</v>
      </c>
      <c r="C1109" s="200">
        <v>0</v>
      </c>
      <c r="D1109" s="201" t="s">
        <v>282</v>
      </c>
      <c r="E1109" s="201" t="s">
        <v>324</v>
      </c>
      <c r="F1109" s="200" t="s">
        <v>394</v>
      </c>
      <c r="G1109" s="200" t="s">
        <v>688</v>
      </c>
    </row>
    <row r="1110" spans="1:7">
      <c r="A1110" s="199" t="s">
        <v>534</v>
      </c>
      <c r="B1110" s="200">
        <v>37</v>
      </c>
      <c r="C1110" s="200">
        <v>0</v>
      </c>
      <c r="D1110" s="201" t="s">
        <v>282</v>
      </c>
      <c r="E1110" s="201" t="s">
        <v>324</v>
      </c>
      <c r="F1110" s="200" t="s">
        <v>408</v>
      </c>
      <c r="G1110" s="200" t="s">
        <v>688</v>
      </c>
    </row>
    <row r="1111" spans="1:7" hidden="1">
      <c r="A1111" s="199" t="s">
        <v>535</v>
      </c>
      <c r="B1111" s="200">
        <v>48</v>
      </c>
      <c r="C1111" s="200">
        <v>0</v>
      </c>
      <c r="D1111" s="201" t="s">
        <v>283</v>
      </c>
      <c r="E1111" s="201" t="s">
        <v>324</v>
      </c>
      <c r="F1111" s="200" t="s">
        <v>394</v>
      </c>
      <c r="G1111" s="200" t="s">
        <v>688</v>
      </c>
    </row>
    <row r="1112" spans="1:7">
      <c r="A1112" s="199" t="s">
        <v>535</v>
      </c>
      <c r="B1112" s="200">
        <v>-48</v>
      </c>
      <c r="C1112" s="200">
        <v>0</v>
      </c>
      <c r="D1112" s="201" t="s">
        <v>282</v>
      </c>
      <c r="E1112" s="201" t="s">
        <v>324</v>
      </c>
      <c r="F1112" s="200" t="s">
        <v>394</v>
      </c>
      <c r="G1112" s="200" t="s">
        <v>688</v>
      </c>
    </row>
    <row r="1113" spans="1:7">
      <c r="A1113" s="199" t="s">
        <v>535</v>
      </c>
      <c r="B1113" s="200">
        <v>96</v>
      </c>
      <c r="C1113" s="200">
        <v>0</v>
      </c>
      <c r="D1113" s="201" t="s">
        <v>282</v>
      </c>
      <c r="E1113" s="201" t="s">
        <v>324</v>
      </c>
      <c r="F1113" s="200" t="s">
        <v>408</v>
      </c>
      <c r="G1113" s="200" t="s">
        <v>688</v>
      </c>
    </row>
    <row r="1114" spans="1:7" hidden="1">
      <c r="A1114" s="199" t="s">
        <v>50</v>
      </c>
      <c r="B1114" s="200">
        <v>901</v>
      </c>
      <c r="C1114" s="200">
        <v>0</v>
      </c>
      <c r="D1114" s="201" t="s">
        <v>283</v>
      </c>
      <c r="E1114" s="201" t="s">
        <v>320</v>
      </c>
      <c r="F1114" s="200" t="s">
        <v>408</v>
      </c>
      <c r="G1114" s="200" t="s">
        <v>688</v>
      </c>
    </row>
    <row r="1115" spans="1:7" hidden="1">
      <c r="A1115" s="199" t="s">
        <v>50</v>
      </c>
      <c r="B1115" s="200">
        <v>-182</v>
      </c>
      <c r="C1115" s="200">
        <v>0</v>
      </c>
      <c r="D1115" s="201" t="s">
        <v>283</v>
      </c>
      <c r="E1115" s="201" t="s">
        <v>320</v>
      </c>
      <c r="F1115" s="200" t="s">
        <v>393</v>
      </c>
      <c r="G1115" s="200" t="s">
        <v>688</v>
      </c>
    </row>
    <row r="1116" spans="1:7" hidden="1">
      <c r="A1116" s="199" t="s">
        <v>50</v>
      </c>
      <c r="B1116" s="200">
        <v>-719</v>
      </c>
      <c r="C1116" s="200">
        <v>0</v>
      </c>
      <c r="D1116" s="201" t="s">
        <v>283</v>
      </c>
      <c r="E1116" s="201" t="s">
        <v>320</v>
      </c>
      <c r="F1116" s="200" t="s">
        <v>413</v>
      </c>
      <c r="G1116" s="200" t="s">
        <v>688</v>
      </c>
    </row>
    <row r="1117" spans="1:7" hidden="1">
      <c r="A1117" s="199" t="s">
        <v>50</v>
      </c>
      <c r="B1117" s="200">
        <v>3742</v>
      </c>
      <c r="C1117" s="200">
        <v>0</v>
      </c>
      <c r="D1117" s="201" t="s">
        <v>437</v>
      </c>
      <c r="E1117" s="201" t="s">
        <v>320</v>
      </c>
      <c r="F1117" s="200" t="s">
        <v>394</v>
      </c>
      <c r="G1117" s="200" t="s">
        <v>688</v>
      </c>
    </row>
    <row r="1118" spans="1:7" hidden="1">
      <c r="A1118" s="199" t="s">
        <v>50</v>
      </c>
      <c r="B1118" s="200">
        <v>-3742</v>
      </c>
      <c r="C1118" s="200">
        <v>0</v>
      </c>
      <c r="D1118" s="201" t="s">
        <v>437</v>
      </c>
      <c r="E1118" s="201" t="s">
        <v>320</v>
      </c>
      <c r="F1118" s="200" t="s">
        <v>393</v>
      </c>
      <c r="G1118" s="200" t="s">
        <v>688</v>
      </c>
    </row>
    <row r="1119" spans="1:7">
      <c r="A1119" s="199" t="s">
        <v>50</v>
      </c>
      <c r="B1119" s="200">
        <v>684</v>
      </c>
      <c r="C1119" s="200">
        <v>0</v>
      </c>
      <c r="D1119" s="201" t="s">
        <v>282</v>
      </c>
      <c r="E1119" s="201" t="s">
        <v>320</v>
      </c>
      <c r="F1119" s="200" t="s">
        <v>394</v>
      </c>
      <c r="G1119" s="200" t="s">
        <v>688</v>
      </c>
    </row>
    <row r="1120" spans="1:7">
      <c r="A1120" s="199" t="s">
        <v>50</v>
      </c>
      <c r="B1120" s="200">
        <v>901</v>
      </c>
      <c r="C1120" s="200">
        <v>0</v>
      </c>
      <c r="D1120" s="201" t="s">
        <v>282</v>
      </c>
      <c r="E1120" s="201" t="s">
        <v>320</v>
      </c>
      <c r="F1120" s="200" t="s">
        <v>408</v>
      </c>
      <c r="G1120" s="200" t="s">
        <v>688</v>
      </c>
    </row>
    <row r="1121" spans="1:7">
      <c r="A1121" s="199" t="s">
        <v>50</v>
      </c>
      <c r="B1121" s="200">
        <v>156</v>
      </c>
      <c r="C1121" s="200">
        <v>0</v>
      </c>
      <c r="D1121" s="201" t="s">
        <v>282</v>
      </c>
      <c r="E1121" s="201" t="s">
        <v>320</v>
      </c>
      <c r="F1121" s="200" t="s">
        <v>393</v>
      </c>
      <c r="G1121" s="200" t="s">
        <v>688</v>
      </c>
    </row>
    <row r="1122" spans="1:7">
      <c r="A1122" s="199" t="s">
        <v>50</v>
      </c>
      <c r="B1122" s="200">
        <v>-4071</v>
      </c>
      <c r="C1122" s="200">
        <v>0</v>
      </c>
      <c r="D1122" s="201" t="s">
        <v>282</v>
      </c>
      <c r="E1122" s="201" t="s">
        <v>320</v>
      </c>
      <c r="F1122" s="200" t="s">
        <v>413</v>
      </c>
      <c r="G1122" s="200" t="s">
        <v>688</v>
      </c>
    </row>
    <row r="1123" spans="1:7">
      <c r="A1123" s="199" t="s">
        <v>50</v>
      </c>
      <c r="B1123" s="200">
        <v>2330</v>
      </c>
      <c r="C1123" s="200">
        <v>0</v>
      </c>
      <c r="D1123" s="201" t="s">
        <v>282</v>
      </c>
      <c r="E1123" s="201" t="s">
        <v>320</v>
      </c>
      <c r="F1123" s="200" t="s">
        <v>403</v>
      </c>
      <c r="G1123" s="200" t="s">
        <v>688</v>
      </c>
    </row>
    <row r="1124" spans="1:7" hidden="1">
      <c r="A1124" s="199" t="s">
        <v>50</v>
      </c>
      <c r="B1124" s="200">
        <v>435</v>
      </c>
      <c r="C1124" s="200">
        <v>0</v>
      </c>
      <c r="D1124" s="201" t="s">
        <v>442</v>
      </c>
      <c r="E1124" s="201" t="s">
        <v>320</v>
      </c>
      <c r="F1124" s="200" t="s">
        <v>394</v>
      </c>
      <c r="G1124" s="200" t="s">
        <v>688</v>
      </c>
    </row>
    <row r="1125" spans="1:7" hidden="1">
      <c r="A1125" s="199" t="s">
        <v>536</v>
      </c>
      <c r="B1125" s="200">
        <v>-28</v>
      </c>
      <c r="C1125" s="200">
        <v>0</v>
      </c>
      <c r="D1125" s="201" t="s">
        <v>283</v>
      </c>
      <c r="E1125" s="201" t="s">
        <v>324</v>
      </c>
      <c r="F1125" s="200" t="s">
        <v>394</v>
      </c>
      <c r="G1125" s="200" t="s">
        <v>688</v>
      </c>
    </row>
    <row r="1126" spans="1:7" hidden="1">
      <c r="A1126" s="199" t="s">
        <v>536</v>
      </c>
      <c r="B1126" s="200">
        <v>28</v>
      </c>
      <c r="C1126" s="200">
        <v>0</v>
      </c>
      <c r="D1126" s="201" t="s">
        <v>283</v>
      </c>
      <c r="E1126" s="201" t="s">
        <v>324</v>
      </c>
      <c r="F1126" s="200" t="s">
        <v>441</v>
      </c>
      <c r="G1126" s="200" t="s">
        <v>688</v>
      </c>
    </row>
    <row r="1127" spans="1:7">
      <c r="A1127" s="199" t="s">
        <v>536</v>
      </c>
      <c r="B1127" s="200">
        <v>28</v>
      </c>
      <c r="C1127" s="200">
        <v>0</v>
      </c>
      <c r="D1127" s="201" t="s">
        <v>282</v>
      </c>
      <c r="E1127" s="201" t="s">
        <v>324</v>
      </c>
      <c r="F1127" s="200" t="s">
        <v>394</v>
      </c>
      <c r="G1127" s="200" t="s">
        <v>688</v>
      </c>
    </row>
    <row r="1128" spans="1:7">
      <c r="A1128" s="199" t="s">
        <v>536</v>
      </c>
      <c r="B1128" s="200">
        <v>-22</v>
      </c>
      <c r="C1128" s="200">
        <v>0</v>
      </c>
      <c r="D1128" s="201" t="s">
        <v>282</v>
      </c>
      <c r="E1128" s="201" t="s">
        <v>324</v>
      </c>
      <c r="F1128" s="200" t="s">
        <v>408</v>
      </c>
      <c r="G1128" s="200" t="s">
        <v>688</v>
      </c>
    </row>
    <row r="1129" spans="1:7">
      <c r="A1129" s="199" t="s">
        <v>536</v>
      </c>
      <c r="B1129" s="200">
        <v>22</v>
      </c>
      <c r="C1129" s="200">
        <v>0</v>
      </c>
      <c r="D1129" s="201" t="s">
        <v>282</v>
      </c>
      <c r="E1129" s="201" t="s">
        <v>324</v>
      </c>
      <c r="F1129" s="200" t="s">
        <v>393</v>
      </c>
      <c r="G1129" s="200" t="s">
        <v>688</v>
      </c>
    </row>
    <row r="1130" spans="1:7">
      <c r="A1130" s="199" t="s">
        <v>536</v>
      </c>
      <c r="B1130" s="200">
        <v>-28</v>
      </c>
      <c r="C1130" s="200">
        <v>0</v>
      </c>
      <c r="D1130" s="201" t="s">
        <v>282</v>
      </c>
      <c r="E1130" s="201" t="s">
        <v>324</v>
      </c>
      <c r="F1130" s="200" t="s">
        <v>441</v>
      </c>
      <c r="G1130" s="200" t="s">
        <v>688</v>
      </c>
    </row>
    <row r="1131" spans="1:7" hidden="1">
      <c r="A1131" s="199" t="s">
        <v>537</v>
      </c>
      <c r="B1131" s="200">
        <v>-724</v>
      </c>
      <c r="C1131" s="200">
        <v>0</v>
      </c>
      <c r="D1131" s="201" t="s">
        <v>283</v>
      </c>
      <c r="E1131" s="201" t="s">
        <v>324</v>
      </c>
      <c r="F1131" s="200" t="s">
        <v>394</v>
      </c>
      <c r="G1131" s="200" t="s">
        <v>688</v>
      </c>
    </row>
    <row r="1132" spans="1:7" hidden="1">
      <c r="A1132" s="199" t="s">
        <v>537</v>
      </c>
      <c r="B1132" s="200">
        <v>60</v>
      </c>
      <c r="C1132" s="200">
        <v>0</v>
      </c>
      <c r="D1132" s="201" t="s">
        <v>283</v>
      </c>
      <c r="E1132" s="201" t="s">
        <v>324</v>
      </c>
      <c r="F1132" s="200" t="s">
        <v>408</v>
      </c>
      <c r="G1132" s="200" t="s">
        <v>688</v>
      </c>
    </row>
    <row r="1133" spans="1:7" hidden="1">
      <c r="A1133" s="199" t="s">
        <v>537</v>
      </c>
      <c r="B1133" s="200">
        <v>787</v>
      </c>
      <c r="C1133" s="200">
        <v>0</v>
      </c>
      <c r="D1133" s="201" t="s">
        <v>283</v>
      </c>
      <c r="E1133" s="201" t="s">
        <v>324</v>
      </c>
      <c r="F1133" s="200" t="s">
        <v>441</v>
      </c>
      <c r="G1133" s="200" t="s">
        <v>688</v>
      </c>
    </row>
    <row r="1134" spans="1:7">
      <c r="A1134" s="199" t="s">
        <v>537</v>
      </c>
      <c r="B1134" s="200">
        <v>724</v>
      </c>
      <c r="C1134" s="200">
        <v>0</v>
      </c>
      <c r="D1134" s="201" t="s">
        <v>282</v>
      </c>
      <c r="E1134" s="201" t="s">
        <v>324</v>
      </c>
      <c r="F1134" s="200" t="s">
        <v>394</v>
      </c>
      <c r="G1134" s="200" t="s">
        <v>688</v>
      </c>
    </row>
    <row r="1135" spans="1:7">
      <c r="A1135" s="199" t="s">
        <v>537</v>
      </c>
      <c r="B1135" s="200">
        <v>128</v>
      </c>
      <c r="C1135" s="200">
        <v>0</v>
      </c>
      <c r="D1135" s="201" t="s">
        <v>282</v>
      </c>
      <c r="E1135" s="201" t="s">
        <v>324</v>
      </c>
      <c r="F1135" s="200" t="s">
        <v>408</v>
      </c>
      <c r="G1135" s="200" t="s">
        <v>688</v>
      </c>
    </row>
    <row r="1136" spans="1:7">
      <c r="A1136" s="199" t="s">
        <v>537</v>
      </c>
      <c r="B1136" s="200">
        <v>57</v>
      </c>
      <c r="C1136" s="200">
        <v>0</v>
      </c>
      <c r="D1136" s="201" t="s">
        <v>282</v>
      </c>
      <c r="E1136" s="201" t="s">
        <v>324</v>
      </c>
      <c r="F1136" s="200" t="s">
        <v>393</v>
      </c>
      <c r="G1136" s="200" t="s">
        <v>688</v>
      </c>
    </row>
    <row r="1137" spans="1:7">
      <c r="A1137" s="199" t="s">
        <v>537</v>
      </c>
      <c r="B1137" s="200">
        <v>-787</v>
      </c>
      <c r="C1137" s="200">
        <v>0</v>
      </c>
      <c r="D1137" s="201" t="s">
        <v>282</v>
      </c>
      <c r="E1137" s="201" t="s">
        <v>324</v>
      </c>
      <c r="F1137" s="200" t="s">
        <v>441</v>
      </c>
      <c r="G1137" s="200" t="s">
        <v>688</v>
      </c>
    </row>
    <row r="1138" spans="1:7" hidden="1">
      <c r="A1138" s="199" t="s">
        <v>538</v>
      </c>
      <c r="B1138" s="200">
        <v>28</v>
      </c>
      <c r="C1138" s="200">
        <v>0</v>
      </c>
      <c r="D1138" s="201" t="s">
        <v>283</v>
      </c>
      <c r="E1138" s="201" t="s">
        <v>324</v>
      </c>
      <c r="F1138" s="200" t="s">
        <v>394</v>
      </c>
      <c r="G1138" s="200" t="s">
        <v>688</v>
      </c>
    </row>
    <row r="1139" spans="1:7" hidden="1">
      <c r="A1139" s="199" t="s">
        <v>538</v>
      </c>
      <c r="B1139" s="200">
        <v>-28</v>
      </c>
      <c r="C1139" s="200">
        <v>0</v>
      </c>
      <c r="D1139" s="201" t="s">
        <v>283</v>
      </c>
      <c r="E1139" s="201" t="s">
        <v>324</v>
      </c>
      <c r="F1139" s="200" t="s">
        <v>441</v>
      </c>
      <c r="G1139" s="200" t="s">
        <v>688</v>
      </c>
    </row>
    <row r="1140" spans="1:7">
      <c r="A1140" s="199" t="s">
        <v>538</v>
      </c>
      <c r="B1140" s="200">
        <v>-28</v>
      </c>
      <c r="C1140" s="200">
        <v>0</v>
      </c>
      <c r="D1140" s="201" t="s">
        <v>282</v>
      </c>
      <c r="E1140" s="201" t="s">
        <v>324</v>
      </c>
      <c r="F1140" s="200" t="s">
        <v>394</v>
      </c>
      <c r="G1140" s="200" t="s">
        <v>688</v>
      </c>
    </row>
    <row r="1141" spans="1:7">
      <c r="A1141" s="199" t="s">
        <v>538</v>
      </c>
      <c r="B1141" s="200">
        <v>22</v>
      </c>
      <c r="C1141" s="200">
        <v>0</v>
      </c>
      <c r="D1141" s="201" t="s">
        <v>282</v>
      </c>
      <c r="E1141" s="201" t="s">
        <v>324</v>
      </c>
      <c r="F1141" s="200" t="s">
        <v>408</v>
      </c>
      <c r="G1141" s="200" t="s">
        <v>688</v>
      </c>
    </row>
    <row r="1142" spans="1:7">
      <c r="A1142" s="199" t="s">
        <v>538</v>
      </c>
      <c r="B1142" s="200">
        <v>-22</v>
      </c>
      <c r="C1142" s="200">
        <v>0</v>
      </c>
      <c r="D1142" s="201" t="s">
        <v>282</v>
      </c>
      <c r="E1142" s="201" t="s">
        <v>324</v>
      </c>
      <c r="F1142" s="200" t="s">
        <v>393</v>
      </c>
      <c r="G1142" s="200" t="s">
        <v>688</v>
      </c>
    </row>
    <row r="1143" spans="1:7">
      <c r="A1143" s="199" t="s">
        <v>538</v>
      </c>
      <c r="B1143" s="200">
        <v>28</v>
      </c>
      <c r="C1143" s="200">
        <v>0</v>
      </c>
      <c r="D1143" s="201" t="s">
        <v>282</v>
      </c>
      <c r="E1143" s="201" t="s">
        <v>324</v>
      </c>
      <c r="F1143" s="200" t="s">
        <v>441</v>
      </c>
      <c r="G1143" s="200" t="s">
        <v>688</v>
      </c>
    </row>
    <row r="1144" spans="1:7" hidden="1">
      <c r="A1144" s="199" t="s">
        <v>539</v>
      </c>
      <c r="B1144" s="200">
        <v>46</v>
      </c>
      <c r="C1144" s="200">
        <v>0</v>
      </c>
      <c r="D1144" s="201" t="s">
        <v>283</v>
      </c>
      <c r="E1144" s="201" t="s">
        <v>324</v>
      </c>
      <c r="F1144" s="200" t="s">
        <v>394</v>
      </c>
      <c r="G1144" s="200" t="s">
        <v>688</v>
      </c>
    </row>
    <row r="1145" spans="1:7" hidden="1">
      <c r="A1145" s="199" t="s">
        <v>539</v>
      </c>
      <c r="B1145" s="200">
        <v>-60</v>
      </c>
      <c r="C1145" s="200">
        <v>0</v>
      </c>
      <c r="D1145" s="201" t="s">
        <v>283</v>
      </c>
      <c r="E1145" s="201" t="s">
        <v>324</v>
      </c>
      <c r="F1145" s="200" t="s">
        <v>408</v>
      </c>
      <c r="G1145" s="200" t="s">
        <v>688</v>
      </c>
    </row>
    <row r="1146" spans="1:7" hidden="1">
      <c r="A1146" s="199" t="s">
        <v>539</v>
      </c>
      <c r="B1146" s="200">
        <v>-63</v>
      </c>
      <c r="C1146" s="200">
        <v>0</v>
      </c>
      <c r="D1146" s="201" t="s">
        <v>283</v>
      </c>
      <c r="E1146" s="201" t="s">
        <v>324</v>
      </c>
      <c r="F1146" s="200" t="s">
        <v>441</v>
      </c>
      <c r="G1146" s="200" t="s">
        <v>688</v>
      </c>
    </row>
    <row r="1147" spans="1:7">
      <c r="A1147" s="199" t="s">
        <v>539</v>
      </c>
      <c r="B1147" s="200">
        <v>-46</v>
      </c>
      <c r="C1147" s="200">
        <v>0</v>
      </c>
      <c r="D1147" s="201" t="s">
        <v>282</v>
      </c>
      <c r="E1147" s="201" t="s">
        <v>324</v>
      </c>
      <c r="F1147" s="200" t="s">
        <v>394</v>
      </c>
      <c r="G1147" s="200" t="s">
        <v>688</v>
      </c>
    </row>
    <row r="1148" spans="1:7">
      <c r="A1148" s="199" t="s">
        <v>539</v>
      </c>
      <c r="B1148" s="200">
        <v>-37</v>
      </c>
      <c r="C1148" s="200">
        <v>0</v>
      </c>
      <c r="D1148" s="201" t="s">
        <v>282</v>
      </c>
      <c r="E1148" s="201" t="s">
        <v>324</v>
      </c>
      <c r="F1148" s="200" t="s">
        <v>408</v>
      </c>
      <c r="G1148" s="200" t="s">
        <v>688</v>
      </c>
    </row>
    <row r="1149" spans="1:7">
      <c r="A1149" s="199" t="s">
        <v>539</v>
      </c>
      <c r="B1149" s="200">
        <v>-58</v>
      </c>
      <c r="C1149" s="200">
        <v>0</v>
      </c>
      <c r="D1149" s="201" t="s">
        <v>282</v>
      </c>
      <c r="E1149" s="201" t="s">
        <v>324</v>
      </c>
      <c r="F1149" s="200" t="s">
        <v>393</v>
      </c>
      <c r="G1149" s="200" t="s">
        <v>688</v>
      </c>
    </row>
    <row r="1150" spans="1:7">
      <c r="A1150" s="199" t="s">
        <v>539</v>
      </c>
      <c r="B1150" s="200">
        <v>63</v>
      </c>
      <c r="C1150" s="200">
        <v>0</v>
      </c>
      <c r="D1150" s="201" t="s">
        <v>282</v>
      </c>
      <c r="E1150" s="201" t="s">
        <v>324</v>
      </c>
      <c r="F1150" s="200" t="s">
        <v>441</v>
      </c>
      <c r="G1150" s="200" t="s">
        <v>688</v>
      </c>
    </row>
    <row r="1151" spans="1:7" hidden="1">
      <c r="A1151" s="199" t="s">
        <v>540</v>
      </c>
      <c r="B1151" s="200">
        <v>-46</v>
      </c>
      <c r="C1151" s="200">
        <v>0</v>
      </c>
      <c r="D1151" s="201" t="s">
        <v>283</v>
      </c>
      <c r="E1151" s="201" t="s">
        <v>324</v>
      </c>
      <c r="F1151" s="200" t="s">
        <v>394</v>
      </c>
      <c r="G1151" s="200" t="s">
        <v>688</v>
      </c>
    </row>
    <row r="1152" spans="1:7">
      <c r="A1152" s="199" t="s">
        <v>540</v>
      </c>
      <c r="B1152" s="200">
        <v>46</v>
      </c>
      <c r="C1152" s="200">
        <v>0</v>
      </c>
      <c r="D1152" s="201" t="s">
        <v>282</v>
      </c>
      <c r="E1152" s="201" t="s">
        <v>324</v>
      </c>
      <c r="F1152" s="200" t="s">
        <v>394</v>
      </c>
      <c r="G1152" s="200" t="s">
        <v>688</v>
      </c>
    </row>
    <row r="1153" spans="1:7">
      <c r="A1153" s="199" t="s">
        <v>540</v>
      </c>
      <c r="B1153" s="200">
        <v>-91</v>
      </c>
      <c r="C1153" s="200">
        <v>0</v>
      </c>
      <c r="D1153" s="201" t="s">
        <v>282</v>
      </c>
      <c r="E1153" s="201" t="s">
        <v>324</v>
      </c>
      <c r="F1153" s="200" t="s">
        <v>408</v>
      </c>
      <c r="G1153" s="200" t="s">
        <v>688</v>
      </c>
    </row>
    <row r="1154" spans="1:7" hidden="1">
      <c r="A1154" s="199" t="s">
        <v>276</v>
      </c>
      <c r="B1154" s="200">
        <v>74</v>
      </c>
      <c r="C1154" s="200">
        <v>0</v>
      </c>
      <c r="D1154" s="201" t="s">
        <v>283</v>
      </c>
      <c r="E1154" s="201" t="s">
        <v>324</v>
      </c>
      <c r="F1154" s="200" t="s">
        <v>394</v>
      </c>
      <c r="G1154" s="200" t="s">
        <v>688</v>
      </c>
    </row>
    <row r="1155" spans="1:7">
      <c r="A1155" s="199" t="s">
        <v>276</v>
      </c>
      <c r="B1155" s="200">
        <v>-74</v>
      </c>
      <c r="C1155" s="200">
        <v>0</v>
      </c>
      <c r="D1155" s="201" t="s">
        <v>282</v>
      </c>
      <c r="E1155" s="201" t="s">
        <v>324</v>
      </c>
      <c r="F1155" s="200" t="s">
        <v>394</v>
      </c>
      <c r="G1155" s="200" t="s">
        <v>688</v>
      </c>
    </row>
    <row r="1156" spans="1:7">
      <c r="A1156" s="199" t="s">
        <v>276</v>
      </c>
      <c r="B1156" s="200">
        <v>147</v>
      </c>
      <c r="C1156" s="200">
        <v>0</v>
      </c>
      <c r="D1156" s="201" t="s">
        <v>282</v>
      </c>
      <c r="E1156" s="201" t="s">
        <v>324</v>
      </c>
      <c r="F1156" s="200" t="s">
        <v>408</v>
      </c>
      <c r="G1156" s="200" t="s">
        <v>688</v>
      </c>
    </row>
    <row r="1157" spans="1:7" hidden="1">
      <c r="A1157" s="199" t="s">
        <v>277</v>
      </c>
      <c r="B1157" s="200">
        <v>-75</v>
      </c>
      <c r="C1157" s="200">
        <v>0</v>
      </c>
      <c r="D1157" s="201" t="s">
        <v>283</v>
      </c>
      <c r="E1157" s="201" t="s">
        <v>324</v>
      </c>
      <c r="F1157" s="200" t="s">
        <v>394</v>
      </c>
      <c r="G1157" s="200" t="s">
        <v>688</v>
      </c>
    </row>
    <row r="1158" spans="1:7">
      <c r="A1158" s="199" t="s">
        <v>277</v>
      </c>
      <c r="B1158" s="200">
        <v>75</v>
      </c>
      <c r="C1158" s="200">
        <v>0</v>
      </c>
      <c r="D1158" s="201" t="s">
        <v>282</v>
      </c>
      <c r="E1158" s="201" t="s">
        <v>324</v>
      </c>
      <c r="F1158" s="200" t="s">
        <v>394</v>
      </c>
      <c r="G1158" s="200" t="s">
        <v>688</v>
      </c>
    </row>
    <row r="1159" spans="1:7">
      <c r="A1159" s="199" t="s">
        <v>277</v>
      </c>
      <c r="B1159" s="200">
        <v>-149</v>
      </c>
      <c r="C1159" s="200">
        <v>0</v>
      </c>
      <c r="D1159" s="201" t="s">
        <v>282</v>
      </c>
      <c r="E1159" s="201" t="s">
        <v>324</v>
      </c>
      <c r="F1159" s="200" t="s">
        <v>408</v>
      </c>
      <c r="G1159" s="200" t="s">
        <v>688</v>
      </c>
    </row>
    <row r="1160" spans="1:7" hidden="1">
      <c r="A1160" s="199" t="s">
        <v>541</v>
      </c>
      <c r="B1160" s="200">
        <v>-40000</v>
      </c>
      <c r="C1160" s="200">
        <v>0</v>
      </c>
      <c r="D1160" s="201" t="s">
        <v>463</v>
      </c>
      <c r="E1160" s="201" t="s">
        <v>464</v>
      </c>
      <c r="F1160" s="200" t="s">
        <v>413</v>
      </c>
      <c r="G1160" s="200" t="s">
        <v>688</v>
      </c>
    </row>
    <row r="1161" spans="1:7" hidden="1">
      <c r="A1161" s="199" t="s">
        <v>541</v>
      </c>
      <c r="B1161" s="200">
        <v>40000</v>
      </c>
      <c r="C1161" s="200">
        <v>0</v>
      </c>
      <c r="D1161" s="201" t="s">
        <v>463</v>
      </c>
      <c r="E1161" s="201" t="s">
        <v>464</v>
      </c>
      <c r="F1161" s="200" t="s">
        <v>469</v>
      </c>
      <c r="G1161" s="200" t="s">
        <v>688</v>
      </c>
    </row>
    <row r="1162" spans="1:7" hidden="1">
      <c r="A1162" s="199" t="s">
        <v>86</v>
      </c>
      <c r="B1162" s="200">
        <v>72</v>
      </c>
      <c r="C1162" s="200">
        <v>0</v>
      </c>
      <c r="D1162" s="201" t="s">
        <v>283</v>
      </c>
      <c r="E1162" s="201" t="s">
        <v>317</v>
      </c>
      <c r="F1162" s="200" t="s">
        <v>394</v>
      </c>
      <c r="G1162" s="200" t="s">
        <v>688</v>
      </c>
    </row>
    <row r="1163" spans="1:7" hidden="1">
      <c r="A1163" s="199" t="s">
        <v>86</v>
      </c>
      <c r="B1163" s="200">
        <v>-72</v>
      </c>
      <c r="C1163" s="200">
        <v>0</v>
      </c>
      <c r="D1163" s="201" t="s">
        <v>283</v>
      </c>
      <c r="E1163" s="201" t="s">
        <v>317</v>
      </c>
      <c r="F1163" s="200" t="s">
        <v>441</v>
      </c>
      <c r="G1163" s="200" t="s">
        <v>688</v>
      </c>
    </row>
    <row r="1164" spans="1:7">
      <c r="A1164" s="199" t="s">
        <v>86</v>
      </c>
      <c r="B1164" s="200">
        <v>334</v>
      </c>
      <c r="C1164" s="200">
        <v>0</v>
      </c>
      <c r="D1164" s="201" t="s">
        <v>282</v>
      </c>
      <c r="E1164" s="201" t="s">
        <v>317</v>
      </c>
      <c r="F1164" s="200" t="s">
        <v>394</v>
      </c>
      <c r="G1164" s="200" t="s">
        <v>688</v>
      </c>
    </row>
    <row r="1165" spans="1:7">
      <c r="A1165" s="199" t="s">
        <v>86</v>
      </c>
      <c r="B1165" s="200">
        <v>48</v>
      </c>
      <c r="C1165" s="200">
        <v>0</v>
      </c>
      <c r="D1165" s="201" t="s">
        <v>282</v>
      </c>
      <c r="E1165" s="201" t="s">
        <v>317</v>
      </c>
      <c r="F1165" s="200" t="s">
        <v>445</v>
      </c>
      <c r="G1165" s="200" t="s">
        <v>688</v>
      </c>
    </row>
    <row r="1166" spans="1:7">
      <c r="A1166" s="199" t="s">
        <v>86</v>
      </c>
      <c r="B1166" s="200">
        <v>-454</v>
      </c>
      <c r="C1166" s="200">
        <v>0</v>
      </c>
      <c r="D1166" s="201" t="s">
        <v>282</v>
      </c>
      <c r="E1166" s="201" t="s">
        <v>317</v>
      </c>
      <c r="F1166" s="200" t="s">
        <v>393</v>
      </c>
      <c r="G1166" s="200" t="s">
        <v>688</v>
      </c>
    </row>
    <row r="1167" spans="1:7">
      <c r="A1167" s="199" t="s">
        <v>86</v>
      </c>
      <c r="B1167" s="200">
        <v>72</v>
      </c>
      <c r="C1167" s="200">
        <v>0</v>
      </c>
      <c r="D1167" s="201" t="s">
        <v>282</v>
      </c>
      <c r="E1167" s="201" t="s">
        <v>317</v>
      </c>
      <c r="F1167" s="200" t="s">
        <v>441</v>
      </c>
      <c r="G1167" s="200" t="s">
        <v>688</v>
      </c>
    </row>
    <row r="1168" spans="1:7" hidden="1">
      <c r="A1168" s="199" t="s">
        <v>543</v>
      </c>
      <c r="B1168" s="200">
        <v>83</v>
      </c>
      <c r="C1168" s="200">
        <v>0</v>
      </c>
      <c r="D1168" s="201" t="s">
        <v>283</v>
      </c>
      <c r="E1168" s="201" t="s">
        <v>317</v>
      </c>
      <c r="F1168" s="200" t="s">
        <v>413</v>
      </c>
      <c r="G1168" s="200" t="s">
        <v>688</v>
      </c>
    </row>
    <row r="1169" spans="1:7" hidden="1">
      <c r="A1169" s="199" t="s">
        <v>543</v>
      </c>
      <c r="B1169" s="200">
        <v>-83</v>
      </c>
      <c r="C1169" s="200">
        <v>0</v>
      </c>
      <c r="D1169" s="201" t="s">
        <v>283</v>
      </c>
      <c r="E1169" s="201" t="s">
        <v>317</v>
      </c>
      <c r="F1169" s="200" t="s">
        <v>441</v>
      </c>
      <c r="G1169" s="200" t="s">
        <v>688</v>
      </c>
    </row>
    <row r="1170" spans="1:7">
      <c r="A1170" s="199" t="s">
        <v>543</v>
      </c>
      <c r="B1170" s="200">
        <v>-83</v>
      </c>
      <c r="C1170" s="200">
        <v>0</v>
      </c>
      <c r="D1170" s="201" t="s">
        <v>282</v>
      </c>
      <c r="E1170" s="201" t="s">
        <v>317</v>
      </c>
      <c r="F1170" s="200" t="s">
        <v>413</v>
      </c>
      <c r="G1170" s="200" t="s">
        <v>688</v>
      </c>
    </row>
    <row r="1171" spans="1:7">
      <c r="A1171" s="199" t="s">
        <v>543</v>
      </c>
      <c r="B1171" s="200">
        <v>83</v>
      </c>
      <c r="C1171" s="200">
        <v>0</v>
      </c>
      <c r="D1171" s="201" t="s">
        <v>282</v>
      </c>
      <c r="E1171" s="201" t="s">
        <v>317</v>
      </c>
      <c r="F1171" s="200" t="s">
        <v>441</v>
      </c>
      <c r="G1171" s="200" t="s">
        <v>688</v>
      </c>
    </row>
    <row r="1172" spans="1:7" hidden="1">
      <c r="A1172" s="199" t="s">
        <v>544</v>
      </c>
      <c r="B1172" s="200">
        <v>-148</v>
      </c>
      <c r="C1172" s="200">
        <v>0</v>
      </c>
      <c r="D1172" s="201" t="s">
        <v>440</v>
      </c>
      <c r="E1172" s="201" t="s">
        <v>317</v>
      </c>
      <c r="F1172" s="200" t="s">
        <v>394</v>
      </c>
      <c r="G1172" s="200" t="s">
        <v>688</v>
      </c>
    </row>
    <row r="1173" spans="1:7" hidden="1">
      <c r="A1173" s="199" t="s">
        <v>544</v>
      </c>
      <c r="B1173" s="200">
        <v>229</v>
      </c>
      <c r="C1173" s="200">
        <v>0</v>
      </c>
      <c r="D1173" s="201" t="s">
        <v>440</v>
      </c>
      <c r="E1173" s="201" t="s">
        <v>317</v>
      </c>
      <c r="F1173" s="200" t="s">
        <v>407</v>
      </c>
      <c r="G1173" s="200" t="s">
        <v>688</v>
      </c>
    </row>
    <row r="1174" spans="1:7" hidden="1">
      <c r="A1174" s="199" t="s">
        <v>544</v>
      </c>
      <c r="B1174" s="200">
        <v>69</v>
      </c>
      <c r="C1174" s="200">
        <v>0</v>
      </c>
      <c r="D1174" s="201" t="s">
        <v>442</v>
      </c>
      <c r="E1174" s="201" t="s">
        <v>317</v>
      </c>
      <c r="F1174" s="200" t="s">
        <v>394</v>
      </c>
      <c r="G1174" s="200" t="s">
        <v>688</v>
      </c>
    </row>
    <row r="1175" spans="1:7" hidden="1">
      <c r="A1175" s="199" t="s">
        <v>544</v>
      </c>
      <c r="B1175" s="200">
        <v>81</v>
      </c>
      <c r="C1175" s="200">
        <v>0</v>
      </c>
      <c r="D1175" s="201" t="s">
        <v>474</v>
      </c>
      <c r="E1175" s="201" t="s">
        <v>317</v>
      </c>
      <c r="F1175" s="200" t="s">
        <v>394</v>
      </c>
      <c r="G1175" s="200" t="s">
        <v>688</v>
      </c>
    </row>
    <row r="1176" spans="1:7" hidden="1">
      <c r="A1176" s="199" t="s">
        <v>546</v>
      </c>
      <c r="B1176" s="200">
        <v>32</v>
      </c>
      <c r="C1176" s="200">
        <v>0</v>
      </c>
      <c r="D1176" s="201" t="s">
        <v>437</v>
      </c>
      <c r="E1176" s="201" t="s">
        <v>547</v>
      </c>
      <c r="F1176" s="200" t="s">
        <v>394</v>
      </c>
      <c r="G1176" s="200" t="s">
        <v>688</v>
      </c>
    </row>
    <row r="1177" spans="1:7" hidden="1">
      <c r="A1177" s="199" t="s">
        <v>326</v>
      </c>
      <c r="B1177" s="200">
        <v>112</v>
      </c>
      <c r="C1177" s="200">
        <v>0</v>
      </c>
      <c r="D1177" s="201" t="s">
        <v>283</v>
      </c>
      <c r="E1177" s="201" t="s">
        <v>317</v>
      </c>
      <c r="F1177" s="200" t="s">
        <v>394</v>
      </c>
      <c r="G1177" s="200" t="s">
        <v>688</v>
      </c>
    </row>
    <row r="1178" spans="1:7" hidden="1">
      <c r="A1178" s="199" t="s">
        <v>326</v>
      </c>
      <c r="B1178" s="200">
        <v>-113</v>
      </c>
      <c r="C1178" s="200">
        <v>0</v>
      </c>
      <c r="D1178" s="201" t="s">
        <v>283</v>
      </c>
      <c r="E1178" s="201" t="s">
        <v>317</v>
      </c>
      <c r="F1178" s="200" t="s">
        <v>441</v>
      </c>
      <c r="G1178" s="200" t="s">
        <v>688</v>
      </c>
    </row>
    <row r="1179" spans="1:7" hidden="1">
      <c r="A1179" s="199" t="s">
        <v>326</v>
      </c>
      <c r="B1179" s="200">
        <v>675</v>
      </c>
      <c r="C1179" s="200">
        <v>0</v>
      </c>
      <c r="D1179" s="201" t="s">
        <v>437</v>
      </c>
      <c r="E1179" s="201" t="s">
        <v>317</v>
      </c>
      <c r="F1179" s="200" t="s">
        <v>394</v>
      </c>
      <c r="G1179" s="200" t="s">
        <v>688</v>
      </c>
    </row>
    <row r="1180" spans="1:7" hidden="1">
      <c r="A1180" s="199" t="s">
        <v>326</v>
      </c>
      <c r="B1180" s="200">
        <v>-675</v>
      </c>
      <c r="C1180" s="200">
        <v>0</v>
      </c>
      <c r="D1180" s="201" t="s">
        <v>437</v>
      </c>
      <c r="E1180" s="201" t="s">
        <v>317</v>
      </c>
      <c r="F1180" s="200" t="s">
        <v>441</v>
      </c>
      <c r="G1180" s="200" t="s">
        <v>688</v>
      </c>
    </row>
    <row r="1181" spans="1:7">
      <c r="A1181" s="199" t="s">
        <v>326</v>
      </c>
      <c r="B1181" s="200">
        <v>-125</v>
      </c>
      <c r="C1181" s="200">
        <v>0</v>
      </c>
      <c r="D1181" s="201" t="s">
        <v>282</v>
      </c>
      <c r="E1181" s="201" t="s">
        <v>317</v>
      </c>
      <c r="F1181" s="200" t="s">
        <v>394</v>
      </c>
      <c r="G1181" s="200" t="s">
        <v>688</v>
      </c>
    </row>
    <row r="1182" spans="1:7">
      <c r="A1182" s="199" t="s">
        <v>326</v>
      </c>
      <c r="B1182" s="200">
        <v>-175</v>
      </c>
      <c r="C1182" s="200">
        <v>0</v>
      </c>
      <c r="D1182" s="201" t="s">
        <v>282</v>
      </c>
      <c r="E1182" s="201" t="s">
        <v>317</v>
      </c>
      <c r="F1182" s="200" t="s">
        <v>445</v>
      </c>
      <c r="G1182" s="200" t="s">
        <v>688</v>
      </c>
    </row>
    <row r="1183" spans="1:7">
      <c r="A1183" s="199" t="s">
        <v>326</v>
      </c>
      <c r="B1183" s="200">
        <v>-145</v>
      </c>
      <c r="C1183" s="200">
        <v>0</v>
      </c>
      <c r="D1183" s="201" t="s">
        <v>282</v>
      </c>
      <c r="E1183" s="201" t="s">
        <v>317</v>
      </c>
      <c r="F1183" s="200" t="s">
        <v>408</v>
      </c>
      <c r="G1183" s="200" t="s">
        <v>688</v>
      </c>
    </row>
    <row r="1184" spans="1:7">
      <c r="A1184" s="199" t="s">
        <v>326</v>
      </c>
      <c r="B1184" s="200">
        <v>-768</v>
      </c>
      <c r="C1184" s="200">
        <v>0</v>
      </c>
      <c r="D1184" s="201" t="s">
        <v>282</v>
      </c>
      <c r="E1184" s="201" t="s">
        <v>317</v>
      </c>
      <c r="F1184" s="200" t="s">
        <v>393</v>
      </c>
      <c r="G1184" s="200" t="s">
        <v>688</v>
      </c>
    </row>
    <row r="1185" spans="1:7">
      <c r="A1185" s="199" t="s">
        <v>326</v>
      </c>
      <c r="B1185" s="200">
        <v>426</v>
      </c>
      <c r="C1185" s="200">
        <v>0</v>
      </c>
      <c r="D1185" s="201" t="s">
        <v>282</v>
      </c>
      <c r="E1185" s="201" t="s">
        <v>317</v>
      </c>
      <c r="F1185" s="200" t="s">
        <v>413</v>
      </c>
      <c r="G1185" s="200" t="s">
        <v>688</v>
      </c>
    </row>
    <row r="1186" spans="1:7">
      <c r="A1186" s="199" t="s">
        <v>326</v>
      </c>
      <c r="B1186" s="200">
        <v>788</v>
      </c>
      <c r="C1186" s="200">
        <v>0</v>
      </c>
      <c r="D1186" s="201" t="s">
        <v>282</v>
      </c>
      <c r="E1186" s="201" t="s">
        <v>317</v>
      </c>
      <c r="F1186" s="200" t="s">
        <v>441</v>
      </c>
      <c r="G1186" s="200" t="s">
        <v>688</v>
      </c>
    </row>
    <row r="1187" spans="1:7" hidden="1">
      <c r="A1187" s="199" t="s">
        <v>548</v>
      </c>
      <c r="B1187" s="200">
        <v>-1</v>
      </c>
      <c r="C1187" s="200">
        <v>0</v>
      </c>
      <c r="D1187" s="201" t="s">
        <v>283</v>
      </c>
      <c r="E1187" s="201" t="s">
        <v>319</v>
      </c>
      <c r="F1187" s="200" t="s">
        <v>394</v>
      </c>
      <c r="G1187" s="200" t="s">
        <v>688</v>
      </c>
    </row>
    <row r="1188" spans="1:7" hidden="1">
      <c r="A1188" s="199" t="s">
        <v>548</v>
      </c>
      <c r="B1188" s="200">
        <v>1</v>
      </c>
      <c r="C1188" s="200">
        <v>0</v>
      </c>
      <c r="D1188" s="201" t="s">
        <v>283</v>
      </c>
      <c r="E1188" s="201" t="s">
        <v>319</v>
      </c>
      <c r="F1188" s="200" t="s">
        <v>408</v>
      </c>
      <c r="G1188" s="200" t="s">
        <v>688</v>
      </c>
    </row>
    <row r="1189" spans="1:7">
      <c r="A1189" s="199" t="s">
        <v>548</v>
      </c>
      <c r="B1189" s="200">
        <v>8</v>
      </c>
      <c r="C1189" s="200">
        <v>0</v>
      </c>
      <c r="D1189" s="201" t="s">
        <v>282</v>
      </c>
      <c r="E1189" s="201" t="s">
        <v>319</v>
      </c>
      <c r="F1189" s="200" t="s">
        <v>394</v>
      </c>
      <c r="G1189" s="200" t="s">
        <v>688</v>
      </c>
    </row>
    <row r="1190" spans="1:7">
      <c r="A1190" s="199" t="s">
        <v>548</v>
      </c>
      <c r="B1190" s="200">
        <v>1</v>
      </c>
      <c r="C1190" s="200">
        <v>0</v>
      </c>
      <c r="D1190" s="201" t="s">
        <v>282</v>
      </c>
      <c r="E1190" s="201" t="s">
        <v>319</v>
      </c>
      <c r="F1190" s="200" t="s">
        <v>408</v>
      </c>
      <c r="G1190" s="200" t="s">
        <v>688</v>
      </c>
    </row>
    <row r="1191" spans="1:7">
      <c r="A1191" s="199" t="s">
        <v>548</v>
      </c>
      <c r="B1191" s="200">
        <v>-9</v>
      </c>
      <c r="C1191" s="200">
        <v>0</v>
      </c>
      <c r="D1191" s="201" t="s">
        <v>282</v>
      </c>
      <c r="E1191" s="201" t="s">
        <v>319</v>
      </c>
      <c r="F1191" s="200" t="s">
        <v>393</v>
      </c>
      <c r="G1191" s="200" t="s">
        <v>688</v>
      </c>
    </row>
    <row r="1192" spans="1:7" hidden="1">
      <c r="A1192" s="199" t="s">
        <v>549</v>
      </c>
      <c r="B1192" s="200">
        <v>1</v>
      </c>
      <c r="C1192" s="200">
        <v>0</v>
      </c>
      <c r="D1192" s="201" t="s">
        <v>283</v>
      </c>
      <c r="E1192" s="201" t="s">
        <v>319</v>
      </c>
      <c r="F1192" s="200" t="s">
        <v>394</v>
      </c>
      <c r="G1192" s="200" t="s">
        <v>688</v>
      </c>
    </row>
    <row r="1193" spans="1:7" hidden="1">
      <c r="A1193" s="199" t="s">
        <v>549</v>
      </c>
      <c r="B1193" s="200">
        <v>-1</v>
      </c>
      <c r="C1193" s="200">
        <v>0</v>
      </c>
      <c r="D1193" s="201" t="s">
        <v>283</v>
      </c>
      <c r="E1193" s="201" t="s">
        <v>319</v>
      </c>
      <c r="F1193" s="200" t="s">
        <v>408</v>
      </c>
      <c r="G1193" s="200" t="s">
        <v>688</v>
      </c>
    </row>
    <row r="1194" spans="1:7">
      <c r="A1194" s="199" t="s">
        <v>549</v>
      </c>
      <c r="B1194" s="200">
        <v>-7</v>
      </c>
      <c r="C1194" s="200">
        <v>0</v>
      </c>
      <c r="D1194" s="201" t="s">
        <v>282</v>
      </c>
      <c r="E1194" s="201" t="s">
        <v>319</v>
      </c>
      <c r="F1194" s="200" t="s">
        <v>394</v>
      </c>
      <c r="G1194" s="200" t="s">
        <v>688</v>
      </c>
    </row>
    <row r="1195" spans="1:7">
      <c r="A1195" s="199" t="s">
        <v>549</v>
      </c>
      <c r="B1195" s="200">
        <v>-1</v>
      </c>
      <c r="C1195" s="200">
        <v>0</v>
      </c>
      <c r="D1195" s="201" t="s">
        <v>282</v>
      </c>
      <c r="E1195" s="201" t="s">
        <v>319</v>
      </c>
      <c r="F1195" s="200" t="s">
        <v>408</v>
      </c>
      <c r="G1195" s="200" t="s">
        <v>688</v>
      </c>
    </row>
    <row r="1196" spans="1:7">
      <c r="A1196" s="199" t="s">
        <v>549</v>
      </c>
      <c r="B1196" s="200">
        <v>8</v>
      </c>
      <c r="C1196" s="200">
        <v>0</v>
      </c>
      <c r="D1196" s="201" t="s">
        <v>282</v>
      </c>
      <c r="E1196" s="201" t="s">
        <v>319</v>
      </c>
      <c r="F1196" s="200" t="s">
        <v>393</v>
      </c>
      <c r="G1196" s="200" t="s">
        <v>688</v>
      </c>
    </row>
    <row r="1197" spans="1:7" hidden="1">
      <c r="A1197" s="199" t="s">
        <v>550</v>
      </c>
      <c r="B1197" s="200">
        <v>-1</v>
      </c>
      <c r="C1197" s="200">
        <v>0</v>
      </c>
      <c r="D1197" s="201" t="s">
        <v>283</v>
      </c>
      <c r="E1197" s="201" t="s">
        <v>324</v>
      </c>
      <c r="F1197" s="200" t="s">
        <v>394</v>
      </c>
      <c r="G1197" s="200" t="s">
        <v>688</v>
      </c>
    </row>
    <row r="1198" spans="1:7">
      <c r="A1198" s="199" t="s">
        <v>550</v>
      </c>
      <c r="B1198" s="200">
        <v>1</v>
      </c>
      <c r="C1198" s="200">
        <v>0</v>
      </c>
      <c r="D1198" s="201" t="s">
        <v>282</v>
      </c>
      <c r="E1198" s="201" t="s">
        <v>324</v>
      </c>
      <c r="F1198" s="200" t="s">
        <v>394</v>
      </c>
      <c r="G1198" s="200" t="s">
        <v>688</v>
      </c>
    </row>
    <row r="1199" spans="1:7">
      <c r="A1199" s="199" t="s">
        <v>550</v>
      </c>
      <c r="B1199" s="200">
        <v>10</v>
      </c>
      <c r="C1199" s="200">
        <v>0</v>
      </c>
      <c r="D1199" s="201" t="s">
        <v>282</v>
      </c>
      <c r="E1199" s="201" t="s">
        <v>324</v>
      </c>
      <c r="F1199" s="200" t="s">
        <v>408</v>
      </c>
      <c r="G1199" s="200" t="s">
        <v>688</v>
      </c>
    </row>
    <row r="1200" spans="1:7">
      <c r="A1200" s="199" t="s">
        <v>550</v>
      </c>
      <c r="B1200" s="200">
        <v>-10</v>
      </c>
      <c r="C1200" s="200">
        <v>0</v>
      </c>
      <c r="D1200" s="201" t="s">
        <v>282</v>
      </c>
      <c r="E1200" s="201" t="s">
        <v>324</v>
      </c>
      <c r="F1200" s="200" t="s">
        <v>393</v>
      </c>
      <c r="G1200" s="200" t="s">
        <v>688</v>
      </c>
    </row>
    <row r="1201" spans="1:7">
      <c r="A1201" s="199" t="s">
        <v>551</v>
      </c>
      <c r="B1201" s="200">
        <v>-9</v>
      </c>
      <c r="C1201" s="200">
        <v>0</v>
      </c>
      <c r="D1201" s="201" t="s">
        <v>282</v>
      </c>
      <c r="E1201" s="201" t="s">
        <v>324</v>
      </c>
      <c r="F1201" s="200" t="s">
        <v>408</v>
      </c>
      <c r="G1201" s="200" t="s">
        <v>688</v>
      </c>
    </row>
    <row r="1202" spans="1:7">
      <c r="A1202" s="199" t="s">
        <v>551</v>
      </c>
      <c r="B1202" s="200">
        <v>9</v>
      </c>
      <c r="C1202" s="200">
        <v>0</v>
      </c>
      <c r="D1202" s="201" t="s">
        <v>282</v>
      </c>
      <c r="E1202" s="201" t="s">
        <v>324</v>
      </c>
      <c r="F1202" s="200" t="s">
        <v>393</v>
      </c>
      <c r="G1202" s="200" t="s">
        <v>688</v>
      </c>
    </row>
    <row r="1203" spans="1:7" hidden="1">
      <c r="A1203" s="199" t="s">
        <v>552</v>
      </c>
      <c r="B1203" s="200">
        <v>4</v>
      </c>
      <c r="C1203" s="200">
        <v>0</v>
      </c>
      <c r="D1203" s="201" t="s">
        <v>437</v>
      </c>
      <c r="E1203" s="201" t="s">
        <v>553</v>
      </c>
      <c r="F1203" s="200" t="s">
        <v>394</v>
      </c>
      <c r="G1203" s="200" t="s">
        <v>688</v>
      </c>
    </row>
    <row r="1204" spans="1:7">
      <c r="A1204" s="199" t="s">
        <v>357</v>
      </c>
      <c r="B1204" s="200">
        <v>4369</v>
      </c>
      <c r="C1204" s="200">
        <v>0</v>
      </c>
      <c r="D1204" s="201" t="s">
        <v>282</v>
      </c>
      <c r="E1204" s="201" t="s">
        <v>320</v>
      </c>
      <c r="F1204" s="200" t="s">
        <v>394</v>
      </c>
      <c r="G1204" s="200" t="s">
        <v>688</v>
      </c>
    </row>
    <row r="1205" spans="1:7">
      <c r="A1205" s="199" t="s">
        <v>357</v>
      </c>
      <c r="B1205" s="200">
        <v>-1401</v>
      </c>
      <c r="C1205" s="200">
        <v>0</v>
      </c>
      <c r="D1205" s="201" t="s">
        <v>282</v>
      </c>
      <c r="E1205" s="201" t="s">
        <v>320</v>
      </c>
      <c r="F1205" s="200" t="s">
        <v>393</v>
      </c>
      <c r="G1205" s="200" t="s">
        <v>688</v>
      </c>
    </row>
    <row r="1206" spans="1:7">
      <c r="A1206" s="199" t="s">
        <v>357</v>
      </c>
      <c r="B1206" s="200">
        <v>664</v>
      </c>
      <c r="C1206" s="200">
        <v>0</v>
      </c>
      <c r="D1206" s="201" t="s">
        <v>282</v>
      </c>
      <c r="E1206" s="201" t="s">
        <v>320</v>
      </c>
      <c r="F1206" s="200" t="s">
        <v>413</v>
      </c>
      <c r="G1206" s="200" t="s">
        <v>688</v>
      </c>
    </row>
    <row r="1207" spans="1:7">
      <c r="A1207" s="199" t="s">
        <v>357</v>
      </c>
      <c r="B1207" s="200">
        <v>-3632</v>
      </c>
      <c r="C1207" s="200">
        <v>0</v>
      </c>
      <c r="D1207" s="201" t="s">
        <v>282</v>
      </c>
      <c r="E1207" s="201" t="s">
        <v>320</v>
      </c>
      <c r="F1207" s="200" t="s">
        <v>403</v>
      </c>
      <c r="G1207" s="200" t="s">
        <v>688</v>
      </c>
    </row>
    <row r="1208" spans="1:7" hidden="1">
      <c r="A1208" s="199" t="s">
        <v>712</v>
      </c>
      <c r="B1208" s="200">
        <v>62000</v>
      </c>
      <c r="C1208" s="200">
        <v>0</v>
      </c>
      <c r="D1208" s="201" t="s">
        <v>463</v>
      </c>
      <c r="E1208" s="201" t="s">
        <v>464</v>
      </c>
      <c r="F1208" s="200" t="s">
        <v>394</v>
      </c>
      <c r="G1208" s="200" t="s">
        <v>688</v>
      </c>
    </row>
    <row r="1209" spans="1:7" hidden="1">
      <c r="A1209" s="199" t="s">
        <v>712</v>
      </c>
      <c r="B1209" s="200">
        <v>-117000</v>
      </c>
      <c r="C1209" s="200">
        <v>0</v>
      </c>
      <c r="D1209" s="201" t="s">
        <v>463</v>
      </c>
      <c r="E1209" s="201" t="s">
        <v>464</v>
      </c>
      <c r="F1209" s="200" t="s">
        <v>468</v>
      </c>
      <c r="G1209" s="200" t="s">
        <v>688</v>
      </c>
    </row>
    <row r="1210" spans="1:7" hidden="1">
      <c r="A1210" s="199" t="s">
        <v>712</v>
      </c>
      <c r="B1210" s="200">
        <v>55000</v>
      </c>
      <c r="C1210" s="200">
        <v>0</v>
      </c>
      <c r="D1210" s="201" t="s">
        <v>463</v>
      </c>
      <c r="E1210" s="201" t="s">
        <v>464</v>
      </c>
      <c r="F1210" s="200" t="s">
        <v>469</v>
      </c>
      <c r="G1210" s="200" t="s">
        <v>688</v>
      </c>
    </row>
    <row r="1211" spans="1:7" hidden="1">
      <c r="A1211" s="199" t="s">
        <v>554</v>
      </c>
      <c r="B1211" s="200">
        <v>-81000</v>
      </c>
      <c r="C1211" s="200">
        <v>0</v>
      </c>
      <c r="D1211" s="201" t="s">
        <v>463</v>
      </c>
      <c r="E1211" s="201" t="s">
        <v>464</v>
      </c>
      <c r="F1211" s="200" t="s">
        <v>394</v>
      </c>
      <c r="G1211" s="200" t="s">
        <v>688</v>
      </c>
    </row>
    <row r="1212" spans="1:7" hidden="1">
      <c r="A1212" s="199" t="s">
        <v>554</v>
      </c>
      <c r="B1212" s="200">
        <v>29000</v>
      </c>
      <c r="C1212" s="200">
        <v>0</v>
      </c>
      <c r="D1212" s="201" t="s">
        <v>463</v>
      </c>
      <c r="E1212" s="201" t="s">
        <v>464</v>
      </c>
      <c r="F1212" s="200" t="s">
        <v>413</v>
      </c>
      <c r="G1212" s="200" t="s">
        <v>688</v>
      </c>
    </row>
    <row r="1213" spans="1:7" hidden="1">
      <c r="A1213" s="199" t="s">
        <v>554</v>
      </c>
      <c r="B1213" s="200">
        <v>52000</v>
      </c>
      <c r="C1213" s="200">
        <v>0</v>
      </c>
      <c r="D1213" s="201" t="s">
        <v>463</v>
      </c>
      <c r="E1213" s="201" t="s">
        <v>464</v>
      </c>
      <c r="F1213" s="200" t="s">
        <v>469</v>
      </c>
      <c r="G1213" s="200" t="s">
        <v>688</v>
      </c>
    </row>
    <row r="1214" spans="1:7">
      <c r="A1214" s="199" t="s">
        <v>555</v>
      </c>
      <c r="B1214" s="200">
        <v>-14</v>
      </c>
      <c r="C1214" s="200">
        <v>0</v>
      </c>
      <c r="D1214" s="201" t="s">
        <v>282</v>
      </c>
      <c r="E1214" s="201" t="s">
        <v>319</v>
      </c>
      <c r="F1214" s="200" t="s">
        <v>408</v>
      </c>
      <c r="G1214" s="200" t="s">
        <v>688</v>
      </c>
    </row>
    <row r="1215" spans="1:7">
      <c r="A1215" s="199" t="s">
        <v>555</v>
      </c>
      <c r="B1215" s="200">
        <v>14</v>
      </c>
      <c r="C1215" s="200">
        <v>0</v>
      </c>
      <c r="D1215" s="201" t="s">
        <v>282</v>
      </c>
      <c r="E1215" s="201" t="s">
        <v>319</v>
      </c>
      <c r="F1215" s="200" t="s">
        <v>393</v>
      </c>
      <c r="G1215" s="200" t="s">
        <v>688</v>
      </c>
    </row>
    <row r="1216" spans="1:7" hidden="1">
      <c r="A1216" s="199" t="s">
        <v>138</v>
      </c>
      <c r="B1216" s="200">
        <v>401</v>
      </c>
      <c r="C1216" s="200">
        <v>0</v>
      </c>
      <c r="D1216" s="201" t="s">
        <v>283</v>
      </c>
      <c r="E1216" s="201" t="s">
        <v>317</v>
      </c>
      <c r="F1216" s="200" t="s">
        <v>394</v>
      </c>
      <c r="G1216" s="200" t="s">
        <v>688</v>
      </c>
    </row>
    <row r="1217" spans="1:7" hidden="1">
      <c r="A1217" s="199" t="s">
        <v>138</v>
      </c>
      <c r="B1217" s="200">
        <v>240</v>
      </c>
      <c r="C1217" s="200">
        <v>0</v>
      </c>
      <c r="D1217" s="201" t="s">
        <v>283</v>
      </c>
      <c r="E1217" s="201" t="s">
        <v>317</v>
      </c>
      <c r="F1217" s="200" t="s">
        <v>413</v>
      </c>
      <c r="G1217" s="200" t="s">
        <v>688</v>
      </c>
    </row>
    <row r="1218" spans="1:7" hidden="1">
      <c r="A1218" s="199" t="s">
        <v>138</v>
      </c>
      <c r="B1218" s="200">
        <v>-641</v>
      </c>
      <c r="C1218" s="200">
        <v>0</v>
      </c>
      <c r="D1218" s="201" t="s">
        <v>283</v>
      </c>
      <c r="E1218" s="201" t="s">
        <v>317</v>
      </c>
      <c r="F1218" s="200" t="s">
        <v>441</v>
      </c>
      <c r="G1218" s="200" t="s">
        <v>688</v>
      </c>
    </row>
    <row r="1219" spans="1:7">
      <c r="A1219" s="199" t="s">
        <v>138</v>
      </c>
      <c r="B1219" s="200">
        <v>-1276</v>
      </c>
      <c r="C1219" s="200">
        <v>0</v>
      </c>
      <c r="D1219" s="201" t="s">
        <v>282</v>
      </c>
      <c r="E1219" s="201" t="s">
        <v>317</v>
      </c>
      <c r="F1219" s="200" t="s">
        <v>394</v>
      </c>
      <c r="G1219" s="200" t="s">
        <v>688</v>
      </c>
    </row>
    <row r="1220" spans="1:7">
      <c r="A1220" s="199" t="s">
        <v>138</v>
      </c>
      <c r="B1220" s="200">
        <v>-257</v>
      </c>
      <c r="C1220" s="200">
        <v>0</v>
      </c>
      <c r="D1220" s="201" t="s">
        <v>282</v>
      </c>
      <c r="E1220" s="201" t="s">
        <v>317</v>
      </c>
      <c r="F1220" s="200" t="s">
        <v>408</v>
      </c>
      <c r="G1220" s="200" t="s">
        <v>688</v>
      </c>
    </row>
    <row r="1221" spans="1:7">
      <c r="A1221" s="199" t="s">
        <v>138</v>
      </c>
      <c r="B1221" s="200">
        <v>1209</v>
      </c>
      <c r="C1221" s="200">
        <v>0</v>
      </c>
      <c r="D1221" s="201" t="s">
        <v>282</v>
      </c>
      <c r="E1221" s="201" t="s">
        <v>317</v>
      </c>
      <c r="F1221" s="200" t="s">
        <v>393</v>
      </c>
      <c r="G1221" s="200" t="s">
        <v>688</v>
      </c>
    </row>
    <row r="1222" spans="1:7">
      <c r="A1222" s="199" t="s">
        <v>138</v>
      </c>
      <c r="B1222" s="200">
        <v>240</v>
      </c>
      <c r="C1222" s="200">
        <v>0</v>
      </c>
      <c r="D1222" s="201" t="s">
        <v>282</v>
      </c>
      <c r="E1222" s="201" t="s">
        <v>317</v>
      </c>
      <c r="F1222" s="200" t="s">
        <v>413</v>
      </c>
      <c r="G1222" s="200" t="s">
        <v>688</v>
      </c>
    </row>
    <row r="1223" spans="1:7">
      <c r="A1223" s="199" t="s">
        <v>138</v>
      </c>
      <c r="B1223" s="200">
        <v>-557</v>
      </c>
      <c r="C1223" s="200">
        <v>0</v>
      </c>
      <c r="D1223" s="201" t="s">
        <v>282</v>
      </c>
      <c r="E1223" s="201" t="s">
        <v>317</v>
      </c>
      <c r="F1223" s="200" t="s">
        <v>403</v>
      </c>
      <c r="G1223" s="200" t="s">
        <v>688</v>
      </c>
    </row>
    <row r="1224" spans="1:7">
      <c r="A1224" s="199" t="s">
        <v>138</v>
      </c>
      <c r="B1224" s="200">
        <v>641</v>
      </c>
      <c r="C1224" s="200">
        <v>0</v>
      </c>
      <c r="D1224" s="201" t="s">
        <v>282</v>
      </c>
      <c r="E1224" s="201" t="s">
        <v>317</v>
      </c>
      <c r="F1224" s="200" t="s">
        <v>441</v>
      </c>
      <c r="G1224" s="200" t="s">
        <v>688</v>
      </c>
    </row>
    <row r="1225" spans="1:7" hidden="1">
      <c r="A1225" s="199" t="s">
        <v>556</v>
      </c>
      <c r="B1225" s="200">
        <v>-7</v>
      </c>
      <c r="C1225" s="200">
        <v>0</v>
      </c>
      <c r="D1225" s="201" t="s">
        <v>283</v>
      </c>
      <c r="E1225" s="201" t="s">
        <v>319</v>
      </c>
      <c r="F1225" s="200" t="s">
        <v>394</v>
      </c>
      <c r="G1225" s="200" t="s">
        <v>688</v>
      </c>
    </row>
    <row r="1226" spans="1:7">
      <c r="A1226" s="199" t="s">
        <v>556</v>
      </c>
      <c r="B1226" s="200">
        <v>7</v>
      </c>
      <c r="C1226" s="200">
        <v>0</v>
      </c>
      <c r="D1226" s="201" t="s">
        <v>282</v>
      </c>
      <c r="E1226" s="201" t="s">
        <v>319</v>
      </c>
      <c r="F1226" s="200" t="s">
        <v>394</v>
      </c>
      <c r="G1226" s="200" t="s">
        <v>688</v>
      </c>
    </row>
    <row r="1227" spans="1:7">
      <c r="A1227" s="199" t="s">
        <v>556</v>
      </c>
      <c r="B1227" s="200">
        <v>-11</v>
      </c>
      <c r="C1227" s="200">
        <v>0</v>
      </c>
      <c r="D1227" s="201" t="s">
        <v>282</v>
      </c>
      <c r="E1227" s="201" t="s">
        <v>319</v>
      </c>
      <c r="F1227" s="200" t="s">
        <v>408</v>
      </c>
      <c r="G1227" s="200" t="s">
        <v>688</v>
      </c>
    </row>
    <row r="1228" spans="1:7" hidden="1">
      <c r="A1228" s="199" t="s">
        <v>557</v>
      </c>
      <c r="B1228" s="200">
        <v>-11</v>
      </c>
      <c r="C1228" s="200">
        <v>0</v>
      </c>
      <c r="D1228" s="201" t="s">
        <v>283</v>
      </c>
      <c r="E1228" s="201" t="s">
        <v>319</v>
      </c>
      <c r="F1228" s="200" t="s">
        <v>394</v>
      </c>
      <c r="G1228" s="200" t="s">
        <v>688</v>
      </c>
    </row>
    <row r="1229" spans="1:7">
      <c r="A1229" s="199" t="s">
        <v>557</v>
      </c>
      <c r="B1229" s="200">
        <v>11</v>
      </c>
      <c r="C1229" s="200">
        <v>0</v>
      </c>
      <c r="D1229" s="201" t="s">
        <v>282</v>
      </c>
      <c r="E1229" s="201" t="s">
        <v>319</v>
      </c>
      <c r="F1229" s="200" t="s">
        <v>394</v>
      </c>
      <c r="G1229" s="200" t="s">
        <v>688</v>
      </c>
    </row>
    <row r="1230" spans="1:7">
      <c r="A1230" s="199" t="s">
        <v>557</v>
      </c>
      <c r="B1230" s="200">
        <v>-21</v>
      </c>
      <c r="C1230" s="200">
        <v>0</v>
      </c>
      <c r="D1230" s="201" t="s">
        <v>282</v>
      </c>
      <c r="E1230" s="201" t="s">
        <v>319</v>
      </c>
      <c r="F1230" s="200" t="s">
        <v>408</v>
      </c>
      <c r="G1230" s="200" t="s">
        <v>688</v>
      </c>
    </row>
    <row r="1231" spans="1:7" hidden="1">
      <c r="A1231" s="199" t="s">
        <v>558</v>
      </c>
      <c r="B1231" s="200">
        <v>10</v>
      </c>
      <c r="C1231" s="200">
        <v>0</v>
      </c>
      <c r="D1231" s="201" t="s">
        <v>283</v>
      </c>
      <c r="E1231" s="201" t="s">
        <v>319</v>
      </c>
      <c r="F1231" s="200" t="s">
        <v>394</v>
      </c>
      <c r="G1231" s="200" t="s">
        <v>688</v>
      </c>
    </row>
    <row r="1232" spans="1:7">
      <c r="A1232" s="199" t="s">
        <v>558</v>
      </c>
      <c r="B1232" s="200">
        <v>-10</v>
      </c>
      <c r="C1232" s="200">
        <v>0</v>
      </c>
      <c r="D1232" s="201" t="s">
        <v>282</v>
      </c>
      <c r="E1232" s="201" t="s">
        <v>319</v>
      </c>
      <c r="F1232" s="200" t="s">
        <v>394</v>
      </c>
      <c r="G1232" s="200" t="s">
        <v>688</v>
      </c>
    </row>
    <row r="1233" spans="1:7">
      <c r="A1233" s="199" t="s">
        <v>558</v>
      </c>
      <c r="B1233" s="200">
        <v>12</v>
      </c>
      <c r="C1233" s="200">
        <v>0</v>
      </c>
      <c r="D1233" s="201" t="s">
        <v>282</v>
      </c>
      <c r="E1233" s="201" t="s">
        <v>319</v>
      </c>
      <c r="F1233" s="200" t="s">
        <v>408</v>
      </c>
      <c r="G1233" s="200" t="s">
        <v>688</v>
      </c>
    </row>
    <row r="1234" spans="1:7" hidden="1">
      <c r="A1234" s="199" t="s">
        <v>559</v>
      </c>
      <c r="B1234" s="200">
        <v>11</v>
      </c>
      <c r="C1234" s="200">
        <v>0</v>
      </c>
      <c r="D1234" s="201" t="s">
        <v>283</v>
      </c>
      <c r="E1234" s="201" t="s">
        <v>319</v>
      </c>
      <c r="F1234" s="200" t="s">
        <v>394</v>
      </c>
      <c r="G1234" s="200" t="s">
        <v>688</v>
      </c>
    </row>
    <row r="1235" spans="1:7">
      <c r="A1235" s="199" t="s">
        <v>559</v>
      </c>
      <c r="B1235" s="200">
        <v>-11</v>
      </c>
      <c r="C1235" s="200">
        <v>0</v>
      </c>
      <c r="D1235" s="201" t="s">
        <v>282</v>
      </c>
      <c r="E1235" s="201" t="s">
        <v>319</v>
      </c>
      <c r="F1235" s="200" t="s">
        <v>394</v>
      </c>
      <c r="G1235" s="200" t="s">
        <v>688</v>
      </c>
    </row>
    <row r="1236" spans="1:7">
      <c r="A1236" s="199" t="s">
        <v>559</v>
      </c>
      <c r="B1236" s="200">
        <v>21</v>
      </c>
      <c r="C1236" s="200">
        <v>0</v>
      </c>
      <c r="D1236" s="201" t="s">
        <v>282</v>
      </c>
      <c r="E1236" s="201" t="s">
        <v>319</v>
      </c>
      <c r="F1236" s="200" t="s">
        <v>408</v>
      </c>
      <c r="G1236" s="200" t="s">
        <v>688</v>
      </c>
    </row>
    <row r="1237" spans="1:7">
      <c r="A1237" s="199" t="s">
        <v>560</v>
      </c>
      <c r="B1237" s="200">
        <v>74</v>
      </c>
      <c r="C1237" s="200">
        <v>0</v>
      </c>
      <c r="D1237" s="201" t="s">
        <v>282</v>
      </c>
      <c r="E1237" s="201" t="s">
        <v>319</v>
      </c>
      <c r="F1237" s="200" t="s">
        <v>394</v>
      </c>
      <c r="G1237" s="200" t="s">
        <v>688</v>
      </c>
    </row>
    <row r="1238" spans="1:7">
      <c r="A1238" s="199" t="s">
        <v>560</v>
      </c>
      <c r="B1238" s="200">
        <v>-37</v>
      </c>
      <c r="C1238" s="200">
        <v>0</v>
      </c>
      <c r="D1238" s="201" t="s">
        <v>282</v>
      </c>
      <c r="E1238" s="201" t="s">
        <v>319</v>
      </c>
      <c r="F1238" s="200" t="s">
        <v>408</v>
      </c>
      <c r="G1238" s="200" t="s">
        <v>688</v>
      </c>
    </row>
    <row r="1239" spans="1:7">
      <c r="A1239" s="199" t="s">
        <v>560</v>
      </c>
      <c r="B1239" s="200">
        <v>-37</v>
      </c>
      <c r="C1239" s="200">
        <v>0</v>
      </c>
      <c r="D1239" s="201" t="s">
        <v>282</v>
      </c>
      <c r="E1239" s="201" t="s">
        <v>319</v>
      </c>
      <c r="F1239" s="200" t="s">
        <v>393</v>
      </c>
      <c r="G1239" s="200" t="s">
        <v>688</v>
      </c>
    </row>
    <row r="1240" spans="1:7" hidden="1">
      <c r="A1240" s="199" t="s">
        <v>561</v>
      </c>
      <c r="B1240" s="200">
        <v>-3</v>
      </c>
      <c r="C1240" s="200">
        <v>0</v>
      </c>
      <c r="D1240" s="201" t="s">
        <v>283</v>
      </c>
      <c r="E1240" s="201" t="s">
        <v>319</v>
      </c>
      <c r="F1240" s="200" t="s">
        <v>394</v>
      </c>
      <c r="G1240" s="200" t="s">
        <v>688</v>
      </c>
    </row>
    <row r="1241" spans="1:7" hidden="1">
      <c r="A1241" s="199" t="s">
        <v>561</v>
      </c>
      <c r="B1241" s="200">
        <v>3</v>
      </c>
      <c r="C1241" s="200">
        <v>0</v>
      </c>
      <c r="D1241" s="201" t="s">
        <v>283</v>
      </c>
      <c r="E1241" s="201" t="s">
        <v>319</v>
      </c>
      <c r="F1241" s="200" t="s">
        <v>408</v>
      </c>
      <c r="G1241" s="200" t="s">
        <v>688</v>
      </c>
    </row>
    <row r="1242" spans="1:7">
      <c r="A1242" s="199" t="s">
        <v>561</v>
      </c>
      <c r="B1242" s="200">
        <v>-37</v>
      </c>
      <c r="C1242" s="200">
        <v>0</v>
      </c>
      <c r="D1242" s="201" t="s">
        <v>282</v>
      </c>
      <c r="E1242" s="201" t="s">
        <v>319</v>
      </c>
      <c r="F1242" s="200" t="s">
        <v>394</v>
      </c>
      <c r="G1242" s="200" t="s">
        <v>688</v>
      </c>
    </row>
    <row r="1243" spans="1:7">
      <c r="A1243" s="199" t="s">
        <v>561</v>
      </c>
      <c r="B1243" s="200">
        <v>37</v>
      </c>
      <c r="C1243" s="200">
        <v>0</v>
      </c>
      <c r="D1243" s="201" t="s">
        <v>282</v>
      </c>
      <c r="E1243" s="201" t="s">
        <v>319</v>
      </c>
      <c r="F1243" s="200" t="s">
        <v>408</v>
      </c>
      <c r="G1243" s="200" t="s">
        <v>688</v>
      </c>
    </row>
    <row r="1244" spans="1:7" hidden="1">
      <c r="A1244" s="199" t="s">
        <v>562</v>
      </c>
      <c r="B1244" s="200">
        <v>-20</v>
      </c>
      <c r="C1244" s="200">
        <v>0</v>
      </c>
      <c r="D1244" s="201" t="s">
        <v>283</v>
      </c>
      <c r="E1244" s="201" t="s">
        <v>319</v>
      </c>
      <c r="F1244" s="200" t="s">
        <v>394</v>
      </c>
      <c r="G1244" s="200" t="s">
        <v>688</v>
      </c>
    </row>
    <row r="1245" spans="1:7" hidden="1">
      <c r="A1245" s="199" t="s">
        <v>562</v>
      </c>
      <c r="B1245" s="200">
        <v>20</v>
      </c>
      <c r="C1245" s="200">
        <v>0</v>
      </c>
      <c r="D1245" s="201" t="s">
        <v>283</v>
      </c>
      <c r="E1245" s="201" t="s">
        <v>319</v>
      </c>
      <c r="F1245" s="200" t="s">
        <v>408</v>
      </c>
      <c r="G1245" s="200" t="s">
        <v>688</v>
      </c>
    </row>
    <row r="1246" spans="1:7">
      <c r="A1246" s="199" t="s">
        <v>562</v>
      </c>
      <c r="B1246" s="200">
        <v>-32</v>
      </c>
      <c r="C1246" s="200">
        <v>0</v>
      </c>
      <c r="D1246" s="201" t="s">
        <v>282</v>
      </c>
      <c r="E1246" s="201" t="s">
        <v>319</v>
      </c>
      <c r="F1246" s="200" t="s">
        <v>394</v>
      </c>
      <c r="G1246" s="200" t="s">
        <v>688</v>
      </c>
    </row>
    <row r="1247" spans="1:7">
      <c r="A1247" s="199" t="s">
        <v>562</v>
      </c>
      <c r="B1247" s="200">
        <v>24</v>
      </c>
      <c r="C1247" s="200">
        <v>0</v>
      </c>
      <c r="D1247" s="201" t="s">
        <v>282</v>
      </c>
      <c r="E1247" s="201" t="s">
        <v>319</v>
      </c>
      <c r="F1247" s="200" t="s">
        <v>408</v>
      </c>
      <c r="G1247" s="200" t="s">
        <v>688</v>
      </c>
    </row>
    <row r="1248" spans="1:7">
      <c r="A1248" s="199" t="s">
        <v>562</v>
      </c>
      <c r="B1248" s="200">
        <v>8</v>
      </c>
      <c r="C1248" s="200">
        <v>0</v>
      </c>
      <c r="D1248" s="201" t="s">
        <v>282</v>
      </c>
      <c r="E1248" s="201" t="s">
        <v>319</v>
      </c>
      <c r="F1248" s="200" t="s">
        <v>393</v>
      </c>
      <c r="G1248" s="200" t="s">
        <v>688</v>
      </c>
    </row>
    <row r="1249" spans="1:7">
      <c r="A1249" s="199" t="s">
        <v>563</v>
      </c>
      <c r="B1249" s="200">
        <v>24</v>
      </c>
      <c r="C1249" s="200">
        <v>0</v>
      </c>
      <c r="D1249" s="201" t="s">
        <v>282</v>
      </c>
      <c r="E1249" s="201" t="s">
        <v>319</v>
      </c>
      <c r="F1249" s="200" t="s">
        <v>394</v>
      </c>
      <c r="G1249" s="200" t="s">
        <v>688</v>
      </c>
    </row>
    <row r="1250" spans="1:7">
      <c r="A1250" s="199" t="s">
        <v>563</v>
      </c>
      <c r="B1250" s="200">
        <v>-24</v>
      </c>
      <c r="C1250" s="200">
        <v>0</v>
      </c>
      <c r="D1250" s="201" t="s">
        <v>282</v>
      </c>
      <c r="E1250" s="201" t="s">
        <v>319</v>
      </c>
      <c r="F1250" s="200" t="s">
        <v>408</v>
      </c>
      <c r="G1250" s="200" t="s">
        <v>688</v>
      </c>
    </row>
    <row r="1251" spans="1:7">
      <c r="A1251" s="199" t="s">
        <v>564</v>
      </c>
      <c r="B1251" s="200">
        <v>-24</v>
      </c>
      <c r="C1251" s="200">
        <v>0</v>
      </c>
      <c r="D1251" s="201" t="s">
        <v>282</v>
      </c>
      <c r="E1251" s="201" t="s">
        <v>319</v>
      </c>
      <c r="F1251" s="200" t="s">
        <v>394</v>
      </c>
      <c r="G1251" s="200" t="s">
        <v>688</v>
      </c>
    </row>
    <row r="1252" spans="1:7">
      <c r="A1252" s="199" t="s">
        <v>564</v>
      </c>
      <c r="B1252" s="200">
        <v>24</v>
      </c>
      <c r="C1252" s="200">
        <v>0</v>
      </c>
      <c r="D1252" s="201" t="s">
        <v>282</v>
      </c>
      <c r="E1252" s="201" t="s">
        <v>319</v>
      </c>
      <c r="F1252" s="200" t="s">
        <v>408</v>
      </c>
      <c r="G1252" s="200" t="s">
        <v>688</v>
      </c>
    </row>
    <row r="1253" spans="1:7">
      <c r="A1253" s="199" t="s">
        <v>90</v>
      </c>
      <c r="B1253" s="200">
        <v>1035</v>
      </c>
      <c r="C1253" s="200">
        <v>0</v>
      </c>
      <c r="D1253" s="201" t="s">
        <v>282</v>
      </c>
      <c r="E1253" s="201" t="s">
        <v>317</v>
      </c>
      <c r="F1253" s="200" t="s">
        <v>394</v>
      </c>
      <c r="G1253" s="200" t="s">
        <v>688</v>
      </c>
    </row>
    <row r="1254" spans="1:7">
      <c r="A1254" s="199" t="s">
        <v>90</v>
      </c>
      <c r="B1254" s="200">
        <v>-415</v>
      </c>
      <c r="C1254" s="200">
        <v>0</v>
      </c>
      <c r="D1254" s="201" t="s">
        <v>282</v>
      </c>
      <c r="E1254" s="201" t="s">
        <v>317</v>
      </c>
      <c r="F1254" s="200" t="s">
        <v>445</v>
      </c>
      <c r="G1254" s="200" t="s">
        <v>688</v>
      </c>
    </row>
    <row r="1255" spans="1:7">
      <c r="A1255" s="199" t="s">
        <v>90</v>
      </c>
      <c r="B1255" s="200">
        <v>45</v>
      </c>
      <c r="C1255" s="200">
        <v>0</v>
      </c>
      <c r="D1255" s="201" t="s">
        <v>282</v>
      </c>
      <c r="E1255" s="201" t="s">
        <v>317</v>
      </c>
      <c r="F1255" s="200" t="s">
        <v>393</v>
      </c>
      <c r="G1255" s="200" t="s">
        <v>688</v>
      </c>
    </row>
    <row r="1256" spans="1:7">
      <c r="A1256" s="199" t="s">
        <v>90</v>
      </c>
      <c r="B1256" s="200">
        <v>234</v>
      </c>
      <c r="C1256" s="200">
        <v>0</v>
      </c>
      <c r="D1256" s="201" t="s">
        <v>282</v>
      </c>
      <c r="E1256" s="201" t="s">
        <v>317</v>
      </c>
      <c r="F1256" s="200" t="s">
        <v>413</v>
      </c>
      <c r="G1256" s="200" t="s">
        <v>688</v>
      </c>
    </row>
    <row r="1257" spans="1:7">
      <c r="A1257" s="199" t="s">
        <v>90</v>
      </c>
      <c r="B1257" s="200">
        <v>-452</v>
      </c>
      <c r="C1257" s="200">
        <v>0</v>
      </c>
      <c r="D1257" s="201" t="s">
        <v>282</v>
      </c>
      <c r="E1257" s="201" t="s">
        <v>317</v>
      </c>
      <c r="F1257" s="200" t="s">
        <v>403</v>
      </c>
      <c r="G1257" s="200" t="s">
        <v>688</v>
      </c>
    </row>
    <row r="1258" spans="1:7">
      <c r="A1258" s="199" t="s">
        <v>90</v>
      </c>
      <c r="B1258" s="200">
        <v>-447</v>
      </c>
      <c r="C1258" s="200">
        <v>0</v>
      </c>
      <c r="D1258" s="201" t="s">
        <v>282</v>
      </c>
      <c r="E1258" s="201" t="s">
        <v>317</v>
      </c>
      <c r="F1258" s="200" t="s">
        <v>449</v>
      </c>
      <c r="G1258" s="200" t="s">
        <v>688</v>
      </c>
    </row>
    <row r="1259" spans="1:7" hidden="1">
      <c r="A1259" s="199" t="s">
        <v>90</v>
      </c>
      <c r="B1259" s="200">
        <v>115</v>
      </c>
      <c r="C1259" s="200">
        <v>0</v>
      </c>
      <c r="D1259" s="201" t="s">
        <v>442</v>
      </c>
      <c r="E1259" s="201" t="s">
        <v>317</v>
      </c>
      <c r="F1259" s="200" t="s">
        <v>394</v>
      </c>
      <c r="G1259" s="200" t="s">
        <v>688</v>
      </c>
    </row>
    <row r="1260" spans="1:7">
      <c r="A1260" s="199" t="s">
        <v>565</v>
      </c>
      <c r="B1260" s="200">
        <v>7</v>
      </c>
      <c r="C1260" s="200">
        <v>0</v>
      </c>
      <c r="D1260" s="201" t="s">
        <v>282</v>
      </c>
      <c r="E1260" s="201" t="s">
        <v>319</v>
      </c>
      <c r="F1260" s="200" t="s">
        <v>394</v>
      </c>
      <c r="G1260" s="200" t="s">
        <v>688</v>
      </c>
    </row>
    <row r="1261" spans="1:7">
      <c r="A1261" s="199" t="s">
        <v>565</v>
      </c>
      <c r="B1261" s="200">
        <v>-7</v>
      </c>
      <c r="C1261" s="200">
        <v>0</v>
      </c>
      <c r="D1261" s="201" t="s">
        <v>282</v>
      </c>
      <c r="E1261" s="201" t="s">
        <v>319</v>
      </c>
      <c r="F1261" s="200" t="s">
        <v>393</v>
      </c>
      <c r="G1261" s="200" t="s">
        <v>688</v>
      </c>
    </row>
    <row r="1262" spans="1:7">
      <c r="A1262" s="199" t="s">
        <v>566</v>
      </c>
      <c r="B1262" s="200">
        <v>-12</v>
      </c>
      <c r="C1262" s="200">
        <v>0</v>
      </c>
      <c r="D1262" s="201" t="s">
        <v>282</v>
      </c>
      <c r="E1262" s="201" t="s">
        <v>319</v>
      </c>
      <c r="F1262" s="200" t="s">
        <v>394</v>
      </c>
      <c r="G1262" s="200" t="s">
        <v>688</v>
      </c>
    </row>
    <row r="1263" spans="1:7">
      <c r="A1263" s="199" t="s">
        <v>566</v>
      </c>
      <c r="B1263" s="200">
        <v>5</v>
      </c>
      <c r="C1263" s="200">
        <v>0</v>
      </c>
      <c r="D1263" s="201" t="s">
        <v>282</v>
      </c>
      <c r="E1263" s="201" t="s">
        <v>319</v>
      </c>
      <c r="F1263" s="200" t="s">
        <v>408</v>
      </c>
      <c r="G1263" s="200" t="s">
        <v>688</v>
      </c>
    </row>
    <row r="1264" spans="1:7">
      <c r="A1264" s="199" t="s">
        <v>566</v>
      </c>
      <c r="B1264" s="200">
        <v>7</v>
      </c>
      <c r="C1264" s="200">
        <v>0</v>
      </c>
      <c r="D1264" s="201" t="s">
        <v>282</v>
      </c>
      <c r="E1264" s="201" t="s">
        <v>319</v>
      </c>
      <c r="F1264" s="200" t="s">
        <v>393</v>
      </c>
      <c r="G1264" s="200" t="s">
        <v>688</v>
      </c>
    </row>
    <row r="1265" spans="1:7">
      <c r="A1265" s="199" t="s">
        <v>713</v>
      </c>
      <c r="B1265" s="200">
        <v>5</v>
      </c>
      <c r="C1265" s="200">
        <v>0</v>
      </c>
      <c r="D1265" s="201" t="s">
        <v>282</v>
      </c>
      <c r="E1265" s="201" t="s">
        <v>319</v>
      </c>
      <c r="F1265" s="200" t="s">
        <v>394</v>
      </c>
      <c r="G1265" s="200" t="s">
        <v>688</v>
      </c>
    </row>
    <row r="1266" spans="1:7">
      <c r="A1266" s="199" t="s">
        <v>713</v>
      </c>
      <c r="B1266" s="200">
        <v>-5</v>
      </c>
      <c r="C1266" s="200">
        <v>0</v>
      </c>
      <c r="D1266" s="201" t="s">
        <v>282</v>
      </c>
      <c r="E1266" s="201" t="s">
        <v>319</v>
      </c>
      <c r="F1266" s="200" t="s">
        <v>408</v>
      </c>
      <c r="G1266" s="200" t="s">
        <v>688</v>
      </c>
    </row>
    <row r="1267" spans="1:7" hidden="1">
      <c r="A1267" s="199" t="s">
        <v>567</v>
      </c>
      <c r="B1267" s="200">
        <v>-1</v>
      </c>
      <c r="C1267" s="200">
        <v>0</v>
      </c>
      <c r="D1267" s="201" t="s">
        <v>283</v>
      </c>
      <c r="E1267" s="201" t="s">
        <v>319</v>
      </c>
      <c r="F1267" s="200" t="s">
        <v>394</v>
      </c>
      <c r="G1267" s="200" t="s">
        <v>688</v>
      </c>
    </row>
    <row r="1268" spans="1:7">
      <c r="A1268" s="199" t="s">
        <v>567</v>
      </c>
      <c r="B1268" s="200">
        <v>27</v>
      </c>
      <c r="C1268" s="200">
        <v>0</v>
      </c>
      <c r="D1268" s="201" t="s">
        <v>282</v>
      </c>
      <c r="E1268" s="201" t="s">
        <v>319</v>
      </c>
      <c r="F1268" s="200" t="s">
        <v>394</v>
      </c>
      <c r="G1268" s="200" t="s">
        <v>688</v>
      </c>
    </row>
    <row r="1269" spans="1:7">
      <c r="A1269" s="199" t="s">
        <v>567</v>
      </c>
      <c r="B1269" s="200">
        <v>-26</v>
      </c>
      <c r="C1269" s="200">
        <v>0</v>
      </c>
      <c r="D1269" s="201" t="s">
        <v>282</v>
      </c>
      <c r="E1269" s="201" t="s">
        <v>319</v>
      </c>
      <c r="F1269" s="200" t="s">
        <v>393</v>
      </c>
      <c r="G1269" s="200" t="s">
        <v>688</v>
      </c>
    </row>
    <row r="1270" spans="1:7" hidden="1">
      <c r="A1270" s="199" t="s">
        <v>568</v>
      </c>
      <c r="B1270" s="200">
        <v>1</v>
      </c>
      <c r="C1270" s="200">
        <v>0</v>
      </c>
      <c r="D1270" s="201" t="s">
        <v>283</v>
      </c>
      <c r="E1270" s="201" t="s">
        <v>319</v>
      </c>
      <c r="F1270" s="200" t="s">
        <v>394</v>
      </c>
      <c r="G1270" s="200" t="s">
        <v>688</v>
      </c>
    </row>
    <row r="1271" spans="1:7">
      <c r="A1271" s="199" t="s">
        <v>568</v>
      </c>
      <c r="B1271" s="200">
        <v>-27</v>
      </c>
      <c r="C1271" s="200">
        <v>0</v>
      </c>
      <c r="D1271" s="201" t="s">
        <v>282</v>
      </c>
      <c r="E1271" s="201" t="s">
        <v>319</v>
      </c>
      <c r="F1271" s="200" t="s">
        <v>394</v>
      </c>
      <c r="G1271" s="200" t="s">
        <v>688</v>
      </c>
    </row>
    <row r="1272" spans="1:7">
      <c r="A1272" s="199" t="s">
        <v>568</v>
      </c>
      <c r="B1272" s="200">
        <v>26</v>
      </c>
      <c r="C1272" s="200">
        <v>0</v>
      </c>
      <c r="D1272" s="201" t="s">
        <v>282</v>
      </c>
      <c r="E1272" s="201" t="s">
        <v>319</v>
      </c>
      <c r="F1272" s="200" t="s">
        <v>393</v>
      </c>
      <c r="G1272" s="200" t="s">
        <v>688</v>
      </c>
    </row>
    <row r="1273" spans="1:7">
      <c r="A1273" s="199" t="s">
        <v>569</v>
      </c>
      <c r="B1273" s="200">
        <v>1011</v>
      </c>
      <c r="C1273" s="200">
        <v>0</v>
      </c>
      <c r="D1273" s="201" t="s">
        <v>282</v>
      </c>
      <c r="E1273" s="201" t="s">
        <v>317</v>
      </c>
      <c r="F1273" s="200" t="s">
        <v>445</v>
      </c>
      <c r="G1273" s="200" t="s">
        <v>688</v>
      </c>
    </row>
    <row r="1274" spans="1:7">
      <c r="A1274" s="199" t="s">
        <v>569</v>
      </c>
      <c r="B1274" s="200">
        <v>-1011</v>
      </c>
      <c r="C1274" s="200">
        <v>0</v>
      </c>
      <c r="D1274" s="201" t="s">
        <v>282</v>
      </c>
      <c r="E1274" s="201" t="s">
        <v>317</v>
      </c>
      <c r="F1274" s="200" t="s">
        <v>393</v>
      </c>
      <c r="G1274" s="200" t="s">
        <v>688</v>
      </c>
    </row>
    <row r="1275" spans="1:7">
      <c r="A1275" s="199" t="s">
        <v>714</v>
      </c>
      <c r="B1275" s="200">
        <v>293</v>
      </c>
      <c r="C1275" s="200">
        <v>0</v>
      </c>
      <c r="D1275" s="201" t="s">
        <v>282</v>
      </c>
      <c r="E1275" s="201" t="s">
        <v>317</v>
      </c>
      <c r="F1275" s="200" t="s">
        <v>394</v>
      </c>
      <c r="G1275" s="200" t="s">
        <v>688</v>
      </c>
    </row>
    <row r="1276" spans="1:7">
      <c r="A1276" s="199" t="s">
        <v>714</v>
      </c>
      <c r="B1276" s="200">
        <v>-293</v>
      </c>
      <c r="C1276" s="200">
        <v>0</v>
      </c>
      <c r="D1276" s="201" t="s">
        <v>282</v>
      </c>
      <c r="E1276" s="201" t="s">
        <v>317</v>
      </c>
      <c r="F1276" s="200" t="s">
        <v>449</v>
      </c>
      <c r="G1276" s="200" t="s">
        <v>688</v>
      </c>
    </row>
    <row r="1277" spans="1:7" hidden="1">
      <c r="A1277" s="199" t="s">
        <v>347</v>
      </c>
      <c r="B1277" s="200">
        <v>19</v>
      </c>
      <c r="C1277" s="200">
        <v>0</v>
      </c>
      <c r="D1277" s="201" t="s">
        <v>283</v>
      </c>
      <c r="E1277" s="201" t="s">
        <v>317</v>
      </c>
      <c r="F1277" s="200" t="s">
        <v>394</v>
      </c>
      <c r="G1277" s="200" t="s">
        <v>688</v>
      </c>
    </row>
    <row r="1278" spans="1:7" hidden="1">
      <c r="A1278" s="199" t="s">
        <v>347</v>
      </c>
      <c r="B1278" s="200">
        <v>-19</v>
      </c>
      <c r="C1278" s="200">
        <v>0</v>
      </c>
      <c r="D1278" s="201" t="s">
        <v>283</v>
      </c>
      <c r="E1278" s="201" t="s">
        <v>317</v>
      </c>
      <c r="F1278" s="200" t="s">
        <v>441</v>
      </c>
      <c r="G1278" s="200" t="s">
        <v>688</v>
      </c>
    </row>
    <row r="1279" spans="1:7">
      <c r="A1279" s="199" t="s">
        <v>347</v>
      </c>
      <c r="B1279" s="200">
        <v>47</v>
      </c>
      <c r="C1279" s="200">
        <v>0</v>
      </c>
      <c r="D1279" s="201" t="s">
        <v>282</v>
      </c>
      <c r="E1279" s="201" t="s">
        <v>317</v>
      </c>
      <c r="F1279" s="200" t="s">
        <v>394</v>
      </c>
      <c r="G1279" s="200" t="s">
        <v>688</v>
      </c>
    </row>
    <row r="1280" spans="1:7">
      <c r="A1280" s="199" t="s">
        <v>347</v>
      </c>
      <c r="B1280" s="200">
        <v>-66</v>
      </c>
      <c r="C1280" s="200">
        <v>0</v>
      </c>
      <c r="D1280" s="201" t="s">
        <v>282</v>
      </c>
      <c r="E1280" s="201" t="s">
        <v>317</v>
      </c>
      <c r="F1280" s="200" t="s">
        <v>393</v>
      </c>
      <c r="G1280" s="200" t="s">
        <v>688</v>
      </c>
    </row>
    <row r="1281" spans="1:7">
      <c r="A1281" s="199" t="s">
        <v>347</v>
      </c>
      <c r="B1281" s="200">
        <v>19</v>
      </c>
      <c r="C1281" s="200">
        <v>0</v>
      </c>
      <c r="D1281" s="201" t="s">
        <v>282</v>
      </c>
      <c r="E1281" s="201" t="s">
        <v>317</v>
      </c>
      <c r="F1281" s="200" t="s">
        <v>441</v>
      </c>
      <c r="G1281" s="200" t="s">
        <v>688</v>
      </c>
    </row>
    <row r="1282" spans="1:7">
      <c r="A1282" s="199" t="s">
        <v>572</v>
      </c>
      <c r="B1282" s="200">
        <v>4</v>
      </c>
      <c r="C1282" s="200">
        <v>0</v>
      </c>
      <c r="D1282" s="201" t="s">
        <v>282</v>
      </c>
      <c r="E1282" s="201" t="s">
        <v>319</v>
      </c>
      <c r="F1282" s="200" t="s">
        <v>394</v>
      </c>
      <c r="G1282" s="200" t="s">
        <v>688</v>
      </c>
    </row>
    <row r="1283" spans="1:7">
      <c r="A1283" s="199" t="s">
        <v>572</v>
      </c>
      <c r="B1283" s="200">
        <v>-4</v>
      </c>
      <c r="C1283" s="200">
        <v>0</v>
      </c>
      <c r="D1283" s="201" t="s">
        <v>282</v>
      </c>
      <c r="E1283" s="201" t="s">
        <v>319</v>
      </c>
      <c r="F1283" s="200" t="s">
        <v>408</v>
      </c>
      <c r="G1283" s="200" t="s">
        <v>688</v>
      </c>
    </row>
    <row r="1284" spans="1:7">
      <c r="A1284" s="199" t="s">
        <v>573</v>
      </c>
      <c r="B1284" s="200">
        <v>-4</v>
      </c>
      <c r="C1284" s="200">
        <v>0</v>
      </c>
      <c r="D1284" s="201" t="s">
        <v>282</v>
      </c>
      <c r="E1284" s="201" t="s">
        <v>319</v>
      </c>
      <c r="F1284" s="200" t="s">
        <v>394</v>
      </c>
      <c r="G1284" s="200" t="s">
        <v>688</v>
      </c>
    </row>
    <row r="1285" spans="1:7">
      <c r="A1285" s="199" t="s">
        <v>573</v>
      </c>
      <c r="B1285" s="200">
        <v>4</v>
      </c>
      <c r="C1285" s="200">
        <v>0</v>
      </c>
      <c r="D1285" s="201" t="s">
        <v>282</v>
      </c>
      <c r="E1285" s="201" t="s">
        <v>319</v>
      </c>
      <c r="F1285" s="200" t="s">
        <v>408</v>
      </c>
      <c r="G1285" s="200" t="s">
        <v>688</v>
      </c>
    </row>
    <row r="1286" spans="1:7">
      <c r="A1286" s="199" t="s">
        <v>715</v>
      </c>
      <c r="B1286" s="200">
        <v>44</v>
      </c>
      <c r="C1286" s="200">
        <v>0</v>
      </c>
      <c r="D1286" s="201" t="s">
        <v>282</v>
      </c>
      <c r="E1286" s="201" t="s">
        <v>317</v>
      </c>
      <c r="F1286" s="200" t="s">
        <v>394</v>
      </c>
      <c r="G1286" s="200" t="s">
        <v>688</v>
      </c>
    </row>
    <row r="1287" spans="1:7">
      <c r="A1287" s="199" t="s">
        <v>715</v>
      </c>
      <c r="B1287" s="200">
        <v>-44</v>
      </c>
      <c r="C1287" s="200">
        <v>0</v>
      </c>
      <c r="D1287" s="201" t="s">
        <v>282</v>
      </c>
      <c r="E1287" s="201" t="s">
        <v>317</v>
      </c>
      <c r="F1287" s="200" t="s">
        <v>449</v>
      </c>
      <c r="G1287" s="200" t="s">
        <v>688</v>
      </c>
    </row>
    <row r="1288" spans="1:7" hidden="1">
      <c r="A1288" s="199" t="s">
        <v>575</v>
      </c>
      <c r="B1288" s="200">
        <v>11270</v>
      </c>
      <c r="C1288" s="200">
        <v>0</v>
      </c>
      <c r="D1288" s="201" t="s">
        <v>440</v>
      </c>
      <c r="E1288" s="201" t="s">
        <v>317</v>
      </c>
      <c r="F1288" s="200" t="s">
        <v>394</v>
      </c>
      <c r="G1288" s="200" t="s">
        <v>688</v>
      </c>
    </row>
    <row r="1289" spans="1:7" hidden="1">
      <c r="A1289" s="199" t="s">
        <v>575</v>
      </c>
      <c r="B1289" s="200">
        <v>-5670</v>
      </c>
      <c r="C1289" s="200">
        <v>0</v>
      </c>
      <c r="D1289" s="201" t="s">
        <v>440</v>
      </c>
      <c r="E1289" s="201" t="s">
        <v>317</v>
      </c>
      <c r="F1289" s="200" t="s">
        <v>405</v>
      </c>
      <c r="G1289" s="200" t="s">
        <v>688</v>
      </c>
    </row>
    <row r="1290" spans="1:7" hidden="1">
      <c r="A1290" s="199" t="s">
        <v>575</v>
      </c>
      <c r="B1290" s="200">
        <v>-5600</v>
      </c>
      <c r="C1290" s="200">
        <v>0</v>
      </c>
      <c r="D1290" s="201" t="s">
        <v>440</v>
      </c>
      <c r="E1290" s="201" t="s">
        <v>317</v>
      </c>
      <c r="F1290" s="200" t="s">
        <v>410</v>
      </c>
      <c r="G1290" s="200" t="s">
        <v>688</v>
      </c>
    </row>
    <row r="1291" spans="1:7" hidden="1">
      <c r="A1291" s="199" t="s">
        <v>94</v>
      </c>
      <c r="B1291" s="200">
        <v>884</v>
      </c>
      <c r="C1291" s="200">
        <v>0</v>
      </c>
      <c r="D1291" s="201" t="s">
        <v>283</v>
      </c>
      <c r="E1291" s="201" t="s">
        <v>317</v>
      </c>
      <c r="F1291" s="200" t="s">
        <v>394</v>
      </c>
      <c r="G1291" s="200" t="s">
        <v>688</v>
      </c>
    </row>
    <row r="1292" spans="1:7" hidden="1">
      <c r="A1292" s="199" t="s">
        <v>94</v>
      </c>
      <c r="B1292" s="200">
        <v>-620</v>
      </c>
      <c r="C1292" s="200">
        <v>0</v>
      </c>
      <c r="D1292" s="201" t="s">
        <v>283</v>
      </c>
      <c r="E1292" s="201" t="s">
        <v>317</v>
      </c>
      <c r="F1292" s="200" t="s">
        <v>397</v>
      </c>
      <c r="G1292" s="200" t="s">
        <v>688</v>
      </c>
    </row>
    <row r="1293" spans="1:7" hidden="1">
      <c r="A1293" s="199" t="s">
        <v>94</v>
      </c>
      <c r="B1293" s="200">
        <v>66</v>
      </c>
      <c r="C1293" s="200">
        <v>0</v>
      </c>
      <c r="D1293" s="201" t="s">
        <v>283</v>
      </c>
      <c r="E1293" s="201" t="s">
        <v>317</v>
      </c>
      <c r="F1293" s="200" t="s">
        <v>393</v>
      </c>
      <c r="G1293" s="200" t="s">
        <v>688</v>
      </c>
    </row>
    <row r="1294" spans="1:7" hidden="1">
      <c r="A1294" s="199" t="s">
        <v>94</v>
      </c>
      <c r="B1294" s="200">
        <v>-928</v>
      </c>
      <c r="C1294" s="200">
        <v>0</v>
      </c>
      <c r="D1294" s="201" t="s">
        <v>283</v>
      </c>
      <c r="E1294" s="201" t="s">
        <v>317</v>
      </c>
      <c r="F1294" s="200" t="s">
        <v>441</v>
      </c>
      <c r="G1294" s="200" t="s">
        <v>688</v>
      </c>
    </row>
    <row r="1295" spans="1:7" hidden="1">
      <c r="A1295" s="199" t="s">
        <v>94</v>
      </c>
      <c r="B1295" s="200">
        <v>613</v>
      </c>
      <c r="C1295" s="200">
        <v>0</v>
      </c>
      <c r="D1295" s="201" t="s">
        <v>283</v>
      </c>
      <c r="E1295" s="201" t="s">
        <v>317</v>
      </c>
      <c r="F1295" s="200" t="s">
        <v>411</v>
      </c>
      <c r="G1295" s="200" t="s">
        <v>688</v>
      </c>
    </row>
    <row r="1296" spans="1:7">
      <c r="A1296" s="199" t="s">
        <v>94</v>
      </c>
      <c r="B1296" s="200">
        <v>-6804</v>
      </c>
      <c r="C1296" s="200">
        <v>0</v>
      </c>
      <c r="D1296" s="201" t="s">
        <v>282</v>
      </c>
      <c r="E1296" s="201" t="s">
        <v>317</v>
      </c>
      <c r="F1296" s="200" t="s">
        <v>394</v>
      </c>
      <c r="G1296" s="200" t="s">
        <v>688</v>
      </c>
    </row>
    <row r="1297" spans="1:7">
      <c r="A1297" s="199" t="s">
        <v>94</v>
      </c>
      <c r="B1297" s="200">
        <v>-499</v>
      </c>
      <c r="C1297" s="200">
        <v>0</v>
      </c>
      <c r="D1297" s="201" t="s">
        <v>282</v>
      </c>
      <c r="E1297" s="201" t="s">
        <v>317</v>
      </c>
      <c r="F1297" s="200" t="s">
        <v>445</v>
      </c>
      <c r="G1297" s="200" t="s">
        <v>688</v>
      </c>
    </row>
    <row r="1298" spans="1:7">
      <c r="A1298" s="199" t="s">
        <v>94</v>
      </c>
      <c r="B1298" s="200">
        <v>-620</v>
      </c>
      <c r="C1298" s="200">
        <v>0</v>
      </c>
      <c r="D1298" s="201" t="s">
        <v>282</v>
      </c>
      <c r="E1298" s="201" t="s">
        <v>317</v>
      </c>
      <c r="F1298" s="200" t="s">
        <v>397</v>
      </c>
      <c r="G1298" s="200" t="s">
        <v>688</v>
      </c>
    </row>
    <row r="1299" spans="1:7">
      <c r="A1299" s="199" t="s">
        <v>94</v>
      </c>
      <c r="B1299" s="200">
        <v>2604</v>
      </c>
      <c r="C1299" s="200">
        <v>0</v>
      </c>
      <c r="D1299" s="201" t="s">
        <v>282</v>
      </c>
      <c r="E1299" s="201" t="s">
        <v>317</v>
      </c>
      <c r="F1299" s="200" t="s">
        <v>408</v>
      </c>
      <c r="G1299" s="200" t="s">
        <v>688</v>
      </c>
    </row>
    <row r="1300" spans="1:7">
      <c r="A1300" s="199" t="s">
        <v>94</v>
      </c>
      <c r="B1300" s="200">
        <v>2189</v>
      </c>
      <c r="C1300" s="200">
        <v>0</v>
      </c>
      <c r="D1300" s="201" t="s">
        <v>282</v>
      </c>
      <c r="E1300" s="201" t="s">
        <v>317</v>
      </c>
      <c r="F1300" s="200" t="s">
        <v>393</v>
      </c>
      <c r="G1300" s="200" t="s">
        <v>688</v>
      </c>
    </row>
    <row r="1301" spans="1:7">
      <c r="A1301" s="199" t="s">
        <v>94</v>
      </c>
      <c r="B1301" s="200">
        <v>1500</v>
      </c>
      <c r="C1301" s="200">
        <v>0</v>
      </c>
      <c r="D1301" s="201" t="s">
        <v>282</v>
      </c>
      <c r="E1301" s="201" t="s">
        <v>317</v>
      </c>
      <c r="F1301" s="200" t="s">
        <v>407</v>
      </c>
      <c r="G1301" s="200" t="s">
        <v>688</v>
      </c>
    </row>
    <row r="1302" spans="1:7">
      <c r="A1302" s="199" t="s">
        <v>94</v>
      </c>
      <c r="B1302" s="200">
        <v>323</v>
      </c>
      <c r="C1302" s="200">
        <v>0</v>
      </c>
      <c r="D1302" s="201" t="s">
        <v>282</v>
      </c>
      <c r="E1302" s="201" t="s">
        <v>317</v>
      </c>
      <c r="F1302" s="200" t="s">
        <v>413</v>
      </c>
      <c r="G1302" s="200" t="s">
        <v>688</v>
      </c>
    </row>
    <row r="1303" spans="1:7">
      <c r="A1303" s="199" t="s">
        <v>94</v>
      </c>
      <c r="B1303" s="200">
        <v>-444</v>
      </c>
      <c r="C1303" s="200">
        <v>0</v>
      </c>
      <c r="D1303" s="201" t="s">
        <v>282</v>
      </c>
      <c r="E1303" s="201" t="s">
        <v>317</v>
      </c>
      <c r="F1303" s="200" t="s">
        <v>403</v>
      </c>
      <c r="G1303" s="200" t="s">
        <v>688</v>
      </c>
    </row>
    <row r="1304" spans="1:7">
      <c r="A1304" s="199" t="s">
        <v>94</v>
      </c>
      <c r="B1304" s="200">
        <v>928</v>
      </c>
      <c r="C1304" s="200">
        <v>0</v>
      </c>
      <c r="D1304" s="201" t="s">
        <v>282</v>
      </c>
      <c r="E1304" s="201" t="s">
        <v>317</v>
      </c>
      <c r="F1304" s="200" t="s">
        <v>441</v>
      </c>
      <c r="G1304" s="200" t="s">
        <v>688</v>
      </c>
    </row>
    <row r="1305" spans="1:7">
      <c r="A1305" s="199" t="s">
        <v>94</v>
      </c>
      <c r="B1305" s="200">
        <v>195</v>
      </c>
      <c r="C1305" s="200">
        <v>0</v>
      </c>
      <c r="D1305" s="201" t="s">
        <v>282</v>
      </c>
      <c r="E1305" s="201" t="s">
        <v>317</v>
      </c>
      <c r="F1305" s="200" t="s">
        <v>449</v>
      </c>
      <c r="G1305" s="200" t="s">
        <v>688</v>
      </c>
    </row>
    <row r="1306" spans="1:7">
      <c r="A1306" s="199" t="s">
        <v>94</v>
      </c>
      <c r="B1306" s="200">
        <v>613</v>
      </c>
      <c r="C1306" s="200">
        <v>0</v>
      </c>
      <c r="D1306" s="201" t="s">
        <v>282</v>
      </c>
      <c r="E1306" s="201" t="s">
        <v>317</v>
      </c>
      <c r="F1306" s="200" t="s">
        <v>411</v>
      </c>
      <c r="G1306" s="200" t="s">
        <v>688</v>
      </c>
    </row>
    <row r="1307" spans="1:7" hidden="1">
      <c r="A1307" s="199" t="s">
        <v>576</v>
      </c>
      <c r="B1307" s="200">
        <v>4</v>
      </c>
      <c r="C1307" s="200">
        <v>0</v>
      </c>
      <c r="D1307" s="201" t="s">
        <v>283</v>
      </c>
      <c r="E1307" s="201" t="s">
        <v>319</v>
      </c>
      <c r="F1307" s="200" t="s">
        <v>394</v>
      </c>
      <c r="G1307" s="200" t="s">
        <v>688</v>
      </c>
    </row>
    <row r="1308" spans="1:7" hidden="1">
      <c r="A1308" s="199" t="s">
        <v>576</v>
      </c>
      <c r="B1308" s="200">
        <v>-4</v>
      </c>
      <c r="C1308" s="200">
        <v>0</v>
      </c>
      <c r="D1308" s="201" t="s">
        <v>283</v>
      </c>
      <c r="E1308" s="201" t="s">
        <v>319</v>
      </c>
      <c r="F1308" s="200" t="s">
        <v>441</v>
      </c>
      <c r="G1308" s="200" t="s">
        <v>688</v>
      </c>
    </row>
    <row r="1309" spans="1:7">
      <c r="A1309" s="199" t="s">
        <v>576</v>
      </c>
      <c r="B1309" s="200">
        <v>27</v>
      </c>
      <c r="C1309" s="200">
        <v>0</v>
      </c>
      <c r="D1309" s="201" t="s">
        <v>282</v>
      </c>
      <c r="E1309" s="201" t="s">
        <v>319</v>
      </c>
      <c r="F1309" s="200" t="s">
        <v>394</v>
      </c>
      <c r="G1309" s="200" t="s">
        <v>688</v>
      </c>
    </row>
    <row r="1310" spans="1:7">
      <c r="A1310" s="199" t="s">
        <v>576</v>
      </c>
      <c r="B1310" s="200">
        <v>-23</v>
      </c>
      <c r="C1310" s="200">
        <v>0</v>
      </c>
      <c r="D1310" s="201" t="s">
        <v>282</v>
      </c>
      <c r="E1310" s="201" t="s">
        <v>319</v>
      </c>
      <c r="F1310" s="200" t="s">
        <v>408</v>
      </c>
      <c r="G1310" s="200" t="s">
        <v>688</v>
      </c>
    </row>
    <row r="1311" spans="1:7">
      <c r="A1311" s="199" t="s">
        <v>576</v>
      </c>
      <c r="B1311" s="200">
        <v>-8</v>
      </c>
      <c r="C1311" s="200">
        <v>0</v>
      </c>
      <c r="D1311" s="201" t="s">
        <v>282</v>
      </c>
      <c r="E1311" s="201" t="s">
        <v>319</v>
      </c>
      <c r="F1311" s="200" t="s">
        <v>393</v>
      </c>
      <c r="G1311" s="200" t="s">
        <v>688</v>
      </c>
    </row>
    <row r="1312" spans="1:7">
      <c r="A1312" s="199" t="s">
        <v>576</v>
      </c>
      <c r="B1312" s="200">
        <v>4</v>
      </c>
      <c r="C1312" s="200">
        <v>0</v>
      </c>
      <c r="D1312" s="201" t="s">
        <v>282</v>
      </c>
      <c r="E1312" s="201" t="s">
        <v>319</v>
      </c>
      <c r="F1312" s="200" t="s">
        <v>441</v>
      </c>
      <c r="G1312" s="200" t="s">
        <v>688</v>
      </c>
    </row>
    <row r="1313" spans="1:7">
      <c r="A1313" s="199" t="s">
        <v>577</v>
      </c>
      <c r="B1313" s="200">
        <v>7</v>
      </c>
      <c r="C1313" s="200">
        <v>0</v>
      </c>
      <c r="D1313" s="201" t="s">
        <v>282</v>
      </c>
      <c r="E1313" s="201" t="s">
        <v>319</v>
      </c>
      <c r="F1313" s="200" t="s">
        <v>408</v>
      </c>
      <c r="G1313" s="200" t="s">
        <v>688</v>
      </c>
    </row>
    <row r="1314" spans="1:7">
      <c r="A1314" s="199" t="s">
        <v>577</v>
      </c>
      <c r="B1314" s="200">
        <v>-7</v>
      </c>
      <c r="C1314" s="200">
        <v>0</v>
      </c>
      <c r="D1314" s="201" t="s">
        <v>282</v>
      </c>
      <c r="E1314" s="201" t="s">
        <v>319</v>
      </c>
      <c r="F1314" s="200" t="s">
        <v>393</v>
      </c>
      <c r="G1314" s="200" t="s">
        <v>688</v>
      </c>
    </row>
    <row r="1315" spans="1:7">
      <c r="A1315" s="199" t="s">
        <v>578</v>
      </c>
      <c r="B1315" s="200">
        <v>-39</v>
      </c>
      <c r="C1315" s="200">
        <v>0</v>
      </c>
      <c r="D1315" s="201" t="s">
        <v>282</v>
      </c>
      <c r="E1315" s="201" t="s">
        <v>319</v>
      </c>
      <c r="F1315" s="200" t="s">
        <v>394</v>
      </c>
      <c r="G1315" s="200" t="s">
        <v>688</v>
      </c>
    </row>
    <row r="1316" spans="1:7">
      <c r="A1316" s="199" t="s">
        <v>578</v>
      </c>
      <c r="B1316" s="200">
        <v>20</v>
      </c>
      <c r="C1316" s="200">
        <v>0</v>
      </c>
      <c r="D1316" s="201" t="s">
        <v>282</v>
      </c>
      <c r="E1316" s="201" t="s">
        <v>319</v>
      </c>
      <c r="F1316" s="200" t="s">
        <v>408</v>
      </c>
      <c r="G1316" s="200" t="s">
        <v>688</v>
      </c>
    </row>
    <row r="1317" spans="1:7">
      <c r="A1317" s="199" t="s">
        <v>578</v>
      </c>
      <c r="B1317" s="200">
        <v>19</v>
      </c>
      <c r="C1317" s="200">
        <v>0</v>
      </c>
      <c r="D1317" s="201" t="s">
        <v>282</v>
      </c>
      <c r="E1317" s="201" t="s">
        <v>319</v>
      </c>
      <c r="F1317" s="200" t="s">
        <v>393</v>
      </c>
      <c r="G1317" s="200" t="s">
        <v>688</v>
      </c>
    </row>
    <row r="1318" spans="1:7">
      <c r="A1318" s="199" t="s">
        <v>579</v>
      </c>
      <c r="B1318" s="200">
        <v>-8</v>
      </c>
      <c r="C1318" s="200">
        <v>0</v>
      </c>
      <c r="D1318" s="201" t="s">
        <v>282</v>
      </c>
      <c r="E1318" s="201" t="s">
        <v>319</v>
      </c>
      <c r="F1318" s="200" t="s">
        <v>408</v>
      </c>
      <c r="G1318" s="200" t="s">
        <v>688</v>
      </c>
    </row>
    <row r="1319" spans="1:7">
      <c r="A1319" s="199" t="s">
        <v>579</v>
      </c>
      <c r="B1319" s="200">
        <v>8</v>
      </c>
      <c r="C1319" s="200">
        <v>0</v>
      </c>
      <c r="D1319" s="201" t="s">
        <v>282</v>
      </c>
      <c r="E1319" s="201" t="s">
        <v>319</v>
      </c>
      <c r="F1319" s="200" t="s">
        <v>393</v>
      </c>
      <c r="G1319" s="200" t="s">
        <v>688</v>
      </c>
    </row>
    <row r="1320" spans="1:7" hidden="1">
      <c r="A1320" s="199" t="s">
        <v>580</v>
      </c>
      <c r="B1320" s="200">
        <v>-2</v>
      </c>
      <c r="C1320" s="200">
        <v>0</v>
      </c>
      <c r="D1320" s="201" t="s">
        <v>283</v>
      </c>
      <c r="E1320" s="201" t="s">
        <v>319</v>
      </c>
      <c r="F1320" s="200" t="s">
        <v>394</v>
      </c>
      <c r="G1320" s="200" t="s">
        <v>688</v>
      </c>
    </row>
    <row r="1321" spans="1:7">
      <c r="A1321" s="199" t="s">
        <v>580</v>
      </c>
      <c r="B1321" s="200">
        <v>2</v>
      </c>
      <c r="C1321" s="200">
        <v>0</v>
      </c>
      <c r="D1321" s="201" t="s">
        <v>282</v>
      </c>
      <c r="E1321" s="201" t="s">
        <v>319</v>
      </c>
      <c r="F1321" s="200" t="s">
        <v>394</v>
      </c>
      <c r="G1321" s="200" t="s">
        <v>688</v>
      </c>
    </row>
    <row r="1322" spans="1:7">
      <c r="A1322" s="199" t="s">
        <v>580</v>
      </c>
      <c r="B1322" s="200">
        <v>-41</v>
      </c>
      <c r="C1322" s="200">
        <v>0</v>
      </c>
      <c r="D1322" s="201" t="s">
        <v>282</v>
      </c>
      <c r="E1322" s="201" t="s">
        <v>319</v>
      </c>
      <c r="F1322" s="200" t="s">
        <v>408</v>
      </c>
      <c r="G1322" s="200" t="s">
        <v>688</v>
      </c>
    </row>
    <row r="1323" spans="1:7">
      <c r="A1323" s="199" t="s">
        <v>580</v>
      </c>
      <c r="B1323" s="200">
        <v>41</v>
      </c>
      <c r="C1323" s="200">
        <v>0</v>
      </c>
      <c r="D1323" s="201" t="s">
        <v>282</v>
      </c>
      <c r="E1323" s="201" t="s">
        <v>319</v>
      </c>
      <c r="F1323" s="200" t="s">
        <v>393</v>
      </c>
      <c r="G1323" s="200" t="s">
        <v>688</v>
      </c>
    </row>
    <row r="1324" spans="1:7">
      <c r="A1324" s="199" t="s">
        <v>581</v>
      </c>
      <c r="B1324" s="200">
        <v>178</v>
      </c>
      <c r="C1324" s="200">
        <v>0</v>
      </c>
      <c r="D1324" s="201" t="s">
        <v>282</v>
      </c>
      <c r="E1324" s="201" t="s">
        <v>319</v>
      </c>
      <c r="F1324" s="200" t="s">
        <v>394</v>
      </c>
      <c r="G1324" s="200" t="s">
        <v>688</v>
      </c>
    </row>
    <row r="1325" spans="1:7">
      <c r="A1325" s="199" t="s">
        <v>581</v>
      </c>
      <c r="B1325" s="200">
        <v>-178</v>
      </c>
      <c r="C1325" s="200">
        <v>0</v>
      </c>
      <c r="D1325" s="201" t="s">
        <v>282</v>
      </c>
      <c r="E1325" s="201" t="s">
        <v>319</v>
      </c>
      <c r="F1325" s="200" t="s">
        <v>408</v>
      </c>
      <c r="G1325" s="200" t="s">
        <v>688</v>
      </c>
    </row>
    <row r="1326" spans="1:7" hidden="1">
      <c r="A1326" s="199" t="s">
        <v>582</v>
      </c>
      <c r="B1326" s="200">
        <v>1</v>
      </c>
      <c r="C1326" s="200">
        <v>0</v>
      </c>
      <c r="D1326" s="201" t="s">
        <v>283</v>
      </c>
      <c r="E1326" s="201" t="s">
        <v>319</v>
      </c>
      <c r="F1326" s="200" t="s">
        <v>394</v>
      </c>
      <c r="G1326" s="200" t="s">
        <v>688</v>
      </c>
    </row>
    <row r="1327" spans="1:7">
      <c r="A1327" s="199" t="s">
        <v>582</v>
      </c>
      <c r="B1327" s="200">
        <v>-1</v>
      </c>
      <c r="C1327" s="200">
        <v>0</v>
      </c>
      <c r="D1327" s="201" t="s">
        <v>282</v>
      </c>
      <c r="E1327" s="201" t="s">
        <v>319</v>
      </c>
      <c r="F1327" s="200" t="s">
        <v>394</v>
      </c>
      <c r="G1327" s="200" t="s">
        <v>688</v>
      </c>
    </row>
    <row r="1328" spans="1:7">
      <c r="A1328" s="199" t="s">
        <v>582</v>
      </c>
      <c r="B1328" s="200">
        <v>41</v>
      </c>
      <c r="C1328" s="200">
        <v>0</v>
      </c>
      <c r="D1328" s="201" t="s">
        <v>282</v>
      </c>
      <c r="E1328" s="201" t="s">
        <v>319</v>
      </c>
      <c r="F1328" s="200" t="s">
        <v>408</v>
      </c>
      <c r="G1328" s="200" t="s">
        <v>688</v>
      </c>
    </row>
    <row r="1329" spans="1:7">
      <c r="A1329" s="199" t="s">
        <v>582</v>
      </c>
      <c r="B1329" s="200">
        <v>-41</v>
      </c>
      <c r="C1329" s="200">
        <v>0</v>
      </c>
      <c r="D1329" s="201" t="s">
        <v>282</v>
      </c>
      <c r="E1329" s="201" t="s">
        <v>319</v>
      </c>
      <c r="F1329" s="200" t="s">
        <v>393</v>
      </c>
      <c r="G1329" s="200" t="s">
        <v>688</v>
      </c>
    </row>
    <row r="1330" spans="1:7">
      <c r="A1330" s="199" t="s">
        <v>583</v>
      </c>
      <c r="B1330" s="200">
        <v>-178</v>
      </c>
      <c r="C1330" s="200">
        <v>0</v>
      </c>
      <c r="D1330" s="201" t="s">
        <v>282</v>
      </c>
      <c r="E1330" s="201" t="s">
        <v>319</v>
      </c>
      <c r="F1330" s="200" t="s">
        <v>394</v>
      </c>
      <c r="G1330" s="200" t="s">
        <v>688</v>
      </c>
    </row>
    <row r="1331" spans="1:7">
      <c r="A1331" s="199" t="s">
        <v>583</v>
      </c>
      <c r="B1331" s="200">
        <v>178</v>
      </c>
      <c r="C1331" s="200">
        <v>0</v>
      </c>
      <c r="D1331" s="201" t="s">
        <v>282</v>
      </c>
      <c r="E1331" s="201" t="s">
        <v>319</v>
      </c>
      <c r="F1331" s="200" t="s">
        <v>408</v>
      </c>
      <c r="G1331" s="200" t="s">
        <v>688</v>
      </c>
    </row>
    <row r="1332" spans="1:7" hidden="1">
      <c r="A1332" s="199" t="s">
        <v>584</v>
      </c>
      <c r="B1332" s="200">
        <v>15535</v>
      </c>
      <c r="C1332" s="200">
        <v>0</v>
      </c>
      <c r="D1332" s="201" t="s">
        <v>440</v>
      </c>
      <c r="E1332" s="201" t="s">
        <v>317</v>
      </c>
      <c r="F1332" s="200" t="s">
        <v>394</v>
      </c>
      <c r="G1332" s="200" t="s">
        <v>688</v>
      </c>
    </row>
    <row r="1333" spans="1:7" hidden="1">
      <c r="A1333" s="199" t="s">
        <v>584</v>
      </c>
      <c r="B1333" s="200">
        <v>-4755</v>
      </c>
      <c r="C1333" s="200">
        <v>0</v>
      </c>
      <c r="D1333" s="201" t="s">
        <v>440</v>
      </c>
      <c r="E1333" s="201" t="s">
        <v>317</v>
      </c>
      <c r="F1333" s="200" t="s">
        <v>407</v>
      </c>
      <c r="G1333" s="200" t="s">
        <v>688</v>
      </c>
    </row>
    <row r="1334" spans="1:7" hidden="1">
      <c r="A1334" s="199" t="s">
        <v>584</v>
      </c>
      <c r="B1334" s="200">
        <v>-13934</v>
      </c>
      <c r="C1334" s="200">
        <v>0</v>
      </c>
      <c r="D1334" s="201" t="s">
        <v>474</v>
      </c>
      <c r="E1334" s="201" t="s">
        <v>317</v>
      </c>
      <c r="F1334" s="200" t="s">
        <v>394</v>
      </c>
      <c r="G1334" s="200" t="s">
        <v>688</v>
      </c>
    </row>
    <row r="1335" spans="1:7" hidden="1">
      <c r="A1335" s="199" t="s">
        <v>585</v>
      </c>
      <c r="B1335" s="200">
        <v>-12977</v>
      </c>
      <c r="C1335" s="200">
        <v>0</v>
      </c>
      <c r="D1335" s="201" t="s">
        <v>440</v>
      </c>
      <c r="E1335" s="201" t="s">
        <v>317</v>
      </c>
      <c r="F1335" s="200" t="s">
        <v>407</v>
      </c>
      <c r="G1335" s="200" t="s">
        <v>688</v>
      </c>
    </row>
    <row r="1336" spans="1:7" hidden="1">
      <c r="A1336" s="199" t="s">
        <v>585</v>
      </c>
      <c r="B1336" s="200">
        <v>-1976</v>
      </c>
      <c r="C1336" s="200">
        <v>0</v>
      </c>
      <c r="D1336" s="201" t="s">
        <v>545</v>
      </c>
      <c r="E1336" s="201" t="s">
        <v>317</v>
      </c>
      <c r="F1336" s="200" t="s">
        <v>407</v>
      </c>
      <c r="G1336" s="200" t="s">
        <v>688</v>
      </c>
    </row>
    <row r="1337" spans="1:7" hidden="1">
      <c r="A1337" s="199" t="s">
        <v>586</v>
      </c>
      <c r="B1337" s="200">
        <v>-45436</v>
      </c>
      <c r="C1337" s="200">
        <v>0</v>
      </c>
      <c r="D1337" s="201" t="s">
        <v>440</v>
      </c>
      <c r="E1337" s="201" t="s">
        <v>39</v>
      </c>
      <c r="F1337" s="200" t="s">
        <v>394</v>
      </c>
      <c r="G1337" s="200" t="s">
        <v>688</v>
      </c>
    </row>
    <row r="1338" spans="1:7" hidden="1">
      <c r="A1338" s="199" t="s">
        <v>586</v>
      </c>
      <c r="B1338" s="200">
        <v>-5876</v>
      </c>
      <c r="C1338" s="200">
        <v>0</v>
      </c>
      <c r="D1338" s="201" t="s">
        <v>442</v>
      </c>
      <c r="E1338" s="201" t="s">
        <v>39</v>
      </c>
      <c r="F1338" s="200" t="s">
        <v>394</v>
      </c>
      <c r="G1338" s="200" t="s">
        <v>688</v>
      </c>
    </row>
    <row r="1339" spans="1:7">
      <c r="A1339" s="199" t="s">
        <v>716</v>
      </c>
      <c r="B1339" s="200">
        <v>109</v>
      </c>
      <c r="C1339" s="200">
        <v>0</v>
      </c>
      <c r="D1339" s="201" t="s">
        <v>282</v>
      </c>
      <c r="E1339" s="201" t="s">
        <v>317</v>
      </c>
      <c r="F1339" s="200" t="s">
        <v>394</v>
      </c>
      <c r="G1339" s="200" t="s">
        <v>688</v>
      </c>
    </row>
    <row r="1340" spans="1:7">
      <c r="A1340" s="199" t="s">
        <v>716</v>
      </c>
      <c r="B1340" s="200">
        <v>-109</v>
      </c>
      <c r="C1340" s="200">
        <v>0</v>
      </c>
      <c r="D1340" s="201" t="s">
        <v>282</v>
      </c>
      <c r="E1340" s="201" t="s">
        <v>317</v>
      </c>
      <c r="F1340" s="200" t="s">
        <v>449</v>
      </c>
      <c r="G1340" s="200" t="s">
        <v>688</v>
      </c>
    </row>
    <row r="1341" spans="1:7" hidden="1">
      <c r="A1341" s="199" t="s">
        <v>593</v>
      </c>
      <c r="B1341" s="200">
        <v>-27</v>
      </c>
      <c r="C1341" s="200">
        <v>0</v>
      </c>
      <c r="D1341" s="201" t="s">
        <v>437</v>
      </c>
      <c r="E1341" s="201" t="s">
        <v>594</v>
      </c>
      <c r="F1341" s="200" t="s">
        <v>394</v>
      </c>
      <c r="G1341" s="200" t="s">
        <v>688</v>
      </c>
    </row>
    <row r="1342" spans="1:7" hidden="1">
      <c r="A1342" s="199" t="s">
        <v>593</v>
      </c>
      <c r="B1342" s="200">
        <v>27</v>
      </c>
      <c r="C1342" s="200">
        <v>0</v>
      </c>
      <c r="D1342" s="201" t="s">
        <v>437</v>
      </c>
      <c r="E1342" s="201" t="s">
        <v>594</v>
      </c>
      <c r="F1342" s="200" t="s">
        <v>409</v>
      </c>
      <c r="G1342" s="200" t="s">
        <v>688</v>
      </c>
    </row>
    <row r="1343" spans="1:7" hidden="1">
      <c r="A1343" s="199" t="s">
        <v>595</v>
      </c>
      <c r="B1343" s="200">
        <v>27</v>
      </c>
      <c r="C1343" s="200">
        <v>0</v>
      </c>
      <c r="D1343" s="201" t="s">
        <v>437</v>
      </c>
      <c r="E1343" s="201" t="s">
        <v>594</v>
      </c>
      <c r="F1343" s="200" t="s">
        <v>394</v>
      </c>
      <c r="G1343" s="200" t="s">
        <v>688</v>
      </c>
    </row>
    <row r="1344" spans="1:7" hidden="1">
      <c r="A1344" s="199" t="s">
        <v>595</v>
      </c>
      <c r="B1344" s="200">
        <v>-27</v>
      </c>
      <c r="C1344" s="200">
        <v>0</v>
      </c>
      <c r="D1344" s="201" t="s">
        <v>437</v>
      </c>
      <c r="E1344" s="201" t="s">
        <v>594</v>
      </c>
      <c r="F1344" s="200" t="s">
        <v>409</v>
      </c>
      <c r="G1344" s="200" t="s">
        <v>688</v>
      </c>
    </row>
    <row r="1345" spans="1:7" hidden="1">
      <c r="A1345" s="199" t="s">
        <v>596</v>
      </c>
      <c r="B1345" s="200">
        <v>147</v>
      </c>
      <c r="C1345" s="200">
        <v>0</v>
      </c>
      <c r="D1345" s="201" t="s">
        <v>442</v>
      </c>
      <c r="E1345" s="201" t="s">
        <v>597</v>
      </c>
      <c r="F1345" s="200" t="s">
        <v>394</v>
      </c>
      <c r="G1345" s="200" t="s">
        <v>688</v>
      </c>
    </row>
    <row r="1346" spans="1:7" hidden="1">
      <c r="A1346" s="199" t="s">
        <v>598</v>
      </c>
      <c r="B1346" s="200">
        <v>-940</v>
      </c>
      <c r="C1346" s="200">
        <v>0</v>
      </c>
      <c r="D1346" s="201" t="s">
        <v>440</v>
      </c>
      <c r="E1346" s="201" t="s">
        <v>317</v>
      </c>
      <c r="F1346" s="200" t="s">
        <v>394</v>
      </c>
      <c r="G1346" s="200" t="s">
        <v>688</v>
      </c>
    </row>
    <row r="1347" spans="1:7" hidden="1">
      <c r="A1347" s="199" t="s">
        <v>598</v>
      </c>
      <c r="B1347" s="200">
        <v>-673</v>
      </c>
      <c r="C1347" s="200">
        <v>0</v>
      </c>
      <c r="D1347" s="201" t="s">
        <v>442</v>
      </c>
      <c r="E1347" s="201" t="s">
        <v>317</v>
      </c>
      <c r="F1347" s="200" t="s">
        <v>394</v>
      </c>
      <c r="G1347" s="200" t="s">
        <v>688</v>
      </c>
    </row>
    <row r="1348" spans="1:7" hidden="1">
      <c r="A1348" s="199" t="s">
        <v>717</v>
      </c>
      <c r="B1348" s="200">
        <v>-28400</v>
      </c>
      <c r="C1348" s="200">
        <v>0</v>
      </c>
      <c r="D1348" s="201" t="s">
        <v>442</v>
      </c>
      <c r="E1348" s="201" t="s">
        <v>692</v>
      </c>
      <c r="F1348" s="200" t="s">
        <v>409</v>
      </c>
      <c r="G1348" s="200" t="s">
        <v>688</v>
      </c>
    </row>
    <row r="1349" spans="1:7" hidden="1">
      <c r="A1349" s="199" t="s">
        <v>718</v>
      </c>
      <c r="B1349" s="200">
        <v>-157500</v>
      </c>
      <c r="C1349" s="200">
        <v>0</v>
      </c>
      <c r="D1349" s="201" t="s">
        <v>440</v>
      </c>
      <c r="E1349" s="201" t="s">
        <v>692</v>
      </c>
      <c r="F1349" s="200" t="s">
        <v>409</v>
      </c>
      <c r="G1349" s="200" t="s">
        <v>688</v>
      </c>
    </row>
    <row r="1350" spans="1:7" hidden="1">
      <c r="A1350" s="199" t="s">
        <v>719</v>
      </c>
      <c r="B1350" s="200">
        <v>157500</v>
      </c>
      <c r="C1350" s="200">
        <v>0</v>
      </c>
      <c r="D1350" s="201" t="s">
        <v>440</v>
      </c>
      <c r="E1350" s="201" t="s">
        <v>692</v>
      </c>
      <c r="F1350" s="200" t="s">
        <v>409</v>
      </c>
      <c r="G1350" s="200" t="s">
        <v>688</v>
      </c>
    </row>
    <row r="1351" spans="1:7" hidden="1">
      <c r="A1351" s="199" t="s">
        <v>720</v>
      </c>
      <c r="B1351" s="200">
        <v>-28400</v>
      </c>
      <c r="C1351" s="200">
        <v>0</v>
      </c>
      <c r="D1351" s="201" t="s">
        <v>442</v>
      </c>
      <c r="E1351" s="201" t="s">
        <v>692</v>
      </c>
      <c r="F1351" s="200" t="s">
        <v>409</v>
      </c>
      <c r="G1351" s="200" t="s">
        <v>688</v>
      </c>
    </row>
    <row r="1352" spans="1:7" hidden="1">
      <c r="A1352" s="199" t="s">
        <v>721</v>
      </c>
      <c r="B1352" s="200">
        <v>28400</v>
      </c>
      <c r="C1352" s="200">
        <v>0</v>
      </c>
      <c r="D1352" s="201" t="s">
        <v>442</v>
      </c>
      <c r="E1352" s="201" t="s">
        <v>692</v>
      </c>
      <c r="F1352" s="200" t="s">
        <v>409</v>
      </c>
      <c r="G1352" s="200" t="s">
        <v>688</v>
      </c>
    </row>
    <row r="1353" spans="1:7">
      <c r="A1353" s="199" t="s">
        <v>599</v>
      </c>
      <c r="B1353" s="200">
        <v>30</v>
      </c>
      <c r="C1353" s="200">
        <v>0</v>
      </c>
      <c r="D1353" s="201" t="s">
        <v>282</v>
      </c>
      <c r="E1353" s="201" t="s">
        <v>317</v>
      </c>
      <c r="F1353" s="200" t="s">
        <v>394</v>
      </c>
      <c r="G1353" s="200" t="s">
        <v>688</v>
      </c>
    </row>
    <row r="1354" spans="1:7">
      <c r="A1354" s="199" t="s">
        <v>599</v>
      </c>
      <c r="B1354" s="200">
        <v>-296</v>
      </c>
      <c r="C1354" s="200">
        <v>0</v>
      </c>
      <c r="D1354" s="201" t="s">
        <v>282</v>
      </c>
      <c r="E1354" s="201" t="s">
        <v>317</v>
      </c>
      <c r="F1354" s="200" t="s">
        <v>393</v>
      </c>
      <c r="G1354" s="200" t="s">
        <v>688</v>
      </c>
    </row>
    <row r="1355" spans="1:7">
      <c r="A1355" s="199" t="s">
        <v>599</v>
      </c>
      <c r="B1355" s="200">
        <v>266</v>
      </c>
      <c r="C1355" s="200">
        <v>0</v>
      </c>
      <c r="D1355" s="201" t="s">
        <v>282</v>
      </c>
      <c r="E1355" s="201" t="s">
        <v>317</v>
      </c>
      <c r="F1355" s="200" t="s">
        <v>403</v>
      </c>
      <c r="G1355" s="200" t="s">
        <v>688</v>
      </c>
    </row>
    <row r="1356" spans="1:7">
      <c r="A1356" s="199" t="s">
        <v>600</v>
      </c>
      <c r="B1356" s="200">
        <v>36</v>
      </c>
      <c r="C1356" s="200">
        <v>0</v>
      </c>
      <c r="D1356" s="201" t="s">
        <v>282</v>
      </c>
      <c r="E1356" s="201" t="s">
        <v>319</v>
      </c>
      <c r="F1356" s="200" t="s">
        <v>408</v>
      </c>
      <c r="G1356" s="200" t="s">
        <v>688</v>
      </c>
    </row>
    <row r="1357" spans="1:7">
      <c r="A1357" s="199" t="s">
        <v>600</v>
      </c>
      <c r="B1357" s="200">
        <v>-36</v>
      </c>
      <c r="C1357" s="200">
        <v>0</v>
      </c>
      <c r="D1357" s="201" t="s">
        <v>282</v>
      </c>
      <c r="E1357" s="201" t="s">
        <v>319</v>
      </c>
      <c r="F1357" s="200" t="s">
        <v>393</v>
      </c>
      <c r="G1357" s="200" t="s">
        <v>688</v>
      </c>
    </row>
    <row r="1358" spans="1:7">
      <c r="A1358" s="199" t="s">
        <v>601</v>
      </c>
      <c r="B1358" s="200">
        <v>-37</v>
      </c>
      <c r="C1358" s="200">
        <v>0</v>
      </c>
      <c r="D1358" s="201" t="s">
        <v>282</v>
      </c>
      <c r="E1358" s="201" t="s">
        <v>319</v>
      </c>
      <c r="F1358" s="200" t="s">
        <v>408</v>
      </c>
      <c r="G1358" s="200" t="s">
        <v>688</v>
      </c>
    </row>
    <row r="1359" spans="1:7">
      <c r="A1359" s="199" t="s">
        <v>601</v>
      </c>
      <c r="B1359" s="200">
        <v>37</v>
      </c>
      <c r="C1359" s="200">
        <v>0</v>
      </c>
      <c r="D1359" s="201" t="s">
        <v>282</v>
      </c>
      <c r="E1359" s="201" t="s">
        <v>319</v>
      </c>
      <c r="F1359" s="200" t="s">
        <v>393</v>
      </c>
      <c r="G1359" s="200" t="s">
        <v>688</v>
      </c>
    </row>
    <row r="1360" spans="1:7">
      <c r="A1360" s="199" t="s">
        <v>602</v>
      </c>
      <c r="B1360" s="200">
        <v>-158</v>
      </c>
      <c r="C1360" s="200">
        <v>0</v>
      </c>
      <c r="D1360" s="201" t="s">
        <v>282</v>
      </c>
      <c r="E1360" s="201" t="s">
        <v>317</v>
      </c>
      <c r="F1360" s="200" t="s">
        <v>394</v>
      </c>
      <c r="G1360" s="200" t="s">
        <v>688</v>
      </c>
    </row>
    <row r="1361" spans="1:7">
      <c r="A1361" s="199" t="s">
        <v>602</v>
      </c>
      <c r="B1361" s="200">
        <v>158</v>
      </c>
      <c r="C1361" s="200">
        <v>0</v>
      </c>
      <c r="D1361" s="201" t="s">
        <v>282</v>
      </c>
      <c r="E1361" s="201" t="s">
        <v>317</v>
      </c>
      <c r="F1361" s="200" t="s">
        <v>393</v>
      </c>
      <c r="G1361" s="200" t="s">
        <v>688</v>
      </c>
    </row>
    <row r="1362" spans="1:7" hidden="1">
      <c r="A1362" s="199" t="s">
        <v>135</v>
      </c>
      <c r="B1362" s="200">
        <v>-422</v>
      </c>
      <c r="C1362" s="200">
        <v>0</v>
      </c>
      <c r="D1362" s="201" t="s">
        <v>283</v>
      </c>
      <c r="E1362" s="201" t="s">
        <v>320</v>
      </c>
      <c r="F1362" s="200" t="s">
        <v>394</v>
      </c>
      <c r="G1362" s="200" t="s">
        <v>688</v>
      </c>
    </row>
    <row r="1363" spans="1:7" hidden="1">
      <c r="A1363" s="199" t="s">
        <v>135</v>
      </c>
      <c r="B1363" s="200">
        <v>551</v>
      </c>
      <c r="C1363" s="200">
        <v>0</v>
      </c>
      <c r="D1363" s="201" t="s">
        <v>283</v>
      </c>
      <c r="E1363" s="201" t="s">
        <v>320</v>
      </c>
      <c r="F1363" s="200" t="s">
        <v>393</v>
      </c>
      <c r="G1363" s="200" t="s">
        <v>688</v>
      </c>
    </row>
    <row r="1364" spans="1:7" hidden="1">
      <c r="A1364" s="199" t="s">
        <v>135</v>
      </c>
      <c r="B1364" s="200">
        <v>-129</v>
      </c>
      <c r="C1364" s="200">
        <v>0</v>
      </c>
      <c r="D1364" s="201" t="s">
        <v>283</v>
      </c>
      <c r="E1364" s="201" t="s">
        <v>320</v>
      </c>
      <c r="F1364" s="200" t="s">
        <v>441</v>
      </c>
      <c r="G1364" s="200" t="s">
        <v>688</v>
      </c>
    </row>
    <row r="1365" spans="1:7">
      <c r="A1365" s="199" t="s">
        <v>135</v>
      </c>
      <c r="B1365" s="200">
        <v>-3972</v>
      </c>
      <c r="C1365" s="200">
        <v>0</v>
      </c>
      <c r="D1365" s="201" t="s">
        <v>282</v>
      </c>
      <c r="E1365" s="201" t="s">
        <v>320</v>
      </c>
      <c r="F1365" s="200" t="s">
        <v>394</v>
      </c>
      <c r="G1365" s="200" t="s">
        <v>688</v>
      </c>
    </row>
    <row r="1366" spans="1:7">
      <c r="A1366" s="199" t="s">
        <v>135</v>
      </c>
      <c r="B1366" s="200">
        <v>-211</v>
      </c>
      <c r="C1366" s="200">
        <v>0</v>
      </c>
      <c r="D1366" s="201" t="s">
        <v>282</v>
      </c>
      <c r="E1366" s="201" t="s">
        <v>320</v>
      </c>
      <c r="F1366" s="200" t="s">
        <v>445</v>
      </c>
      <c r="G1366" s="200" t="s">
        <v>688</v>
      </c>
    </row>
    <row r="1367" spans="1:7">
      <c r="A1367" s="199" t="s">
        <v>135</v>
      </c>
      <c r="B1367" s="200">
        <v>3727</v>
      </c>
      <c r="C1367" s="200">
        <v>0</v>
      </c>
      <c r="D1367" s="201" t="s">
        <v>282</v>
      </c>
      <c r="E1367" s="201" t="s">
        <v>320</v>
      </c>
      <c r="F1367" s="200" t="s">
        <v>393</v>
      </c>
      <c r="G1367" s="200" t="s">
        <v>688</v>
      </c>
    </row>
    <row r="1368" spans="1:7">
      <c r="A1368" s="199" t="s">
        <v>135</v>
      </c>
      <c r="B1368" s="200">
        <v>472</v>
      </c>
      <c r="C1368" s="200">
        <v>0</v>
      </c>
      <c r="D1368" s="201" t="s">
        <v>282</v>
      </c>
      <c r="E1368" s="201" t="s">
        <v>320</v>
      </c>
      <c r="F1368" s="200" t="s">
        <v>413</v>
      </c>
      <c r="G1368" s="200" t="s">
        <v>688</v>
      </c>
    </row>
    <row r="1369" spans="1:7">
      <c r="A1369" s="199" t="s">
        <v>135</v>
      </c>
      <c r="B1369" s="200">
        <v>-145</v>
      </c>
      <c r="C1369" s="200">
        <v>0</v>
      </c>
      <c r="D1369" s="201" t="s">
        <v>282</v>
      </c>
      <c r="E1369" s="201" t="s">
        <v>320</v>
      </c>
      <c r="F1369" s="200" t="s">
        <v>403</v>
      </c>
      <c r="G1369" s="200" t="s">
        <v>688</v>
      </c>
    </row>
    <row r="1370" spans="1:7">
      <c r="A1370" s="199" t="s">
        <v>135</v>
      </c>
      <c r="B1370" s="200">
        <v>129</v>
      </c>
      <c r="C1370" s="200">
        <v>0</v>
      </c>
      <c r="D1370" s="201" t="s">
        <v>282</v>
      </c>
      <c r="E1370" s="201" t="s">
        <v>320</v>
      </c>
      <c r="F1370" s="200" t="s">
        <v>441</v>
      </c>
      <c r="G1370" s="200" t="s">
        <v>688</v>
      </c>
    </row>
    <row r="1371" spans="1:7" hidden="1">
      <c r="A1371" s="199" t="s">
        <v>603</v>
      </c>
      <c r="B1371" s="200">
        <v>75</v>
      </c>
      <c r="C1371" s="200">
        <v>0</v>
      </c>
      <c r="D1371" s="201" t="s">
        <v>283</v>
      </c>
      <c r="E1371" s="201" t="s">
        <v>324</v>
      </c>
      <c r="F1371" s="200" t="s">
        <v>394</v>
      </c>
      <c r="G1371" s="200" t="s">
        <v>688</v>
      </c>
    </row>
    <row r="1372" spans="1:7">
      <c r="A1372" s="199" t="s">
        <v>603</v>
      </c>
      <c r="B1372" s="200">
        <v>-75</v>
      </c>
      <c r="C1372" s="200">
        <v>0</v>
      </c>
      <c r="D1372" s="201" t="s">
        <v>282</v>
      </c>
      <c r="E1372" s="201" t="s">
        <v>324</v>
      </c>
      <c r="F1372" s="200" t="s">
        <v>394</v>
      </c>
      <c r="G1372" s="200" t="s">
        <v>688</v>
      </c>
    </row>
    <row r="1373" spans="1:7">
      <c r="A1373" s="199" t="s">
        <v>603</v>
      </c>
      <c r="B1373" s="200">
        <v>147</v>
      </c>
      <c r="C1373" s="200">
        <v>0</v>
      </c>
      <c r="D1373" s="201" t="s">
        <v>282</v>
      </c>
      <c r="E1373" s="201" t="s">
        <v>324</v>
      </c>
      <c r="F1373" s="200" t="s">
        <v>408</v>
      </c>
      <c r="G1373" s="200" t="s">
        <v>688</v>
      </c>
    </row>
    <row r="1374" spans="1:7" hidden="1">
      <c r="A1374" s="199" t="s">
        <v>604</v>
      </c>
      <c r="B1374" s="200">
        <v>-73</v>
      </c>
      <c r="C1374" s="200">
        <v>0</v>
      </c>
      <c r="D1374" s="201" t="s">
        <v>283</v>
      </c>
      <c r="E1374" s="201" t="s">
        <v>324</v>
      </c>
      <c r="F1374" s="200" t="s">
        <v>394</v>
      </c>
      <c r="G1374" s="200" t="s">
        <v>688</v>
      </c>
    </row>
    <row r="1375" spans="1:7">
      <c r="A1375" s="199" t="s">
        <v>604</v>
      </c>
      <c r="B1375" s="200">
        <v>-73</v>
      </c>
      <c r="C1375" s="200">
        <v>0</v>
      </c>
      <c r="D1375" s="201" t="s">
        <v>282</v>
      </c>
      <c r="E1375" s="201" t="s">
        <v>324</v>
      </c>
      <c r="F1375" s="200" t="s">
        <v>394</v>
      </c>
      <c r="G1375" s="200" t="s">
        <v>688</v>
      </c>
    </row>
    <row r="1376" spans="1:7">
      <c r="A1376" s="199" t="s">
        <v>605</v>
      </c>
      <c r="B1376" s="200">
        <v>-18</v>
      </c>
      <c r="C1376" s="200">
        <v>0</v>
      </c>
      <c r="D1376" s="201" t="s">
        <v>282</v>
      </c>
      <c r="E1376" s="201" t="s">
        <v>324</v>
      </c>
      <c r="F1376" s="200" t="s">
        <v>408</v>
      </c>
      <c r="G1376" s="200" t="s">
        <v>688</v>
      </c>
    </row>
    <row r="1377" spans="1:7">
      <c r="A1377" s="199" t="s">
        <v>605</v>
      </c>
      <c r="B1377" s="200">
        <v>18</v>
      </c>
      <c r="C1377" s="200">
        <v>0</v>
      </c>
      <c r="D1377" s="201" t="s">
        <v>282</v>
      </c>
      <c r="E1377" s="201" t="s">
        <v>324</v>
      </c>
      <c r="F1377" s="200" t="s">
        <v>393</v>
      </c>
      <c r="G1377" s="200" t="s">
        <v>688</v>
      </c>
    </row>
    <row r="1378" spans="1:7">
      <c r="A1378" s="199" t="s">
        <v>606</v>
      </c>
      <c r="B1378" s="200">
        <v>18</v>
      </c>
      <c r="C1378" s="200">
        <v>0</v>
      </c>
      <c r="D1378" s="201" t="s">
        <v>282</v>
      </c>
      <c r="E1378" s="201" t="s">
        <v>324</v>
      </c>
      <c r="F1378" s="200" t="s">
        <v>408</v>
      </c>
      <c r="G1378" s="200" t="s">
        <v>688</v>
      </c>
    </row>
    <row r="1379" spans="1:7">
      <c r="A1379" s="199" t="s">
        <v>606</v>
      </c>
      <c r="B1379" s="200">
        <v>-18</v>
      </c>
      <c r="C1379" s="200">
        <v>0</v>
      </c>
      <c r="D1379" s="201" t="s">
        <v>282</v>
      </c>
      <c r="E1379" s="201" t="s">
        <v>324</v>
      </c>
      <c r="F1379" s="200" t="s">
        <v>393</v>
      </c>
      <c r="G1379" s="200" t="s">
        <v>688</v>
      </c>
    </row>
    <row r="1380" spans="1:7">
      <c r="A1380" s="199" t="s">
        <v>143</v>
      </c>
      <c r="B1380" s="200">
        <v>511</v>
      </c>
      <c r="C1380" s="200">
        <v>0</v>
      </c>
      <c r="D1380" s="201" t="s">
        <v>282</v>
      </c>
      <c r="E1380" s="201" t="s">
        <v>320</v>
      </c>
      <c r="F1380" s="200" t="s">
        <v>394</v>
      </c>
      <c r="G1380" s="200" t="s">
        <v>688</v>
      </c>
    </row>
    <row r="1381" spans="1:7">
      <c r="A1381" s="199" t="s">
        <v>143</v>
      </c>
      <c r="B1381" s="200">
        <v>-511</v>
      </c>
      <c r="C1381" s="200">
        <v>0</v>
      </c>
      <c r="D1381" s="201" t="s">
        <v>282</v>
      </c>
      <c r="E1381" s="201" t="s">
        <v>320</v>
      </c>
      <c r="F1381" s="200" t="s">
        <v>413</v>
      </c>
      <c r="G1381" s="200" t="s">
        <v>688</v>
      </c>
    </row>
    <row r="1382" spans="1:7" hidden="1">
      <c r="A1382" s="199" t="s">
        <v>608</v>
      </c>
      <c r="B1382" s="200">
        <v>-17823</v>
      </c>
      <c r="C1382" s="200">
        <v>0</v>
      </c>
      <c r="D1382" s="201" t="s">
        <v>440</v>
      </c>
      <c r="E1382" s="201" t="s">
        <v>609</v>
      </c>
      <c r="F1382" s="200" t="s">
        <v>394</v>
      </c>
      <c r="G1382" s="200" t="s">
        <v>688</v>
      </c>
    </row>
    <row r="1383" spans="1:7" hidden="1">
      <c r="A1383" s="199" t="s">
        <v>610</v>
      </c>
      <c r="B1383" s="200">
        <v>-3570</v>
      </c>
      <c r="C1383" s="200">
        <v>0</v>
      </c>
      <c r="D1383" s="201" t="s">
        <v>440</v>
      </c>
      <c r="E1383" s="201" t="s">
        <v>39</v>
      </c>
      <c r="F1383" s="200" t="s">
        <v>394</v>
      </c>
      <c r="G1383" s="200" t="s">
        <v>688</v>
      </c>
    </row>
    <row r="1384" spans="1:7" hidden="1">
      <c r="A1384" s="199" t="s">
        <v>610</v>
      </c>
      <c r="B1384" s="200">
        <v>-1570</v>
      </c>
      <c r="C1384" s="200">
        <v>0</v>
      </c>
      <c r="D1384" s="201" t="s">
        <v>440</v>
      </c>
      <c r="E1384" s="201" t="s">
        <v>39</v>
      </c>
      <c r="F1384" s="200" t="s">
        <v>407</v>
      </c>
      <c r="G1384" s="200" t="s">
        <v>688</v>
      </c>
    </row>
    <row r="1385" spans="1:7" hidden="1">
      <c r="A1385" s="199" t="s">
        <v>610</v>
      </c>
      <c r="B1385" s="200">
        <v>5140</v>
      </c>
      <c r="C1385" s="200">
        <v>0</v>
      </c>
      <c r="D1385" s="201" t="s">
        <v>440</v>
      </c>
      <c r="E1385" s="201" t="s">
        <v>39</v>
      </c>
      <c r="F1385" s="200" t="s">
        <v>441</v>
      </c>
      <c r="G1385" s="200" t="s">
        <v>688</v>
      </c>
    </row>
    <row r="1386" spans="1:7" hidden="1">
      <c r="A1386" s="199" t="s">
        <v>610</v>
      </c>
      <c r="B1386" s="200">
        <v>5140</v>
      </c>
      <c r="C1386" s="200">
        <v>0</v>
      </c>
      <c r="D1386" s="201" t="s">
        <v>437</v>
      </c>
      <c r="E1386" s="201" t="s">
        <v>39</v>
      </c>
      <c r="F1386" s="200" t="s">
        <v>394</v>
      </c>
      <c r="G1386" s="200" t="s">
        <v>688</v>
      </c>
    </row>
    <row r="1387" spans="1:7" hidden="1">
      <c r="A1387" s="199" t="s">
        <v>610</v>
      </c>
      <c r="B1387" s="200">
        <v>-5140</v>
      </c>
      <c r="C1387" s="200">
        <v>0</v>
      </c>
      <c r="D1387" s="201" t="s">
        <v>437</v>
      </c>
      <c r="E1387" s="201" t="s">
        <v>39</v>
      </c>
      <c r="F1387" s="200" t="s">
        <v>441</v>
      </c>
      <c r="G1387" s="200" t="s">
        <v>688</v>
      </c>
    </row>
    <row r="1388" spans="1:7" hidden="1">
      <c r="A1388" s="199" t="s">
        <v>3</v>
      </c>
      <c r="B1388" s="200">
        <v>-1105</v>
      </c>
      <c r="C1388" s="200">
        <v>0</v>
      </c>
      <c r="D1388" s="201" t="s">
        <v>440</v>
      </c>
      <c r="E1388" s="201" t="s">
        <v>320</v>
      </c>
      <c r="F1388" s="200" t="s">
        <v>394</v>
      </c>
      <c r="G1388" s="200" t="s">
        <v>688</v>
      </c>
    </row>
    <row r="1389" spans="1:7" hidden="1">
      <c r="A1389" s="199" t="s">
        <v>3</v>
      </c>
      <c r="B1389" s="200">
        <v>1105</v>
      </c>
      <c r="C1389" s="200">
        <v>0</v>
      </c>
      <c r="D1389" s="201" t="s">
        <v>440</v>
      </c>
      <c r="E1389" s="201" t="s">
        <v>320</v>
      </c>
      <c r="F1389" s="200" t="s">
        <v>441</v>
      </c>
      <c r="G1389" s="200" t="s">
        <v>688</v>
      </c>
    </row>
    <row r="1390" spans="1:7" hidden="1">
      <c r="A1390" s="199" t="s">
        <v>3</v>
      </c>
      <c r="B1390" s="200">
        <v>-295</v>
      </c>
      <c r="C1390" s="200">
        <v>0</v>
      </c>
      <c r="D1390" s="201" t="s">
        <v>437</v>
      </c>
      <c r="E1390" s="201" t="s">
        <v>320</v>
      </c>
      <c r="F1390" s="200" t="s">
        <v>394</v>
      </c>
      <c r="G1390" s="200" t="s">
        <v>688</v>
      </c>
    </row>
    <row r="1391" spans="1:7" hidden="1">
      <c r="A1391" s="199" t="s">
        <v>3</v>
      </c>
      <c r="B1391" s="200">
        <v>295</v>
      </c>
      <c r="C1391" s="200">
        <v>0</v>
      </c>
      <c r="D1391" s="201" t="s">
        <v>437</v>
      </c>
      <c r="E1391" s="201" t="s">
        <v>320</v>
      </c>
      <c r="F1391" s="200" t="s">
        <v>441</v>
      </c>
      <c r="G1391" s="200" t="s">
        <v>688</v>
      </c>
    </row>
    <row r="1392" spans="1:7">
      <c r="A1392" s="199" t="s">
        <v>3</v>
      </c>
      <c r="B1392" s="200">
        <v>-3943</v>
      </c>
      <c r="C1392" s="200">
        <v>0</v>
      </c>
      <c r="D1392" s="201" t="s">
        <v>282</v>
      </c>
      <c r="E1392" s="201" t="s">
        <v>320</v>
      </c>
      <c r="F1392" s="200" t="s">
        <v>394</v>
      </c>
      <c r="G1392" s="200" t="s">
        <v>688</v>
      </c>
    </row>
    <row r="1393" spans="1:7">
      <c r="A1393" s="199" t="s">
        <v>3</v>
      </c>
      <c r="B1393" s="200">
        <v>484</v>
      </c>
      <c r="C1393" s="200">
        <v>0</v>
      </c>
      <c r="D1393" s="201" t="s">
        <v>282</v>
      </c>
      <c r="E1393" s="201" t="s">
        <v>320</v>
      </c>
      <c r="F1393" s="200" t="s">
        <v>445</v>
      </c>
      <c r="G1393" s="200" t="s">
        <v>688</v>
      </c>
    </row>
    <row r="1394" spans="1:7">
      <c r="A1394" s="199" t="s">
        <v>3</v>
      </c>
      <c r="B1394" s="200">
        <v>5646</v>
      </c>
      <c r="C1394" s="200">
        <v>0</v>
      </c>
      <c r="D1394" s="201" t="s">
        <v>282</v>
      </c>
      <c r="E1394" s="201" t="s">
        <v>320</v>
      </c>
      <c r="F1394" s="200" t="s">
        <v>393</v>
      </c>
      <c r="G1394" s="200" t="s">
        <v>688</v>
      </c>
    </row>
    <row r="1395" spans="1:7">
      <c r="A1395" s="199" t="s">
        <v>3</v>
      </c>
      <c r="B1395" s="200">
        <v>-350</v>
      </c>
      <c r="C1395" s="200">
        <v>0</v>
      </c>
      <c r="D1395" s="201" t="s">
        <v>282</v>
      </c>
      <c r="E1395" s="201" t="s">
        <v>320</v>
      </c>
      <c r="F1395" s="200" t="s">
        <v>407</v>
      </c>
      <c r="G1395" s="200" t="s">
        <v>688</v>
      </c>
    </row>
    <row r="1396" spans="1:7">
      <c r="A1396" s="199" t="s">
        <v>3</v>
      </c>
      <c r="B1396" s="200">
        <v>-437</v>
      </c>
      <c r="C1396" s="200">
        <v>0</v>
      </c>
      <c r="D1396" s="201" t="s">
        <v>282</v>
      </c>
      <c r="E1396" s="201" t="s">
        <v>320</v>
      </c>
      <c r="F1396" s="200" t="s">
        <v>403</v>
      </c>
      <c r="G1396" s="200" t="s">
        <v>688</v>
      </c>
    </row>
    <row r="1397" spans="1:7">
      <c r="A1397" s="199" t="s">
        <v>3</v>
      </c>
      <c r="B1397" s="200">
        <v>-1400</v>
      </c>
      <c r="C1397" s="200">
        <v>0</v>
      </c>
      <c r="D1397" s="201" t="s">
        <v>282</v>
      </c>
      <c r="E1397" s="201" t="s">
        <v>320</v>
      </c>
      <c r="F1397" s="200" t="s">
        <v>441</v>
      </c>
      <c r="G1397" s="200" t="s">
        <v>688</v>
      </c>
    </row>
    <row r="1398" spans="1:7" hidden="1">
      <c r="A1398" s="199" t="s">
        <v>613</v>
      </c>
      <c r="B1398" s="200">
        <v>2</v>
      </c>
      <c r="C1398" s="200">
        <v>0</v>
      </c>
      <c r="D1398" s="201" t="s">
        <v>437</v>
      </c>
      <c r="E1398" s="201" t="s">
        <v>614</v>
      </c>
      <c r="F1398" s="200" t="s">
        <v>394</v>
      </c>
      <c r="G1398" s="200" t="s">
        <v>688</v>
      </c>
    </row>
    <row r="1399" spans="1:7" hidden="1">
      <c r="A1399" s="199" t="s">
        <v>613</v>
      </c>
      <c r="B1399" s="200">
        <v>1</v>
      </c>
      <c r="C1399" s="200">
        <v>0</v>
      </c>
      <c r="D1399" s="201" t="s">
        <v>437</v>
      </c>
      <c r="E1399" s="201" t="s">
        <v>614</v>
      </c>
      <c r="F1399" s="200" t="s">
        <v>409</v>
      </c>
      <c r="G1399" s="200" t="s">
        <v>688</v>
      </c>
    </row>
    <row r="1400" spans="1:7" hidden="1">
      <c r="A1400" s="199" t="s">
        <v>613</v>
      </c>
      <c r="B1400" s="200">
        <v>-3</v>
      </c>
      <c r="C1400" s="200">
        <v>0</v>
      </c>
      <c r="D1400" s="201" t="s">
        <v>437</v>
      </c>
      <c r="E1400" s="201" t="s">
        <v>614</v>
      </c>
      <c r="F1400" s="200" t="s">
        <v>396</v>
      </c>
      <c r="G1400" s="200" t="s">
        <v>688</v>
      </c>
    </row>
    <row r="1401" spans="1:7" hidden="1">
      <c r="A1401" s="199" t="s">
        <v>615</v>
      </c>
      <c r="B1401" s="200">
        <v>26</v>
      </c>
      <c r="C1401" s="200">
        <v>0</v>
      </c>
      <c r="D1401" s="201" t="s">
        <v>463</v>
      </c>
      <c r="E1401" s="201" t="s">
        <v>616</v>
      </c>
      <c r="F1401" s="200" t="s">
        <v>617</v>
      </c>
      <c r="G1401" s="200" t="s">
        <v>688</v>
      </c>
    </row>
    <row r="1402" spans="1:7" hidden="1">
      <c r="A1402" s="199" t="s">
        <v>620</v>
      </c>
      <c r="B1402" s="200">
        <v>-33</v>
      </c>
      <c r="C1402" s="200">
        <v>0</v>
      </c>
      <c r="D1402" s="201" t="s">
        <v>440</v>
      </c>
      <c r="E1402" s="201" t="s">
        <v>616</v>
      </c>
      <c r="F1402" s="200" t="s">
        <v>394</v>
      </c>
      <c r="G1402" s="200" t="s">
        <v>688</v>
      </c>
    </row>
    <row r="1403" spans="1:7" hidden="1">
      <c r="A1403" s="199" t="s">
        <v>620</v>
      </c>
      <c r="B1403" s="200">
        <v>33</v>
      </c>
      <c r="C1403" s="200">
        <v>0</v>
      </c>
      <c r="D1403" s="201" t="s">
        <v>440</v>
      </c>
      <c r="E1403" s="201" t="s">
        <v>616</v>
      </c>
      <c r="F1403" s="200" t="s">
        <v>617</v>
      </c>
      <c r="G1403" s="200" t="s">
        <v>688</v>
      </c>
    </row>
    <row r="1404" spans="1:7" hidden="1">
      <c r="A1404" s="199" t="s">
        <v>621</v>
      </c>
      <c r="B1404" s="200">
        <v>284607.35890242999</v>
      </c>
      <c r="C1404" s="200">
        <v>0</v>
      </c>
      <c r="D1404" s="201" t="s">
        <v>440</v>
      </c>
      <c r="E1404" s="201" t="s">
        <v>622</v>
      </c>
      <c r="F1404" s="200" t="s">
        <v>394</v>
      </c>
      <c r="G1404" s="200" t="s">
        <v>688</v>
      </c>
    </row>
    <row r="1405" spans="1:7" hidden="1">
      <c r="A1405" s="199" t="s">
        <v>621</v>
      </c>
      <c r="B1405" s="200">
        <v>23800</v>
      </c>
      <c r="C1405" s="200">
        <v>0</v>
      </c>
      <c r="D1405" s="201" t="s">
        <v>442</v>
      </c>
      <c r="E1405" s="201" t="s">
        <v>622</v>
      </c>
      <c r="F1405" s="200" t="s">
        <v>394</v>
      </c>
      <c r="G1405" s="200" t="s">
        <v>688</v>
      </c>
    </row>
    <row r="1406" spans="1:7" hidden="1">
      <c r="A1406" s="199" t="s">
        <v>392</v>
      </c>
      <c r="B1406" s="200">
        <v>194</v>
      </c>
      <c r="C1406" s="200">
        <v>0</v>
      </c>
      <c r="D1406" s="201" t="s">
        <v>283</v>
      </c>
      <c r="E1406" s="201" t="s">
        <v>517</v>
      </c>
      <c r="F1406" s="200" t="s">
        <v>394</v>
      </c>
      <c r="G1406" s="200" t="s">
        <v>688</v>
      </c>
    </row>
    <row r="1407" spans="1:7">
      <c r="A1407" s="199" t="s">
        <v>392</v>
      </c>
      <c r="B1407" s="200">
        <v>139</v>
      </c>
      <c r="C1407" s="200">
        <v>0</v>
      </c>
      <c r="D1407" s="201" t="s">
        <v>282</v>
      </c>
      <c r="E1407" s="201" t="s">
        <v>517</v>
      </c>
      <c r="F1407" s="200" t="s">
        <v>394</v>
      </c>
      <c r="G1407" s="200" t="s">
        <v>688</v>
      </c>
    </row>
    <row r="1408" spans="1:7">
      <c r="A1408" s="199" t="s">
        <v>392</v>
      </c>
      <c r="B1408" s="200">
        <v>54</v>
      </c>
      <c r="C1408" s="200">
        <v>0</v>
      </c>
      <c r="D1408" s="201" t="s">
        <v>282</v>
      </c>
      <c r="E1408" s="201" t="s">
        <v>517</v>
      </c>
      <c r="F1408" s="200" t="s">
        <v>393</v>
      </c>
      <c r="G1408" s="200" t="s">
        <v>688</v>
      </c>
    </row>
    <row r="1409" spans="1:7">
      <c r="A1409" s="199" t="s">
        <v>624</v>
      </c>
      <c r="B1409" s="200">
        <v>-340</v>
      </c>
      <c r="C1409" s="200">
        <v>0</v>
      </c>
      <c r="D1409" s="201" t="s">
        <v>282</v>
      </c>
      <c r="E1409" s="201" t="s">
        <v>317</v>
      </c>
      <c r="F1409" s="200" t="s">
        <v>394</v>
      </c>
      <c r="G1409" s="200" t="s">
        <v>688</v>
      </c>
    </row>
    <row r="1410" spans="1:7">
      <c r="A1410" s="199" t="s">
        <v>624</v>
      </c>
      <c r="B1410" s="200">
        <v>310</v>
      </c>
      <c r="C1410" s="200">
        <v>0</v>
      </c>
      <c r="D1410" s="201" t="s">
        <v>282</v>
      </c>
      <c r="E1410" s="201" t="s">
        <v>317</v>
      </c>
      <c r="F1410" s="200" t="s">
        <v>445</v>
      </c>
      <c r="G1410" s="200" t="s">
        <v>688</v>
      </c>
    </row>
    <row r="1411" spans="1:7">
      <c r="A1411" s="199" t="s">
        <v>624</v>
      </c>
      <c r="B1411" s="200">
        <v>30</v>
      </c>
      <c r="C1411" s="200">
        <v>0</v>
      </c>
      <c r="D1411" s="201" t="s">
        <v>282</v>
      </c>
      <c r="E1411" s="201" t="s">
        <v>317</v>
      </c>
      <c r="F1411" s="200" t="s">
        <v>393</v>
      </c>
      <c r="G1411" s="200" t="s">
        <v>688</v>
      </c>
    </row>
    <row r="1412" spans="1:7" hidden="1">
      <c r="A1412" s="199" t="s">
        <v>722</v>
      </c>
      <c r="B1412" s="200">
        <v>-224000</v>
      </c>
      <c r="C1412" s="200">
        <v>0</v>
      </c>
      <c r="D1412" s="201" t="s">
        <v>440</v>
      </c>
      <c r="E1412" s="201" t="s">
        <v>692</v>
      </c>
      <c r="F1412" s="200" t="s">
        <v>409</v>
      </c>
      <c r="G1412" s="200" t="s">
        <v>688</v>
      </c>
    </row>
    <row r="1413" spans="1:7" hidden="1">
      <c r="A1413" s="199" t="s">
        <v>723</v>
      </c>
      <c r="B1413" s="200">
        <v>-224000</v>
      </c>
      <c r="C1413" s="200">
        <v>0</v>
      </c>
      <c r="D1413" s="201" t="s">
        <v>440</v>
      </c>
      <c r="E1413" s="201" t="s">
        <v>692</v>
      </c>
      <c r="F1413" s="200" t="s">
        <v>409</v>
      </c>
      <c r="G1413" s="200" t="s">
        <v>688</v>
      </c>
    </row>
    <row r="1414" spans="1:7" hidden="1">
      <c r="A1414" s="199" t="s">
        <v>724</v>
      </c>
      <c r="B1414" s="200">
        <v>224000</v>
      </c>
      <c r="C1414" s="200">
        <v>0</v>
      </c>
      <c r="D1414" s="201" t="s">
        <v>440</v>
      </c>
      <c r="E1414" s="201" t="s">
        <v>692</v>
      </c>
      <c r="F1414" s="200" t="s">
        <v>409</v>
      </c>
      <c r="G1414" s="200" t="s">
        <v>688</v>
      </c>
    </row>
    <row r="1415" spans="1:7" hidden="1">
      <c r="A1415" s="199" t="s">
        <v>725</v>
      </c>
      <c r="B1415" s="200">
        <v>-157000</v>
      </c>
      <c r="C1415" s="200">
        <v>0</v>
      </c>
      <c r="D1415" s="201" t="s">
        <v>440</v>
      </c>
      <c r="E1415" s="201" t="s">
        <v>692</v>
      </c>
      <c r="F1415" s="200" t="s">
        <v>409</v>
      </c>
      <c r="G1415" s="200" t="s">
        <v>688</v>
      </c>
    </row>
    <row r="1416" spans="1:7" hidden="1">
      <c r="A1416" s="199" t="s">
        <v>725</v>
      </c>
      <c r="B1416" s="200">
        <v>-56000</v>
      </c>
      <c r="C1416" s="200">
        <v>0</v>
      </c>
      <c r="D1416" s="201" t="s">
        <v>442</v>
      </c>
      <c r="E1416" s="201" t="s">
        <v>692</v>
      </c>
      <c r="F1416" s="200" t="s">
        <v>409</v>
      </c>
      <c r="G1416" s="200" t="s">
        <v>688</v>
      </c>
    </row>
    <row r="1417" spans="1:7" hidden="1">
      <c r="A1417" s="199" t="s">
        <v>726</v>
      </c>
      <c r="B1417" s="200">
        <v>-157000</v>
      </c>
      <c r="C1417" s="200">
        <v>0</v>
      </c>
      <c r="D1417" s="201" t="s">
        <v>440</v>
      </c>
      <c r="E1417" s="201" t="s">
        <v>692</v>
      </c>
      <c r="F1417" s="200" t="s">
        <v>409</v>
      </c>
      <c r="G1417" s="200" t="s">
        <v>688</v>
      </c>
    </row>
    <row r="1418" spans="1:7" hidden="1">
      <c r="A1418" s="199" t="s">
        <v>726</v>
      </c>
      <c r="B1418" s="200">
        <v>-56000</v>
      </c>
      <c r="C1418" s="200">
        <v>0</v>
      </c>
      <c r="D1418" s="201" t="s">
        <v>442</v>
      </c>
      <c r="E1418" s="201" t="s">
        <v>692</v>
      </c>
      <c r="F1418" s="200" t="s">
        <v>409</v>
      </c>
      <c r="G1418" s="200" t="s">
        <v>688</v>
      </c>
    </row>
    <row r="1419" spans="1:7" hidden="1">
      <c r="A1419" s="199" t="s">
        <v>727</v>
      </c>
      <c r="B1419" s="200">
        <v>157000</v>
      </c>
      <c r="C1419" s="200">
        <v>0</v>
      </c>
      <c r="D1419" s="201" t="s">
        <v>440</v>
      </c>
      <c r="E1419" s="201" t="s">
        <v>692</v>
      </c>
      <c r="F1419" s="200" t="s">
        <v>409</v>
      </c>
      <c r="G1419" s="200" t="s">
        <v>688</v>
      </c>
    </row>
    <row r="1420" spans="1:7" hidden="1">
      <c r="A1420" s="199" t="s">
        <v>727</v>
      </c>
      <c r="B1420" s="200">
        <v>56000</v>
      </c>
      <c r="C1420" s="200">
        <v>0</v>
      </c>
      <c r="D1420" s="201" t="s">
        <v>442</v>
      </c>
      <c r="E1420" s="201" t="s">
        <v>692</v>
      </c>
      <c r="F1420" s="200" t="s">
        <v>409</v>
      </c>
      <c r="G1420" s="200" t="s">
        <v>688</v>
      </c>
    </row>
    <row r="1421" spans="1:7" hidden="1">
      <c r="A1421" s="199" t="s">
        <v>136</v>
      </c>
      <c r="B1421" s="200">
        <v>920</v>
      </c>
      <c r="C1421" s="200">
        <v>0</v>
      </c>
      <c r="D1421" s="201" t="s">
        <v>283</v>
      </c>
      <c r="E1421" s="201" t="s">
        <v>320</v>
      </c>
      <c r="F1421" s="200" t="s">
        <v>394</v>
      </c>
      <c r="G1421" s="200" t="s">
        <v>688</v>
      </c>
    </row>
    <row r="1422" spans="1:7" hidden="1">
      <c r="A1422" s="199" t="s">
        <v>136</v>
      </c>
      <c r="B1422" s="200">
        <v>-920</v>
      </c>
      <c r="C1422" s="200">
        <v>0</v>
      </c>
      <c r="D1422" s="201" t="s">
        <v>283</v>
      </c>
      <c r="E1422" s="201" t="s">
        <v>320</v>
      </c>
      <c r="F1422" s="200" t="s">
        <v>441</v>
      </c>
      <c r="G1422" s="200" t="s">
        <v>688</v>
      </c>
    </row>
    <row r="1423" spans="1:7">
      <c r="A1423" s="199" t="s">
        <v>136</v>
      </c>
      <c r="B1423" s="200">
        <v>-2832</v>
      </c>
      <c r="C1423" s="200">
        <v>0</v>
      </c>
      <c r="D1423" s="201" t="s">
        <v>282</v>
      </c>
      <c r="E1423" s="201" t="s">
        <v>320</v>
      </c>
      <c r="F1423" s="200" t="s">
        <v>394</v>
      </c>
      <c r="G1423" s="200" t="s">
        <v>688</v>
      </c>
    </row>
    <row r="1424" spans="1:7">
      <c r="A1424" s="199" t="s">
        <v>136</v>
      </c>
      <c r="B1424" s="200">
        <v>1403</v>
      </c>
      <c r="C1424" s="200">
        <v>0</v>
      </c>
      <c r="D1424" s="201" t="s">
        <v>282</v>
      </c>
      <c r="E1424" s="201" t="s">
        <v>320</v>
      </c>
      <c r="F1424" s="200" t="s">
        <v>393</v>
      </c>
      <c r="G1424" s="200" t="s">
        <v>688</v>
      </c>
    </row>
    <row r="1425" spans="1:7">
      <c r="A1425" s="199" t="s">
        <v>136</v>
      </c>
      <c r="B1425" s="200">
        <v>509</v>
      </c>
      <c r="C1425" s="200">
        <v>0</v>
      </c>
      <c r="D1425" s="201" t="s">
        <v>282</v>
      </c>
      <c r="E1425" s="201" t="s">
        <v>320</v>
      </c>
      <c r="F1425" s="200" t="s">
        <v>403</v>
      </c>
      <c r="G1425" s="200" t="s">
        <v>688</v>
      </c>
    </row>
    <row r="1426" spans="1:7">
      <c r="A1426" s="199" t="s">
        <v>136</v>
      </c>
      <c r="B1426" s="200">
        <v>920</v>
      </c>
      <c r="C1426" s="200">
        <v>0</v>
      </c>
      <c r="D1426" s="201" t="s">
        <v>282</v>
      </c>
      <c r="E1426" s="201" t="s">
        <v>320</v>
      </c>
      <c r="F1426" s="200" t="s">
        <v>441</v>
      </c>
      <c r="G1426" s="200" t="s">
        <v>688</v>
      </c>
    </row>
    <row r="1427" spans="1:7" hidden="1">
      <c r="A1427" s="199" t="s">
        <v>625</v>
      </c>
      <c r="B1427" s="200">
        <v>55</v>
      </c>
      <c r="C1427" s="200">
        <v>0</v>
      </c>
      <c r="D1427" s="201" t="s">
        <v>283</v>
      </c>
      <c r="E1427" s="201" t="s">
        <v>324</v>
      </c>
      <c r="F1427" s="200" t="s">
        <v>394</v>
      </c>
      <c r="G1427" s="200" t="s">
        <v>688</v>
      </c>
    </row>
    <row r="1428" spans="1:7">
      <c r="A1428" s="199" t="s">
        <v>625</v>
      </c>
      <c r="B1428" s="200">
        <v>-55</v>
      </c>
      <c r="C1428" s="200">
        <v>0</v>
      </c>
      <c r="D1428" s="201" t="s">
        <v>282</v>
      </c>
      <c r="E1428" s="201" t="s">
        <v>324</v>
      </c>
      <c r="F1428" s="200" t="s">
        <v>394</v>
      </c>
      <c r="G1428" s="200" t="s">
        <v>688</v>
      </c>
    </row>
    <row r="1429" spans="1:7">
      <c r="A1429" s="199" t="s">
        <v>625</v>
      </c>
      <c r="B1429" s="200">
        <v>110</v>
      </c>
      <c r="C1429" s="200">
        <v>0</v>
      </c>
      <c r="D1429" s="201" t="s">
        <v>282</v>
      </c>
      <c r="E1429" s="201" t="s">
        <v>324</v>
      </c>
      <c r="F1429" s="200" t="s">
        <v>408</v>
      </c>
      <c r="G1429" s="200" t="s">
        <v>688</v>
      </c>
    </row>
    <row r="1430" spans="1:7" hidden="1">
      <c r="A1430" s="199" t="s">
        <v>626</v>
      </c>
      <c r="B1430" s="200">
        <v>-31</v>
      </c>
      <c r="C1430" s="200">
        <v>0</v>
      </c>
      <c r="D1430" s="201" t="s">
        <v>283</v>
      </c>
      <c r="E1430" s="201" t="s">
        <v>324</v>
      </c>
      <c r="F1430" s="200" t="s">
        <v>394</v>
      </c>
      <c r="G1430" s="200" t="s">
        <v>688</v>
      </c>
    </row>
    <row r="1431" spans="1:7">
      <c r="A1431" s="199" t="s">
        <v>626</v>
      </c>
      <c r="B1431" s="200">
        <v>31</v>
      </c>
      <c r="C1431" s="200">
        <v>0</v>
      </c>
      <c r="D1431" s="201" t="s">
        <v>282</v>
      </c>
      <c r="E1431" s="201" t="s">
        <v>324</v>
      </c>
      <c r="F1431" s="200" t="s">
        <v>394</v>
      </c>
      <c r="G1431" s="200" t="s">
        <v>688</v>
      </c>
    </row>
    <row r="1432" spans="1:7">
      <c r="A1432" s="199" t="s">
        <v>626</v>
      </c>
      <c r="B1432" s="200">
        <v>-62</v>
      </c>
      <c r="C1432" s="200">
        <v>0</v>
      </c>
      <c r="D1432" s="201" t="s">
        <v>282</v>
      </c>
      <c r="E1432" s="201" t="s">
        <v>324</v>
      </c>
      <c r="F1432" s="200" t="s">
        <v>408</v>
      </c>
      <c r="G1432" s="200" t="s">
        <v>688</v>
      </c>
    </row>
    <row r="1433" spans="1:7">
      <c r="A1433" s="199" t="s">
        <v>627</v>
      </c>
      <c r="B1433" s="200">
        <v>-545</v>
      </c>
      <c r="C1433" s="200">
        <v>0</v>
      </c>
      <c r="D1433" s="201" t="s">
        <v>282</v>
      </c>
      <c r="E1433" s="201" t="s">
        <v>317</v>
      </c>
      <c r="F1433" s="200" t="s">
        <v>394</v>
      </c>
      <c r="G1433" s="200" t="s">
        <v>688</v>
      </c>
    </row>
    <row r="1434" spans="1:7">
      <c r="A1434" s="199" t="s">
        <v>627</v>
      </c>
      <c r="B1434" s="200">
        <v>545</v>
      </c>
      <c r="C1434" s="200">
        <v>0</v>
      </c>
      <c r="D1434" s="201" t="s">
        <v>282</v>
      </c>
      <c r="E1434" s="201" t="s">
        <v>317</v>
      </c>
      <c r="F1434" s="200" t="s">
        <v>393</v>
      </c>
      <c r="G1434" s="200" t="s">
        <v>688</v>
      </c>
    </row>
    <row r="1435" spans="1:7" hidden="1">
      <c r="A1435" s="199" t="s">
        <v>628</v>
      </c>
      <c r="B1435" s="200">
        <v>74</v>
      </c>
      <c r="C1435" s="200">
        <v>0</v>
      </c>
      <c r="D1435" s="201" t="s">
        <v>283</v>
      </c>
      <c r="E1435" s="201" t="s">
        <v>317</v>
      </c>
      <c r="F1435" s="200" t="s">
        <v>394</v>
      </c>
      <c r="G1435" s="200" t="s">
        <v>688</v>
      </c>
    </row>
    <row r="1436" spans="1:7" hidden="1">
      <c r="A1436" s="199" t="s">
        <v>628</v>
      </c>
      <c r="B1436" s="200">
        <v>81</v>
      </c>
      <c r="C1436" s="200">
        <v>0</v>
      </c>
      <c r="D1436" s="201" t="s">
        <v>283</v>
      </c>
      <c r="E1436" s="201" t="s">
        <v>317</v>
      </c>
      <c r="F1436" s="200" t="s">
        <v>413</v>
      </c>
      <c r="G1436" s="200" t="s">
        <v>688</v>
      </c>
    </row>
    <row r="1437" spans="1:7" hidden="1">
      <c r="A1437" s="199" t="s">
        <v>628</v>
      </c>
      <c r="B1437" s="200">
        <v>-155</v>
      </c>
      <c r="C1437" s="200">
        <v>0</v>
      </c>
      <c r="D1437" s="201" t="s">
        <v>283</v>
      </c>
      <c r="E1437" s="201" t="s">
        <v>317</v>
      </c>
      <c r="F1437" s="200" t="s">
        <v>441</v>
      </c>
      <c r="G1437" s="200" t="s">
        <v>688</v>
      </c>
    </row>
    <row r="1438" spans="1:7">
      <c r="A1438" s="199" t="s">
        <v>628</v>
      </c>
      <c r="B1438" s="200">
        <v>-236</v>
      </c>
      <c r="C1438" s="200">
        <v>0</v>
      </c>
      <c r="D1438" s="201" t="s">
        <v>282</v>
      </c>
      <c r="E1438" s="201" t="s">
        <v>317</v>
      </c>
      <c r="F1438" s="200" t="s">
        <v>394</v>
      </c>
      <c r="G1438" s="200" t="s">
        <v>688</v>
      </c>
    </row>
    <row r="1439" spans="1:7">
      <c r="A1439" s="199" t="s">
        <v>628</v>
      </c>
      <c r="B1439" s="200">
        <v>81</v>
      </c>
      <c r="C1439" s="200">
        <v>0</v>
      </c>
      <c r="D1439" s="201" t="s">
        <v>282</v>
      </c>
      <c r="E1439" s="201" t="s">
        <v>317</v>
      </c>
      <c r="F1439" s="200" t="s">
        <v>413</v>
      </c>
      <c r="G1439" s="200" t="s">
        <v>688</v>
      </c>
    </row>
    <row r="1440" spans="1:7">
      <c r="A1440" s="199" t="s">
        <v>628</v>
      </c>
      <c r="B1440" s="200">
        <v>155</v>
      </c>
      <c r="C1440" s="200">
        <v>0</v>
      </c>
      <c r="D1440" s="201" t="s">
        <v>282</v>
      </c>
      <c r="E1440" s="201" t="s">
        <v>317</v>
      </c>
      <c r="F1440" s="200" t="s">
        <v>441</v>
      </c>
      <c r="G1440" s="200" t="s">
        <v>688</v>
      </c>
    </row>
    <row r="1441" spans="1:7" hidden="1">
      <c r="A1441" s="199" t="s">
        <v>629</v>
      </c>
      <c r="B1441" s="200">
        <v>26</v>
      </c>
      <c r="C1441" s="200">
        <v>0</v>
      </c>
      <c r="D1441" s="201" t="s">
        <v>283</v>
      </c>
      <c r="E1441" s="201" t="s">
        <v>630</v>
      </c>
      <c r="F1441" s="200" t="s">
        <v>396</v>
      </c>
      <c r="G1441" s="200" t="s">
        <v>688</v>
      </c>
    </row>
    <row r="1442" spans="1:7" hidden="1">
      <c r="A1442" s="199" t="s">
        <v>629</v>
      </c>
      <c r="B1442" s="200">
        <v>193</v>
      </c>
      <c r="C1442" s="200">
        <v>0</v>
      </c>
      <c r="D1442" s="201" t="s">
        <v>437</v>
      </c>
      <c r="E1442" s="201" t="s">
        <v>630</v>
      </c>
      <c r="F1442" s="200" t="s">
        <v>396</v>
      </c>
      <c r="G1442" s="200" t="s">
        <v>688</v>
      </c>
    </row>
    <row r="1443" spans="1:7">
      <c r="A1443" s="199" t="s">
        <v>629</v>
      </c>
      <c r="B1443" s="200">
        <v>26</v>
      </c>
      <c r="C1443" s="200">
        <v>0</v>
      </c>
      <c r="D1443" s="201" t="s">
        <v>282</v>
      </c>
      <c r="E1443" s="201" t="s">
        <v>630</v>
      </c>
      <c r="F1443" s="200" t="s">
        <v>396</v>
      </c>
      <c r="G1443" s="200" t="s">
        <v>688</v>
      </c>
    </row>
    <row r="1444" spans="1:7" hidden="1">
      <c r="A1444" s="199" t="s">
        <v>0</v>
      </c>
      <c r="B1444" s="200">
        <v>311</v>
      </c>
      <c r="C1444" s="200">
        <v>0</v>
      </c>
      <c r="D1444" s="201" t="s">
        <v>283</v>
      </c>
      <c r="E1444" s="201" t="s">
        <v>320</v>
      </c>
      <c r="F1444" s="200" t="s">
        <v>394</v>
      </c>
      <c r="G1444" s="200" t="s">
        <v>688</v>
      </c>
    </row>
    <row r="1445" spans="1:7">
      <c r="A1445" s="199" t="s">
        <v>0</v>
      </c>
      <c r="B1445" s="200">
        <v>24</v>
      </c>
      <c r="C1445" s="200">
        <v>0</v>
      </c>
      <c r="D1445" s="201" t="s">
        <v>282</v>
      </c>
      <c r="E1445" s="201" t="s">
        <v>320</v>
      </c>
      <c r="F1445" s="200" t="s">
        <v>394</v>
      </c>
      <c r="G1445" s="200" t="s">
        <v>688</v>
      </c>
    </row>
    <row r="1446" spans="1:7">
      <c r="A1446" s="199" t="s">
        <v>0</v>
      </c>
      <c r="B1446" s="200">
        <v>287</v>
      </c>
      <c r="C1446" s="200">
        <v>0</v>
      </c>
      <c r="D1446" s="201" t="s">
        <v>282</v>
      </c>
      <c r="E1446" s="201" t="s">
        <v>320</v>
      </c>
      <c r="F1446" s="200" t="s">
        <v>393</v>
      </c>
      <c r="G1446" s="200" t="s">
        <v>688</v>
      </c>
    </row>
    <row r="1447" spans="1:7" hidden="1">
      <c r="A1447" s="199" t="s">
        <v>0</v>
      </c>
      <c r="B1447" s="200">
        <v>15</v>
      </c>
      <c r="C1447" s="200">
        <v>0</v>
      </c>
      <c r="D1447" s="201" t="s">
        <v>442</v>
      </c>
      <c r="E1447" s="201" t="s">
        <v>320</v>
      </c>
      <c r="F1447" s="200" t="s">
        <v>394</v>
      </c>
      <c r="G1447" s="200" t="s">
        <v>688</v>
      </c>
    </row>
    <row r="1448" spans="1:7" hidden="1">
      <c r="A1448" s="199" t="s">
        <v>0</v>
      </c>
      <c r="B1448" s="200">
        <v>-359</v>
      </c>
      <c r="C1448" s="200">
        <v>0</v>
      </c>
      <c r="D1448" s="201" t="s">
        <v>474</v>
      </c>
      <c r="E1448" s="201" t="s">
        <v>320</v>
      </c>
      <c r="F1448" s="200" t="s">
        <v>394</v>
      </c>
      <c r="G1448" s="200" t="s">
        <v>688</v>
      </c>
    </row>
    <row r="1449" spans="1:7" hidden="1">
      <c r="A1449" s="199" t="s">
        <v>0</v>
      </c>
      <c r="B1449" s="200">
        <v>359</v>
      </c>
      <c r="C1449" s="200">
        <v>0</v>
      </c>
      <c r="D1449" s="201" t="s">
        <v>474</v>
      </c>
      <c r="E1449" s="201" t="s">
        <v>320</v>
      </c>
      <c r="F1449" s="200" t="s">
        <v>402</v>
      </c>
      <c r="G1449" s="200" t="s">
        <v>688</v>
      </c>
    </row>
    <row r="1450" spans="1:7" hidden="1">
      <c r="A1450" s="199" t="s">
        <v>631</v>
      </c>
      <c r="B1450" s="200">
        <v>-4</v>
      </c>
      <c r="C1450" s="200">
        <v>0</v>
      </c>
      <c r="D1450" s="201" t="s">
        <v>283</v>
      </c>
      <c r="E1450" s="201" t="s">
        <v>324</v>
      </c>
      <c r="F1450" s="200" t="s">
        <v>394</v>
      </c>
      <c r="G1450" s="200" t="s">
        <v>688</v>
      </c>
    </row>
    <row r="1451" spans="1:7">
      <c r="A1451" s="199" t="s">
        <v>631</v>
      </c>
      <c r="B1451" s="200">
        <v>4</v>
      </c>
      <c r="C1451" s="200">
        <v>0</v>
      </c>
      <c r="D1451" s="201" t="s">
        <v>282</v>
      </c>
      <c r="E1451" s="201" t="s">
        <v>324</v>
      </c>
      <c r="F1451" s="200" t="s">
        <v>394</v>
      </c>
      <c r="G1451" s="200" t="s">
        <v>688</v>
      </c>
    </row>
    <row r="1452" spans="1:7">
      <c r="A1452" s="199" t="s">
        <v>631</v>
      </c>
      <c r="B1452" s="200">
        <v>56</v>
      </c>
      <c r="C1452" s="200">
        <v>0</v>
      </c>
      <c r="D1452" s="201" t="s">
        <v>282</v>
      </c>
      <c r="E1452" s="201" t="s">
        <v>324</v>
      </c>
      <c r="F1452" s="200" t="s">
        <v>408</v>
      </c>
      <c r="G1452" s="200" t="s">
        <v>688</v>
      </c>
    </row>
    <row r="1453" spans="1:7">
      <c r="A1453" s="199" t="s">
        <v>631</v>
      </c>
      <c r="B1453" s="200">
        <v>-68</v>
      </c>
      <c r="C1453" s="200">
        <v>0</v>
      </c>
      <c r="D1453" s="201" t="s">
        <v>282</v>
      </c>
      <c r="E1453" s="201" t="s">
        <v>324</v>
      </c>
      <c r="F1453" s="200" t="s">
        <v>393</v>
      </c>
      <c r="G1453" s="200" t="s">
        <v>688</v>
      </c>
    </row>
    <row r="1454" spans="1:7" hidden="1">
      <c r="A1454" s="199" t="s">
        <v>632</v>
      </c>
      <c r="B1454" s="200">
        <v>-4</v>
      </c>
      <c r="C1454" s="200">
        <v>0</v>
      </c>
      <c r="D1454" s="201" t="s">
        <v>283</v>
      </c>
      <c r="E1454" s="201" t="s">
        <v>324</v>
      </c>
      <c r="F1454" s="200" t="s">
        <v>394</v>
      </c>
      <c r="G1454" s="200" t="s">
        <v>688</v>
      </c>
    </row>
    <row r="1455" spans="1:7">
      <c r="A1455" s="199" t="s">
        <v>632</v>
      </c>
      <c r="B1455" s="200">
        <v>4</v>
      </c>
      <c r="C1455" s="200">
        <v>0</v>
      </c>
      <c r="D1455" s="201" t="s">
        <v>282</v>
      </c>
      <c r="E1455" s="201" t="s">
        <v>324</v>
      </c>
      <c r="F1455" s="200" t="s">
        <v>394</v>
      </c>
      <c r="G1455" s="200" t="s">
        <v>688</v>
      </c>
    </row>
    <row r="1456" spans="1:7">
      <c r="A1456" s="199" t="s">
        <v>632</v>
      </c>
      <c r="B1456" s="200">
        <v>-37</v>
      </c>
      <c r="C1456" s="200">
        <v>0</v>
      </c>
      <c r="D1456" s="201" t="s">
        <v>282</v>
      </c>
      <c r="E1456" s="201" t="s">
        <v>324</v>
      </c>
      <c r="F1456" s="200" t="s">
        <v>408</v>
      </c>
      <c r="G1456" s="200" t="s">
        <v>688</v>
      </c>
    </row>
    <row r="1457" spans="1:7">
      <c r="A1457" s="199" t="s">
        <v>632</v>
      </c>
      <c r="B1457" s="200">
        <v>34</v>
      </c>
      <c r="C1457" s="200">
        <v>0</v>
      </c>
      <c r="D1457" s="201" t="s">
        <v>282</v>
      </c>
      <c r="E1457" s="201" t="s">
        <v>324</v>
      </c>
      <c r="F1457" s="200" t="s">
        <v>393</v>
      </c>
      <c r="G1457" s="200" t="s">
        <v>688</v>
      </c>
    </row>
    <row r="1458" spans="1:7" hidden="1">
      <c r="A1458" s="199" t="s">
        <v>633</v>
      </c>
      <c r="B1458" s="200">
        <v>4</v>
      </c>
      <c r="C1458" s="200">
        <v>0</v>
      </c>
      <c r="D1458" s="201" t="s">
        <v>283</v>
      </c>
      <c r="E1458" s="201" t="s">
        <v>324</v>
      </c>
      <c r="F1458" s="200" t="s">
        <v>394</v>
      </c>
      <c r="G1458" s="200" t="s">
        <v>688</v>
      </c>
    </row>
    <row r="1459" spans="1:7">
      <c r="A1459" s="199" t="s">
        <v>633</v>
      </c>
      <c r="B1459" s="200">
        <v>-4</v>
      </c>
      <c r="C1459" s="200">
        <v>0</v>
      </c>
      <c r="D1459" s="201" t="s">
        <v>282</v>
      </c>
      <c r="E1459" s="201" t="s">
        <v>324</v>
      </c>
      <c r="F1459" s="200" t="s">
        <v>394</v>
      </c>
      <c r="G1459" s="200" t="s">
        <v>688</v>
      </c>
    </row>
    <row r="1460" spans="1:7">
      <c r="A1460" s="199" t="s">
        <v>633</v>
      </c>
      <c r="B1460" s="200">
        <v>-55</v>
      </c>
      <c r="C1460" s="200">
        <v>0</v>
      </c>
      <c r="D1460" s="201" t="s">
        <v>282</v>
      </c>
      <c r="E1460" s="201" t="s">
        <v>324</v>
      </c>
      <c r="F1460" s="200" t="s">
        <v>408</v>
      </c>
      <c r="G1460" s="200" t="s">
        <v>688</v>
      </c>
    </row>
    <row r="1461" spans="1:7">
      <c r="A1461" s="199" t="s">
        <v>633</v>
      </c>
      <c r="B1461" s="200">
        <v>68</v>
      </c>
      <c r="C1461" s="200">
        <v>0</v>
      </c>
      <c r="D1461" s="201" t="s">
        <v>282</v>
      </c>
      <c r="E1461" s="201" t="s">
        <v>324</v>
      </c>
      <c r="F1461" s="200" t="s">
        <v>393</v>
      </c>
      <c r="G1461" s="200" t="s">
        <v>688</v>
      </c>
    </row>
    <row r="1462" spans="1:7" hidden="1">
      <c r="A1462" s="199" t="s">
        <v>634</v>
      </c>
      <c r="B1462" s="200">
        <v>-4600</v>
      </c>
      <c r="C1462" s="200">
        <v>0</v>
      </c>
      <c r="D1462" s="201" t="s">
        <v>440</v>
      </c>
      <c r="E1462" s="201" t="s">
        <v>439</v>
      </c>
      <c r="F1462" s="200" t="s">
        <v>394</v>
      </c>
      <c r="G1462" s="200" t="s">
        <v>688</v>
      </c>
    </row>
    <row r="1463" spans="1:7" hidden="1">
      <c r="A1463" s="199" t="s">
        <v>635</v>
      </c>
      <c r="B1463" s="200">
        <v>66344</v>
      </c>
      <c r="C1463" s="200">
        <v>0</v>
      </c>
      <c r="D1463" s="201" t="s">
        <v>440</v>
      </c>
      <c r="E1463" s="201" t="s">
        <v>317</v>
      </c>
      <c r="F1463" s="200" t="s">
        <v>394</v>
      </c>
      <c r="G1463" s="200" t="s">
        <v>688</v>
      </c>
    </row>
    <row r="1464" spans="1:7" hidden="1">
      <c r="A1464" s="199" t="s">
        <v>635</v>
      </c>
      <c r="B1464" s="200">
        <v>-3535</v>
      </c>
      <c r="C1464" s="200">
        <v>0</v>
      </c>
      <c r="D1464" s="201" t="s">
        <v>440</v>
      </c>
      <c r="E1464" s="201" t="s">
        <v>317</v>
      </c>
      <c r="F1464" s="200" t="s">
        <v>407</v>
      </c>
      <c r="G1464" s="200" t="s">
        <v>688</v>
      </c>
    </row>
    <row r="1465" spans="1:7" hidden="1">
      <c r="A1465" s="199" t="s">
        <v>635</v>
      </c>
      <c r="B1465" s="200">
        <v>18381</v>
      </c>
      <c r="C1465" s="200">
        <v>0</v>
      </c>
      <c r="D1465" s="201" t="s">
        <v>437</v>
      </c>
      <c r="E1465" s="201" t="s">
        <v>317</v>
      </c>
      <c r="F1465" s="200" t="s">
        <v>394</v>
      </c>
      <c r="G1465" s="200" t="s">
        <v>688</v>
      </c>
    </row>
    <row r="1466" spans="1:7" hidden="1">
      <c r="A1466" s="199" t="s">
        <v>635</v>
      </c>
      <c r="B1466" s="200">
        <v>-18381</v>
      </c>
      <c r="C1466" s="200">
        <v>0</v>
      </c>
      <c r="D1466" s="201" t="s">
        <v>437</v>
      </c>
      <c r="E1466" s="201" t="s">
        <v>317</v>
      </c>
      <c r="F1466" s="200" t="s">
        <v>407</v>
      </c>
      <c r="G1466" s="200" t="s">
        <v>688</v>
      </c>
    </row>
    <row r="1467" spans="1:7" hidden="1">
      <c r="A1467" s="199" t="s">
        <v>635</v>
      </c>
      <c r="B1467" s="200">
        <v>12764</v>
      </c>
      <c r="C1467" s="200">
        <v>0</v>
      </c>
      <c r="D1467" s="201" t="s">
        <v>442</v>
      </c>
      <c r="E1467" s="201" t="s">
        <v>317</v>
      </c>
      <c r="F1467" s="200" t="s">
        <v>394</v>
      </c>
      <c r="G1467" s="200" t="s">
        <v>688</v>
      </c>
    </row>
    <row r="1468" spans="1:7" hidden="1">
      <c r="A1468" s="199" t="s">
        <v>635</v>
      </c>
      <c r="B1468" s="200">
        <v>-1950</v>
      </c>
      <c r="C1468" s="200">
        <v>0</v>
      </c>
      <c r="D1468" s="201" t="s">
        <v>442</v>
      </c>
      <c r="E1468" s="201" t="s">
        <v>317</v>
      </c>
      <c r="F1468" s="200" t="s">
        <v>407</v>
      </c>
      <c r="G1468" s="200" t="s">
        <v>688</v>
      </c>
    </row>
    <row r="1469" spans="1:7" hidden="1">
      <c r="A1469" s="199" t="s">
        <v>635</v>
      </c>
      <c r="B1469" s="200">
        <v>-1949</v>
      </c>
      <c r="C1469" s="200">
        <v>0</v>
      </c>
      <c r="D1469" s="201" t="s">
        <v>442</v>
      </c>
      <c r="E1469" s="201" t="s">
        <v>317</v>
      </c>
      <c r="F1469" s="200" t="s">
        <v>441</v>
      </c>
      <c r="G1469" s="200" t="s">
        <v>688</v>
      </c>
    </row>
    <row r="1470" spans="1:7" hidden="1">
      <c r="A1470" s="199" t="s">
        <v>635</v>
      </c>
      <c r="B1470" s="200">
        <v>-1949</v>
      </c>
      <c r="C1470" s="200">
        <v>0</v>
      </c>
      <c r="D1470" s="201" t="s">
        <v>545</v>
      </c>
      <c r="E1470" s="201" t="s">
        <v>317</v>
      </c>
      <c r="F1470" s="200" t="s">
        <v>407</v>
      </c>
      <c r="G1470" s="200" t="s">
        <v>688</v>
      </c>
    </row>
    <row r="1471" spans="1:7" hidden="1">
      <c r="A1471" s="199" t="s">
        <v>635</v>
      </c>
      <c r="B1471" s="200">
        <v>1949</v>
      </c>
      <c r="C1471" s="200">
        <v>0</v>
      </c>
      <c r="D1471" s="201" t="s">
        <v>545</v>
      </c>
      <c r="E1471" s="201" t="s">
        <v>317</v>
      </c>
      <c r="F1471" s="200" t="s">
        <v>441</v>
      </c>
      <c r="G1471" s="200" t="s">
        <v>688</v>
      </c>
    </row>
    <row r="1472" spans="1:7" hidden="1">
      <c r="A1472" s="199" t="s">
        <v>635</v>
      </c>
      <c r="B1472" s="200">
        <v>11744</v>
      </c>
      <c r="C1472" s="200">
        <v>0</v>
      </c>
      <c r="D1472" s="201" t="s">
        <v>474</v>
      </c>
      <c r="E1472" s="201" t="s">
        <v>317</v>
      </c>
      <c r="F1472" s="200" t="s">
        <v>394</v>
      </c>
      <c r="G1472" s="200" t="s">
        <v>688</v>
      </c>
    </row>
    <row r="1473" spans="1:7" hidden="1">
      <c r="A1473" s="199" t="s">
        <v>356</v>
      </c>
      <c r="B1473" s="200">
        <v>329</v>
      </c>
      <c r="C1473" s="200">
        <v>0</v>
      </c>
      <c r="D1473" s="201" t="s">
        <v>283</v>
      </c>
      <c r="E1473" s="201" t="s">
        <v>317</v>
      </c>
      <c r="F1473" s="200" t="s">
        <v>394</v>
      </c>
      <c r="G1473" s="200" t="s">
        <v>688</v>
      </c>
    </row>
    <row r="1474" spans="1:7" hidden="1">
      <c r="A1474" s="199" t="s">
        <v>356</v>
      </c>
      <c r="B1474" s="200">
        <v>-329</v>
      </c>
      <c r="C1474" s="200">
        <v>0</v>
      </c>
      <c r="D1474" s="201" t="s">
        <v>283</v>
      </c>
      <c r="E1474" s="201" t="s">
        <v>317</v>
      </c>
      <c r="F1474" s="200" t="s">
        <v>441</v>
      </c>
      <c r="G1474" s="200" t="s">
        <v>688</v>
      </c>
    </row>
    <row r="1475" spans="1:7">
      <c r="A1475" s="199" t="s">
        <v>356</v>
      </c>
      <c r="B1475" s="200">
        <v>500</v>
      </c>
      <c r="C1475" s="200">
        <v>0</v>
      </c>
      <c r="D1475" s="201" t="s">
        <v>282</v>
      </c>
      <c r="E1475" s="201" t="s">
        <v>317</v>
      </c>
      <c r="F1475" s="200" t="s">
        <v>394</v>
      </c>
      <c r="G1475" s="200" t="s">
        <v>688</v>
      </c>
    </row>
    <row r="1476" spans="1:7">
      <c r="A1476" s="199" t="s">
        <v>356</v>
      </c>
      <c r="B1476" s="200">
        <v>-88</v>
      </c>
      <c r="C1476" s="200">
        <v>0</v>
      </c>
      <c r="D1476" s="201" t="s">
        <v>282</v>
      </c>
      <c r="E1476" s="201" t="s">
        <v>317</v>
      </c>
      <c r="F1476" s="200" t="s">
        <v>445</v>
      </c>
      <c r="G1476" s="200" t="s">
        <v>688</v>
      </c>
    </row>
    <row r="1477" spans="1:7">
      <c r="A1477" s="199" t="s">
        <v>356</v>
      </c>
      <c r="B1477" s="200">
        <v>-1577</v>
      </c>
      <c r="C1477" s="200">
        <v>0</v>
      </c>
      <c r="D1477" s="201" t="s">
        <v>282</v>
      </c>
      <c r="E1477" s="201" t="s">
        <v>317</v>
      </c>
      <c r="F1477" s="200" t="s">
        <v>393</v>
      </c>
      <c r="G1477" s="200" t="s">
        <v>688</v>
      </c>
    </row>
    <row r="1478" spans="1:7">
      <c r="A1478" s="199" t="s">
        <v>356</v>
      </c>
      <c r="B1478" s="200">
        <v>650</v>
      </c>
      <c r="C1478" s="200">
        <v>0</v>
      </c>
      <c r="D1478" s="201" t="s">
        <v>282</v>
      </c>
      <c r="E1478" s="201" t="s">
        <v>317</v>
      </c>
      <c r="F1478" s="200" t="s">
        <v>407</v>
      </c>
      <c r="G1478" s="200" t="s">
        <v>688</v>
      </c>
    </row>
    <row r="1479" spans="1:7">
      <c r="A1479" s="199" t="s">
        <v>356</v>
      </c>
      <c r="B1479" s="200">
        <v>186</v>
      </c>
      <c r="C1479" s="200">
        <v>0</v>
      </c>
      <c r="D1479" s="201" t="s">
        <v>282</v>
      </c>
      <c r="E1479" s="201" t="s">
        <v>317</v>
      </c>
      <c r="F1479" s="200" t="s">
        <v>413</v>
      </c>
      <c r="G1479" s="200" t="s">
        <v>688</v>
      </c>
    </row>
    <row r="1480" spans="1:7">
      <c r="A1480" s="199" t="s">
        <v>356</v>
      </c>
      <c r="B1480" s="200">
        <v>329</v>
      </c>
      <c r="C1480" s="200">
        <v>0</v>
      </c>
      <c r="D1480" s="201" t="s">
        <v>282</v>
      </c>
      <c r="E1480" s="201" t="s">
        <v>317</v>
      </c>
      <c r="F1480" s="200" t="s">
        <v>441</v>
      </c>
      <c r="G1480" s="200" t="s">
        <v>688</v>
      </c>
    </row>
    <row r="1481" spans="1:7" hidden="1">
      <c r="A1481" s="199" t="s">
        <v>728</v>
      </c>
      <c r="B1481" s="200">
        <v>-182500</v>
      </c>
      <c r="C1481" s="200">
        <v>0</v>
      </c>
      <c r="D1481" s="201" t="s">
        <v>440</v>
      </c>
      <c r="E1481" s="201" t="s">
        <v>692</v>
      </c>
      <c r="F1481" s="200" t="s">
        <v>409</v>
      </c>
      <c r="G1481" s="200" t="s">
        <v>688</v>
      </c>
    </row>
    <row r="1482" spans="1:7" hidden="1">
      <c r="A1482" s="199" t="s">
        <v>729</v>
      </c>
      <c r="B1482" s="200">
        <v>182500</v>
      </c>
      <c r="C1482" s="200">
        <v>0</v>
      </c>
      <c r="D1482" s="201" t="s">
        <v>440</v>
      </c>
      <c r="E1482" s="201" t="s">
        <v>692</v>
      </c>
      <c r="F1482" s="200" t="s">
        <v>409</v>
      </c>
      <c r="G1482" s="200" t="s">
        <v>688</v>
      </c>
    </row>
    <row r="1483" spans="1:7" hidden="1">
      <c r="A1483" s="199" t="s">
        <v>730</v>
      </c>
      <c r="B1483" s="200">
        <v>83400</v>
      </c>
      <c r="C1483" s="200">
        <v>0</v>
      </c>
      <c r="D1483" s="201" t="s">
        <v>440</v>
      </c>
      <c r="E1483" s="201" t="s">
        <v>638</v>
      </c>
      <c r="F1483" s="200" t="s">
        <v>652</v>
      </c>
      <c r="G1483" s="200" t="s">
        <v>688</v>
      </c>
    </row>
    <row r="1484" spans="1:7" hidden="1">
      <c r="A1484" s="199" t="s">
        <v>731</v>
      </c>
      <c r="B1484" s="200">
        <v>-186600</v>
      </c>
      <c r="C1484" s="200">
        <v>0</v>
      </c>
      <c r="D1484" s="201" t="s">
        <v>440</v>
      </c>
      <c r="E1484" s="201" t="s">
        <v>638</v>
      </c>
      <c r="F1484" s="200" t="s">
        <v>409</v>
      </c>
      <c r="G1484" s="200" t="s">
        <v>688</v>
      </c>
    </row>
    <row r="1485" spans="1:7" hidden="1">
      <c r="A1485" s="199" t="s">
        <v>732</v>
      </c>
      <c r="B1485" s="200">
        <v>145500</v>
      </c>
      <c r="C1485" s="200">
        <v>0</v>
      </c>
      <c r="D1485" s="201" t="s">
        <v>440</v>
      </c>
      <c r="E1485" s="201" t="s">
        <v>638</v>
      </c>
      <c r="F1485" s="200" t="s">
        <v>652</v>
      </c>
      <c r="G1485" s="200" t="s">
        <v>688</v>
      </c>
    </row>
    <row r="1486" spans="1:7" hidden="1">
      <c r="A1486" s="199" t="s">
        <v>733</v>
      </c>
      <c r="B1486" s="200">
        <v>12000</v>
      </c>
      <c r="C1486" s="200">
        <v>0</v>
      </c>
      <c r="D1486" s="201" t="s">
        <v>442</v>
      </c>
      <c r="E1486" s="201" t="s">
        <v>638</v>
      </c>
      <c r="F1486" s="200" t="s">
        <v>396</v>
      </c>
      <c r="G1486" s="200" t="s">
        <v>688</v>
      </c>
    </row>
    <row r="1487" spans="1:7" hidden="1">
      <c r="A1487" s="199" t="s">
        <v>734</v>
      </c>
      <c r="B1487" s="200">
        <v>126895</v>
      </c>
      <c r="C1487" s="200">
        <v>0</v>
      </c>
      <c r="D1487" s="201" t="s">
        <v>440</v>
      </c>
      <c r="E1487" s="201" t="s">
        <v>638</v>
      </c>
      <c r="F1487" s="200" t="s">
        <v>652</v>
      </c>
      <c r="G1487" s="200" t="s">
        <v>688</v>
      </c>
    </row>
    <row r="1488" spans="1:7" hidden="1">
      <c r="A1488" s="199" t="s">
        <v>735</v>
      </c>
      <c r="B1488" s="200">
        <v>82400</v>
      </c>
      <c r="C1488" s="200">
        <v>0</v>
      </c>
      <c r="D1488" s="201" t="s">
        <v>440</v>
      </c>
      <c r="E1488" s="201" t="s">
        <v>638</v>
      </c>
      <c r="F1488" s="200" t="s">
        <v>652</v>
      </c>
      <c r="G1488" s="200" t="s">
        <v>688</v>
      </c>
    </row>
    <row r="1489" spans="1:7" hidden="1">
      <c r="A1489" s="199" t="s">
        <v>736</v>
      </c>
      <c r="B1489" s="200">
        <v>44000</v>
      </c>
      <c r="C1489" s="200">
        <v>0</v>
      </c>
      <c r="D1489" s="201" t="s">
        <v>440</v>
      </c>
      <c r="E1489" s="201" t="s">
        <v>638</v>
      </c>
      <c r="F1489" s="200" t="s">
        <v>652</v>
      </c>
      <c r="G1489" s="200" t="s">
        <v>688</v>
      </c>
    </row>
    <row r="1490" spans="1:7" hidden="1">
      <c r="A1490" s="199" t="s">
        <v>737</v>
      </c>
      <c r="B1490" s="200">
        <v>15900</v>
      </c>
      <c r="C1490" s="200">
        <v>0</v>
      </c>
      <c r="D1490" s="201" t="s">
        <v>440</v>
      </c>
      <c r="E1490" s="201" t="s">
        <v>638</v>
      </c>
      <c r="F1490" s="200" t="s">
        <v>652</v>
      </c>
      <c r="G1490" s="200" t="s">
        <v>688</v>
      </c>
    </row>
    <row r="1491" spans="1:7" hidden="1">
      <c r="A1491" s="199" t="s">
        <v>738</v>
      </c>
      <c r="B1491" s="200">
        <v>4900</v>
      </c>
      <c r="C1491" s="200">
        <v>0</v>
      </c>
      <c r="D1491" s="201" t="s">
        <v>440</v>
      </c>
      <c r="E1491" s="201" t="s">
        <v>638</v>
      </c>
      <c r="F1491" s="200" t="s">
        <v>409</v>
      </c>
      <c r="G1491" s="200" t="s">
        <v>688</v>
      </c>
    </row>
    <row r="1492" spans="1:7" hidden="1">
      <c r="A1492" s="199" t="s">
        <v>739</v>
      </c>
      <c r="B1492" s="200">
        <v>9000</v>
      </c>
      <c r="C1492" s="200">
        <v>0</v>
      </c>
      <c r="D1492" s="201" t="s">
        <v>440</v>
      </c>
      <c r="E1492" s="201" t="s">
        <v>638</v>
      </c>
      <c r="F1492" s="200" t="s">
        <v>652</v>
      </c>
      <c r="G1492" s="200" t="s">
        <v>688</v>
      </c>
    </row>
    <row r="1493" spans="1:7" hidden="1">
      <c r="A1493" s="199" t="s">
        <v>740</v>
      </c>
      <c r="B1493" s="200">
        <v>38500</v>
      </c>
      <c r="C1493" s="200">
        <v>0</v>
      </c>
      <c r="D1493" s="201" t="s">
        <v>440</v>
      </c>
      <c r="E1493" s="201" t="s">
        <v>638</v>
      </c>
      <c r="F1493" s="200" t="s">
        <v>652</v>
      </c>
      <c r="G1493" s="200" t="s">
        <v>688</v>
      </c>
    </row>
    <row r="1494" spans="1:7" hidden="1">
      <c r="A1494" s="199" t="s">
        <v>741</v>
      </c>
      <c r="B1494" s="200">
        <v>15600</v>
      </c>
      <c r="C1494" s="200">
        <v>0</v>
      </c>
      <c r="D1494" s="201" t="s">
        <v>440</v>
      </c>
      <c r="E1494" s="201" t="s">
        <v>638</v>
      </c>
      <c r="F1494" s="200" t="s">
        <v>652</v>
      </c>
      <c r="G1494" s="200" t="s">
        <v>688</v>
      </c>
    </row>
    <row r="1495" spans="1:7" hidden="1">
      <c r="A1495" s="199" t="s">
        <v>742</v>
      </c>
      <c r="B1495" s="200">
        <v>3300</v>
      </c>
      <c r="C1495" s="200">
        <v>0</v>
      </c>
      <c r="D1495" s="201" t="s">
        <v>442</v>
      </c>
      <c r="E1495" s="201" t="s">
        <v>638</v>
      </c>
      <c r="F1495" s="200" t="s">
        <v>396</v>
      </c>
      <c r="G1495" s="200" t="s">
        <v>688</v>
      </c>
    </row>
    <row r="1496" spans="1:7" hidden="1">
      <c r="A1496" s="199" t="s">
        <v>743</v>
      </c>
      <c r="B1496" s="200">
        <v>8700</v>
      </c>
      <c r="C1496" s="200">
        <v>0</v>
      </c>
      <c r="D1496" s="201" t="s">
        <v>442</v>
      </c>
      <c r="E1496" s="201" t="s">
        <v>638</v>
      </c>
      <c r="F1496" s="200" t="s">
        <v>396</v>
      </c>
      <c r="G1496" s="200" t="s">
        <v>688</v>
      </c>
    </row>
    <row r="1497" spans="1:7" hidden="1">
      <c r="A1497" s="199" t="s">
        <v>744</v>
      </c>
      <c r="B1497" s="200">
        <v>15000</v>
      </c>
      <c r="C1497" s="200">
        <v>0</v>
      </c>
      <c r="D1497" s="201" t="s">
        <v>440</v>
      </c>
      <c r="E1497" s="201" t="s">
        <v>638</v>
      </c>
      <c r="F1497" s="200" t="s">
        <v>652</v>
      </c>
      <c r="G1497" s="200" t="s">
        <v>688</v>
      </c>
    </row>
    <row r="1498" spans="1:7" hidden="1">
      <c r="A1498" s="199" t="s">
        <v>745</v>
      </c>
      <c r="B1498" s="200">
        <v>15400</v>
      </c>
      <c r="C1498" s="200">
        <v>0</v>
      </c>
      <c r="D1498" s="201" t="s">
        <v>442</v>
      </c>
      <c r="E1498" s="201" t="s">
        <v>638</v>
      </c>
      <c r="F1498" s="200" t="s">
        <v>396</v>
      </c>
      <c r="G1498" s="200" t="s">
        <v>688</v>
      </c>
    </row>
    <row r="1499" spans="1:7" hidden="1">
      <c r="A1499" s="199" t="s">
        <v>746</v>
      </c>
      <c r="B1499" s="200">
        <v>400</v>
      </c>
      <c r="C1499" s="200">
        <v>0</v>
      </c>
      <c r="D1499" s="201" t="s">
        <v>440</v>
      </c>
      <c r="E1499" s="201" t="s">
        <v>638</v>
      </c>
      <c r="F1499" s="200" t="s">
        <v>652</v>
      </c>
      <c r="G1499" s="200" t="s">
        <v>688</v>
      </c>
    </row>
    <row r="1500" spans="1:7" hidden="1">
      <c r="A1500" s="199" t="s">
        <v>747</v>
      </c>
      <c r="B1500" s="200">
        <v>42400</v>
      </c>
      <c r="C1500" s="200">
        <v>0</v>
      </c>
      <c r="D1500" s="201" t="s">
        <v>440</v>
      </c>
      <c r="E1500" s="201" t="s">
        <v>638</v>
      </c>
      <c r="F1500" s="200" t="s">
        <v>652</v>
      </c>
      <c r="G1500" s="200" t="s">
        <v>688</v>
      </c>
    </row>
    <row r="1501" spans="1:7" hidden="1">
      <c r="A1501" s="199" t="s">
        <v>748</v>
      </c>
      <c r="B1501" s="200">
        <v>-78100</v>
      </c>
      <c r="C1501" s="200">
        <v>0</v>
      </c>
      <c r="D1501" s="201" t="s">
        <v>440</v>
      </c>
      <c r="E1501" s="201" t="s">
        <v>638</v>
      </c>
      <c r="F1501" s="200" t="s">
        <v>652</v>
      </c>
      <c r="G1501" s="200" t="s">
        <v>688</v>
      </c>
    </row>
    <row r="1502" spans="1:7" hidden="1">
      <c r="A1502" s="199" t="s">
        <v>749</v>
      </c>
      <c r="B1502" s="200">
        <v>9800</v>
      </c>
      <c r="C1502" s="200">
        <v>0</v>
      </c>
      <c r="D1502" s="201" t="s">
        <v>442</v>
      </c>
      <c r="E1502" s="201" t="s">
        <v>638</v>
      </c>
      <c r="F1502" s="200" t="s">
        <v>396</v>
      </c>
      <c r="G1502" s="200" t="s">
        <v>688</v>
      </c>
    </row>
    <row r="1503" spans="1:7" hidden="1">
      <c r="A1503" s="199" t="s">
        <v>750</v>
      </c>
      <c r="B1503" s="200">
        <v>1100</v>
      </c>
      <c r="C1503" s="200">
        <v>0</v>
      </c>
      <c r="D1503" s="201" t="s">
        <v>442</v>
      </c>
      <c r="E1503" s="201" t="s">
        <v>638</v>
      </c>
      <c r="F1503" s="200" t="s">
        <v>396</v>
      </c>
      <c r="G1503" s="200" t="s">
        <v>688</v>
      </c>
    </row>
    <row r="1504" spans="1:7" hidden="1">
      <c r="A1504" s="199" t="s">
        <v>751</v>
      </c>
      <c r="B1504" s="200">
        <v>7400</v>
      </c>
      <c r="C1504" s="200">
        <v>0</v>
      </c>
      <c r="D1504" s="201" t="s">
        <v>440</v>
      </c>
      <c r="E1504" s="201" t="s">
        <v>638</v>
      </c>
      <c r="F1504" s="200" t="s">
        <v>652</v>
      </c>
      <c r="G1504" s="200" t="s">
        <v>688</v>
      </c>
    </row>
    <row r="1505" spans="1:7" hidden="1">
      <c r="A1505" s="199" t="s">
        <v>752</v>
      </c>
      <c r="B1505" s="200">
        <v>9428</v>
      </c>
      <c r="C1505" s="200">
        <v>0</v>
      </c>
      <c r="D1505" s="201" t="s">
        <v>440</v>
      </c>
      <c r="E1505" s="201" t="s">
        <v>638</v>
      </c>
      <c r="F1505" s="200" t="s">
        <v>652</v>
      </c>
      <c r="G1505" s="200" t="s">
        <v>688</v>
      </c>
    </row>
    <row r="1506" spans="1:7" hidden="1">
      <c r="A1506" s="199" t="s">
        <v>753</v>
      </c>
      <c r="B1506" s="200">
        <v>7500</v>
      </c>
      <c r="C1506" s="200">
        <v>0</v>
      </c>
      <c r="D1506" s="201" t="s">
        <v>440</v>
      </c>
      <c r="E1506" s="201" t="s">
        <v>638</v>
      </c>
      <c r="F1506" s="200" t="s">
        <v>652</v>
      </c>
      <c r="G1506" s="200" t="s">
        <v>688</v>
      </c>
    </row>
    <row r="1507" spans="1:7" hidden="1">
      <c r="A1507" s="199" t="s">
        <v>754</v>
      </c>
      <c r="B1507" s="200">
        <v>4500</v>
      </c>
      <c r="C1507" s="200">
        <v>0</v>
      </c>
      <c r="D1507" s="201" t="s">
        <v>440</v>
      </c>
      <c r="E1507" s="201" t="s">
        <v>638</v>
      </c>
      <c r="F1507" s="200" t="s">
        <v>652</v>
      </c>
      <c r="G1507" s="200" t="s">
        <v>688</v>
      </c>
    </row>
    <row r="1508" spans="1:7" hidden="1">
      <c r="A1508" s="199" t="s">
        <v>755</v>
      </c>
      <c r="B1508" s="200">
        <v>6500</v>
      </c>
      <c r="C1508" s="200">
        <v>0</v>
      </c>
      <c r="D1508" s="201" t="s">
        <v>440</v>
      </c>
      <c r="E1508" s="201" t="s">
        <v>638</v>
      </c>
      <c r="F1508" s="200" t="s">
        <v>652</v>
      </c>
      <c r="G1508" s="200" t="s">
        <v>688</v>
      </c>
    </row>
    <row r="1509" spans="1:7" hidden="1">
      <c r="A1509" s="199" t="s">
        <v>756</v>
      </c>
      <c r="B1509" s="200">
        <v>6600</v>
      </c>
      <c r="C1509" s="200">
        <v>0</v>
      </c>
      <c r="D1509" s="201" t="s">
        <v>440</v>
      </c>
      <c r="E1509" s="201" t="s">
        <v>638</v>
      </c>
      <c r="F1509" s="200" t="s">
        <v>652</v>
      </c>
      <c r="G1509" s="200" t="s">
        <v>688</v>
      </c>
    </row>
    <row r="1510" spans="1:7" hidden="1">
      <c r="A1510" s="199" t="s">
        <v>757</v>
      </c>
      <c r="B1510" s="200">
        <v>11600</v>
      </c>
      <c r="C1510" s="200">
        <v>0</v>
      </c>
      <c r="D1510" s="201" t="s">
        <v>440</v>
      </c>
      <c r="E1510" s="201" t="s">
        <v>638</v>
      </c>
      <c r="F1510" s="200" t="s">
        <v>652</v>
      </c>
      <c r="G1510" s="200" t="s">
        <v>688</v>
      </c>
    </row>
    <row r="1511" spans="1:7" hidden="1">
      <c r="A1511" s="199" t="s">
        <v>758</v>
      </c>
      <c r="B1511" s="200">
        <v>4100</v>
      </c>
      <c r="C1511" s="200">
        <v>0</v>
      </c>
      <c r="D1511" s="201" t="s">
        <v>442</v>
      </c>
      <c r="E1511" s="201" t="s">
        <v>638</v>
      </c>
      <c r="F1511" s="200" t="s">
        <v>396</v>
      </c>
      <c r="G1511" s="200" t="s">
        <v>688</v>
      </c>
    </row>
    <row r="1512" spans="1:7" hidden="1">
      <c r="A1512" s="199" t="s">
        <v>759</v>
      </c>
      <c r="B1512" s="200">
        <v>2100</v>
      </c>
      <c r="C1512" s="200">
        <v>0</v>
      </c>
      <c r="D1512" s="201" t="s">
        <v>442</v>
      </c>
      <c r="E1512" s="201" t="s">
        <v>638</v>
      </c>
      <c r="F1512" s="200" t="s">
        <v>396</v>
      </c>
      <c r="G1512" s="200" t="s">
        <v>688</v>
      </c>
    </row>
    <row r="1513" spans="1:7" hidden="1">
      <c r="A1513" s="199" t="s">
        <v>760</v>
      </c>
      <c r="B1513" s="200">
        <v>3500</v>
      </c>
      <c r="C1513" s="200">
        <v>0</v>
      </c>
      <c r="D1513" s="201" t="s">
        <v>442</v>
      </c>
      <c r="E1513" s="201" t="s">
        <v>638</v>
      </c>
      <c r="F1513" s="200" t="s">
        <v>396</v>
      </c>
      <c r="G1513" s="200" t="s">
        <v>688</v>
      </c>
    </row>
    <row r="1514" spans="1:7" hidden="1">
      <c r="A1514" s="199" t="s">
        <v>761</v>
      </c>
      <c r="B1514" s="200">
        <v>-15900</v>
      </c>
      <c r="C1514" s="200">
        <v>0</v>
      </c>
      <c r="D1514" s="201" t="s">
        <v>442</v>
      </c>
      <c r="E1514" s="201" t="s">
        <v>638</v>
      </c>
      <c r="F1514" s="200" t="s">
        <v>396</v>
      </c>
      <c r="G1514" s="200" t="s">
        <v>688</v>
      </c>
    </row>
    <row r="1515" spans="1:7" hidden="1">
      <c r="A1515" s="199" t="s">
        <v>762</v>
      </c>
      <c r="B1515" s="200">
        <v>-88700</v>
      </c>
      <c r="C1515" s="200">
        <v>0</v>
      </c>
      <c r="D1515" s="201" t="s">
        <v>474</v>
      </c>
      <c r="E1515" s="201" t="s">
        <v>638</v>
      </c>
      <c r="F1515" s="200" t="s">
        <v>396</v>
      </c>
      <c r="G1515" s="200" t="s">
        <v>688</v>
      </c>
    </row>
    <row r="1516" spans="1:7" hidden="1">
      <c r="A1516" s="199" t="s">
        <v>763</v>
      </c>
      <c r="B1516" s="200">
        <v>-18900</v>
      </c>
      <c r="C1516" s="200">
        <v>0</v>
      </c>
      <c r="D1516" s="201" t="s">
        <v>440</v>
      </c>
      <c r="E1516" s="201" t="s">
        <v>638</v>
      </c>
      <c r="F1516" s="200" t="s">
        <v>652</v>
      </c>
      <c r="G1516" s="200" t="s">
        <v>688</v>
      </c>
    </row>
    <row r="1517" spans="1:7" hidden="1">
      <c r="A1517" s="199" t="s">
        <v>764</v>
      </c>
      <c r="B1517" s="200">
        <v>-27600</v>
      </c>
      <c r="C1517" s="200">
        <v>0</v>
      </c>
      <c r="D1517" s="201" t="s">
        <v>442</v>
      </c>
      <c r="E1517" s="201" t="s">
        <v>638</v>
      </c>
      <c r="F1517" s="200" t="s">
        <v>396</v>
      </c>
      <c r="G1517" s="200" t="s">
        <v>688</v>
      </c>
    </row>
    <row r="1518" spans="1:7" hidden="1">
      <c r="A1518" s="199" t="s">
        <v>765</v>
      </c>
      <c r="B1518" s="200">
        <v>51100</v>
      </c>
      <c r="C1518" s="200">
        <v>0</v>
      </c>
      <c r="D1518" s="201" t="s">
        <v>440</v>
      </c>
      <c r="E1518" s="201" t="s">
        <v>638</v>
      </c>
      <c r="F1518" s="200" t="s">
        <v>652</v>
      </c>
      <c r="G1518" s="200" t="s">
        <v>688</v>
      </c>
    </row>
    <row r="1519" spans="1:7" hidden="1">
      <c r="A1519" s="199" t="s">
        <v>766</v>
      </c>
      <c r="B1519" s="200">
        <v>30800</v>
      </c>
      <c r="C1519" s="200">
        <v>0</v>
      </c>
      <c r="D1519" s="201" t="s">
        <v>440</v>
      </c>
      <c r="E1519" s="201" t="s">
        <v>638</v>
      </c>
      <c r="F1519" s="200" t="s">
        <v>652</v>
      </c>
      <c r="G1519" s="200" t="s">
        <v>688</v>
      </c>
    </row>
    <row r="1520" spans="1:7" hidden="1">
      <c r="A1520" s="199" t="s">
        <v>767</v>
      </c>
      <c r="B1520" s="200">
        <v>-26900</v>
      </c>
      <c r="C1520" s="200">
        <v>0</v>
      </c>
      <c r="D1520" s="201" t="s">
        <v>440</v>
      </c>
      <c r="E1520" s="201" t="s">
        <v>638</v>
      </c>
      <c r="F1520" s="200" t="s">
        <v>652</v>
      </c>
      <c r="G1520" s="200" t="s">
        <v>688</v>
      </c>
    </row>
    <row r="1521" spans="1:7" hidden="1">
      <c r="A1521" s="199" t="s">
        <v>768</v>
      </c>
      <c r="B1521" s="200">
        <v>-4800</v>
      </c>
      <c r="C1521" s="200">
        <v>0</v>
      </c>
      <c r="D1521" s="201" t="s">
        <v>442</v>
      </c>
      <c r="E1521" s="201" t="s">
        <v>638</v>
      </c>
      <c r="F1521" s="200" t="s">
        <v>396</v>
      </c>
      <c r="G1521" s="200" t="s">
        <v>688</v>
      </c>
    </row>
    <row r="1522" spans="1:7" hidden="1">
      <c r="A1522" s="199" t="s">
        <v>769</v>
      </c>
      <c r="B1522" s="200">
        <v>8900</v>
      </c>
      <c r="C1522" s="200">
        <v>0</v>
      </c>
      <c r="D1522" s="201" t="s">
        <v>442</v>
      </c>
      <c r="E1522" s="201" t="s">
        <v>638</v>
      </c>
      <c r="F1522" s="200" t="s">
        <v>396</v>
      </c>
      <c r="G1522" s="200" t="s">
        <v>688</v>
      </c>
    </row>
    <row r="1523" spans="1:7" hidden="1">
      <c r="A1523" s="199" t="s">
        <v>770</v>
      </c>
      <c r="B1523" s="200">
        <v>47800</v>
      </c>
      <c r="C1523" s="200">
        <v>0</v>
      </c>
      <c r="D1523" s="201" t="s">
        <v>440</v>
      </c>
      <c r="E1523" s="201" t="s">
        <v>638</v>
      </c>
      <c r="F1523" s="200" t="s">
        <v>652</v>
      </c>
      <c r="G1523" s="200" t="s">
        <v>688</v>
      </c>
    </row>
    <row r="1524" spans="1:7" hidden="1">
      <c r="A1524" s="199" t="s">
        <v>771</v>
      </c>
      <c r="B1524" s="200">
        <v>47800</v>
      </c>
      <c r="C1524" s="200">
        <v>0</v>
      </c>
      <c r="D1524" s="201" t="s">
        <v>440</v>
      </c>
      <c r="E1524" s="201" t="s">
        <v>638</v>
      </c>
      <c r="F1524" s="200" t="s">
        <v>409</v>
      </c>
      <c r="G1524" s="200" t="s">
        <v>688</v>
      </c>
    </row>
    <row r="1525" spans="1:7" hidden="1">
      <c r="A1525" s="199" t="s">
        <v>772</v>
      </c>
      <c r="B1525" s="200">
        <v>84800</v>
      </c>
      <c r="C1525" s="200">
        <v>0</v>
      </c>
      <c r="D1525" s="201" t="s">
        <v>440</v>
      </c>
      <c r="E1525" s="201" t="s">
        <v>638</v>
      </c>
      <c r="F1525" s="200" t="s">
        <v>652</v>
      </c>
      <c r="G1525" s="200" t="s">
        <v>688</v>
      </c>
    </row>
    <row r="1526" spans="1:7" hidden="1">
      <c r="A1526" s="199" t="s">
        <v>773</v>
      </c>
      <c r="B1526" s="200">
        <v>95000</v>
      </c>
      <c r="C1526" s="200">
        <v>0</v>
      </c>
      <c r="D1526" s="201" t="s">
        <v>440</v>
      </c>
      <c r="E1526" s="201" t="s">
        <v>638</v>
      </c>
      <c r="F1526" s="200" t="s">
        <v>652</v>
      </c>
      <c r="G1526" s="200" t="s">
        <v>688</v>
      </c>
    </row>
    <row r="1527" spans="1:7" hidden="1">
      <c r="A1527" s="199" t="s">
        <v>774</v>
      </c>
      <c r="B1527" s="200">
        <v>39900</v>
      </c>
      <c r="C1527" s="200">
        <v>0</v>
      </c>
      <c r="D1527" s="201" t="s">
        <v>442</v>
      </c>
      <c r="E1527" s="201" t="s">
        <v>638</v>
      </c>
      <c r="F1527" s="200" t="s">
        <v>396</v>
      </c>
      <c r="G1527" s="200" t="s">
        <v>688</v>
      </c>
    </row>
    <row r="1528" spans="1:7" hidden="1">
      <c r="A1528" s="199" t="s">
        <v>775</v>
      </c>
      <c r="B1528" s="200">
        <v>67700</v>
      </c>
      <c r="C1528" s="200">
        <v>0</v>
      </c>
      <c r="D1528" s="201" t="s">
        <v>440</v>
      </c>
      <c r="E1528" s="201" t="s">
        <v>638</v>
      </c>
      <c r="F1528" s="200" t="s">
        <v>652</v>
      </c>
      <c r="G1528" s="200" t="s">
        <v>688</v>
      </c>
    </row>
    <row r="1529" spans="1:7" hidden="1">
      <c r="A1529" s="199" t="s">
        <v>776</v>
      </c>
      <c r="B1529" s="200">
        <v>155400</v>
      </c>
      <c r="C1529" s="200">
        <v>0</v>
      </c>
      <c r="D1529" s="201" t="s">
        <v>440</v>
      </c>
      <c r="E1529" s="201" t="s">
        <v>638</v>
      </c>
      <c r="F1529" s="200" t="s">
        <v>652</v>
      </c>
      <c r="G1529" s="200" t="s">
        <v>688</v>
      </c>
    </row>
    <row r="1530" spans="1:7" hidden="1">
      <c r="A1530" s="199" t="s">
        <v>777</v>
      </c>
      <c r="B1530" s="200">
        <v>64300</v>
      </c>
      <c r="C1530" s="200">
        <v>0</v>
      </c>
      <c r="D1530" s="201" t="s">
        <v>440</v>
      </c>
      <c r="E1530" s="201" t="s">
        <v>638</v>
      </c>
      <c r="F1530" s="200" t="s">
        <v>652</v>
      </c>
      <c r="G1530" s="200" t="s">
        <v>688</v>
      </c>
    </row>
    <row r="1531" spans="1:7" hidden="1">
      <c r="A1531" s="199" t="s">
        <v>778</v>
      </c>
      <c r="B1531" s="200">
        <v>89200</v>
      </c>
      <c r="C1531" s="200">
        <v>0</v>
      </c>
      <c r="D1531" s="201" t="s">
        <v>440</v>
      </c>
      <c r="E1531" s="201" t="s">
        <v>638</v>
      </c>
      <c r="F1531" s="200" t="s">
        <v>652</v>
      </c>
      <c r="G1531" s="200" t="s">
        <v>688</v>
      </c>
    </row>
    <row r="1532" spans="1:7" hidden="1">
      <c r="A1532" s="199" t="s">
        <v>779</v>
      </c>
      <c r="B1532" s="200">
        <v>37500</v>
      </c>
      <c r="C1532" s="200">
        <v>0</v>
      </c>
      <c r="D1532" s="201" t="s">
        <v>442</v>
      </c>
      <c r="E1532" s="201" t="s">
        <v>638</v>
      </c>
      <c r="F1532" s="200" t="s">
        <v>396</v>
      </c>
      <c r="G1532" s="200" t="s">
        <v>688</v>
      </c>
    </row>
    <row r="1533" spans="1:7" hidden="1">
      <c r="A1533" s="199" t="s">
        <v>780</v>
      </c>
      <c r="B1533" s="200">
        <v>22700</v>
      </c>
      <c r="C1533" s="200">
        <v>0</v>
      </c>
      <c r="D1533" s="201" t="s">
        <v>440</v>
      </c>
      <c r="E1533" s="201" t="s">
        <v>638</v>
      </c>
      <c r="F1533" s="200" t="s">
        <v>652</v>
      </c>
      <c r="G1533" s="200" t="s">
        <v>688</v>
      </c>
    </row>
    <row r="1534" spans="1:7" hidden="1">
      <c r="A1534" s="199" t="s">
        <v>781</v>
      </c>
      <c r="B1534" s="200">
        <v>3400</v>
      </c>
      <c r="C1534" s="200">
        <v>0</v>
      </c>
      <c r="D1534" s="201" t="s">
        <v>442</v>
      </c>
      <c r="E1534" s="201" t="s">
        <v>638</v>
      </c>
      <c r="F1534" s="200" t="s">
        <v>396</v>
      </c>
      <c r="G1534" s="200" t="s">
        <v>688</v>
      </c>
    </row>
    <row r="1535" spans="1:7" hidden="1">
      <c r="A1535" s="199" t="s">
        <v>782</v>
      </c>
      <c r="B1535" s="200">
        <v>8100</v>
      </c>
      <c r="C1535" s="200">
        <v>0</v>
      </c>
      <c r="D1535" s="201" t="s">
        <v>440</v>
      </c>
      <c r="E1535" s="201" t="s">
        <v>638</v>
      </c>
      <c r="F1535" s="200" t="s">
        <v>652</v>
      </c>
      <c r="G1535" s="200" t="s">
        <v>688</v>
      </c>
    </row>
    <row r="1536" spans="1:7" hidden="1">
      <c r="A1536" s="199" t="s">
        <v>783</v>
      </c>
      <c r="B1536" s="200">
        <v>66600</v>
      </c>
      <c r="C1536" s="200">
        <v>0</v>
      </c>
      <c r="D1536" s="201" t="s">
        <v>440</v>
      </c>
      <c r="E1536" s="201" t="s">
        <v>638</v>
      </c>
      <c r="F1536" s="200" t="s">
        <v>652</v>
      </c>
      <c r="G1536" s="200" t="s">
        <v>688</v>
      </c>
    </row>
    <row r="1537" spans="1:7" hidden="1">
      <c r="A1537" s="199" t="s">
        <v>784</v>
      </c>
      <c r="B1537" s="200">
        <v>2200</v>
      </c>
      <c r="C1537" s="200">
        <v>0</v>
      </c>
      <c r="D1537" s="201" t="s">
        <v>442</v>
      </c>
      <c r="E1537" s="201" t="s">
        <v>638</v>
      </c>
      <c r="F1537" s="200" t="s">
        <v>396</v>
      </c>
      <c r="G1537" s="200" t="s">
        <v>688</v>
      </c>
    </row>
    <row r="1538" spans="1:7" hidden="1">
      <c r="A1538" s="199" t="s">
        <v>785</v>
      </c>
      <c r="B1538" s="200">
        <v>10600</v>
      </c>
      <c r="C1538" s="200">
        <v>0</v>
      </c>
      <c r="D1538" s="201" t="s">
        <v>440</v>
      </c>
      <c r="E1538" s="201" t="s">
        <v>638</v>
      </c>
      <c r="F1538" s="200" t="s">
        <v>652</v>
      </c>
      <c r="G1538" s="200" t="s">
        <v>688</v>
      </c>
    </row>
    <row r="1539" spans="1:7" hidden="1">
      <c r="A1539" s="199" t="s">
        <v>786</v>
      </c>
      <c r="B1539" s="200">
        <v>2800</v>
      </c>
      <c r="C1539" s="200">
        <v>0</v>
      </c>
      <c r="D1539" s="201" t="s">
        <v>442</v>
      </c>
      <c r="E1539" s="201" t="s">
        <v>638</v>
      </c>
      <c r="F1539" s="200" t="s">
        <v>396</v>
      </c>
      <c r="G1539" s="200" t="s">
        <v>688</v>
      </c>
    </row>
    <row r="1540" spans="1:7" hidden="1">
      <c r="A1540" s="199" t="s">
        <v>787</v>
      </c>
      <c r="B1540" s="200">
        <v>55800</v>
      </c>
      <c r="C1540" s="200">
        <v>0</v>
      </c>
      <c r="D1540" s="201" t="s">
        <v>440</v>
      </c>
      <c r="E1540" s="201" t="s">
        <v>638</v>
      </c>
      <c r="F1540" s="200" t="s">
        <v>652</v>
      </c>
      <c r="G1540" s="200" t="s">
        <v>688</v>
      </c>
    </row>
    <row r="1541" spans="1:7" hidden="1">
      <c r="A1541" s="199" t="s">
        <v>788</v>
      </c>
      <c r="B1541" s="200">
        <v>2600</v>
      </c>
      <c r="C1541" s="200">
        <v>0</v>
      </c>
      <c r="D1541" s="201" t="s">
        <v>442</v>
      </c>
      <c r="E1541" s="201" t="s">
        <v>638</v>
      </c>
      <c r="F1541" s="200" t="s">
        <v>396</v>
      </c>
      <c r="G1541" s="200" t="s">
        <v>688</v>
      </c>
    </row>
    <row r="1542" spans="1:7" hidden="1">
      <c r="A1542" s="199" t="s">
        <v>789</v>
      </c>
      <c r="B1542" s="200">
        <v>2700</v>
      </c>
      <c r="C1542" s="200">
        <v>0</v>
      </c>
      <c r="D1542" s="201" t="s">
        <v>442</v>
      </c>
      <c r="E1542" s="201" t="s">
        <v>638</v>
      </c>
      <c r="F1542" s="200" t="s">
        <v>396</v>
      </c>
      <c r="G1542" s="200" t="s">
        <v>688</v>
      </c>
    </row>
    <row r="1543" spans="1:7" hidden="1">
      <c r="A1543" s="199" t="s">
        <v>790</v>
      </c>
      <c r="B1543" s="200">
        <v>54400</v>
      </c>
      <c r="C1543" s="200">
        <v>0</v>
      </c>
      <c r="D1543" s="201" t="s">
        <v>440</v>
      </c>
      <c r="E1543" s="201" t="s">
        <v>638</v>
      </c>
      <c r="F1543" s="200" t="s">
        <v>652</v>
      </c>
      <c r="G1543" s="200" t="s">
        <v>688</v>
      </c>
    </row>
    <row r="1544" spans="1:7" hidden="1">
      <c r="A1544" s="199" t="s">
        <v>791</v>
      </c>
      <c r="B1544" s="200">
        <v>103700</v>
      </c>
      <c r="C1544" s="200">
        <v>0</v>
      </c>
      <c r="D1544" s="201" t="s">
        <v>440</v>
      </c>
      <c r="E1544" s="201" t="s">
        <v>638</v>
      </c>
      <c r="F1544" s="200" t="s">
        <v>652</v>
      </c>
      <c r="G1544" s="200" t="s">
        <v>688</v>
      </c>
    </row>
    <row r="1545" spans="1:7" hidden="1">
      <c r="A1545" s="199" t="s">
        <v>792</v>
      </c>
      <c r="B1545" s="200">
        <v>3100</v>
      </c>
      <c r="C1545" s="200">
        <v>0</v>
      </c>
      <c r="D1545" s="201" t="s">
        <v>442</v>
      </c>
      <c r="E1545" s="201" t="s">
        <v>638</v>
      </c>
      <c r="F1545" s="200" t="s">
        <v>396</v>
      </c>
      <c r="G1545" s="200" t="s">
        <v>688</v>
      </c>
    </row>
    <row r="1546" spans="1:7" hidden="1">
      <c r="A1546" s="199" t="s">
        <v>793</v>
      </c>
      <c r="B1546" s="200">
        <v>2100</v>
      </c>
      <c r="C1546" s="200">
        <v>0</v>
      </c>
      <c r="D1546" s="201" t="s">
        <v>442</v>
      </c>
      <c r="E1546" s="201" t="s">
        <v>638</v>
      </c>
      <c r="F1546" s="200" t="s">
        <v>396</v>
      </c>
      <c r="G1546" s="200" t="s">
        <v>688</v>
      </c>
    </row>
    <row r="1547" spans="1:7" hidden="1">
      <c r="A1547" s="199" t="s">
        <v>794</v>
      </c>
      <c r="B1547" s="200">
        <v>12500</v>
      </c>
      <c r="C1547" s="200">
        <v>0</v>
      </c>
      <c r="D1547" s="201" t="s">
        <v>440</v>
      </c>
      <c r="E1547" s="201" t="s">
        <v>638</v>
      </c>
      <c r="F1547" s="200" t="s">
        <v>652</v>
      </c>
      <c r="G1547" s="200" t="s">
        <v>688</v>
      </c>
    </row>
    <row r="1548" spans="1:7" hidden="1">
      <c r="A1548" s="199" t="s">
        <v>795</v>
      </c>
      <c r="B1548" s="200">
        <v>5700</v>
      </c>
      <c r="C1548" s="200">
        <v>0</v>
      </c>
      <c r="D1548" s="201" t="s">
        <v>442</v>
      </c>
      <c r="E1548" s="201" t="s">
        <v>638</v>
      </c>
      <c r="F1548" s="200" t="s">
        <v>396</v>
      </c>
      <c r="G1548" s="200" t="s">
        <v>688</v>
      </c>
    </row>
    <row r="1549" spans="1:7" hidden="1">
      <c r="A1549" s="199" t="s">
        <v>796</v>
      </c>
      <c r="B1549" s="200">
        <v>200000</v>
      </c>
      <c r="C1549" s="200">
        <v>0</v>
      </c>
      <c r="D1549" s="201" t="s">
        <v>440</v>
      </c>
      <c r="E1549" s="201" t="s">
        <v>638</v>
      </c>
      <c r="F1549" s="200" t="s">
        <v>652</v>
      </c>
      <c r="G1549" s="200" t="s">
        <v>688</v>
      </c>
    </row>
    <row r="1550" spans="1:7" hidden="1">
      <c r="A1550" s="199" t="s">
        <v>797</v>
      </c>
      <c r="B1550" s="200">
        <v>2100</v>
      </c>
      <c r="C1550" s="200">
        <v>0</v>
      </c>
      <c r="D1550" s="201" t="s">
        <v>442</v>
      </c>
      <c r="E1550" s="201" t="s">
        <v>638</v>
      </c>
      <c r="F1550" s="200" t="s">
        <v>396</v>
      </c>
      <c r="G1550" s="200" t="s">
        <v>688</v>
      </c>
    </row>
    <row r="1551" spans="1:7" hidden="1">
      <c r="A1551" s="199" t="s">
        <v>798</v>
      </c>
      <c r="B1551" s="200">
        <v>31400</v>
      </c>
      <c r="C1551" s="200">
        <v>0</v>
      </c>
      <c r="D1551" s="201" t="s">
        <v>440</v>
      </c>
      <c r="E1551" s="201" t="s">
        <v>638</v>
      </c>
      <c r="F1551" s="200" t="s">
        <v>652</v>
      </c>
      <c r="G1551" s="200" t="s">
        <v>688</v>
      </c>
    </row>
    <row r="1552" spans="1:7" hidden="1">
      <c r="A1552" s="199" t="s">
        <v>799</v>
      </c>
      <c r="B1552" s="200">
        <v>4900</v>
      </c>
      <c r="C1552" s="200">
        <v>0</v>
      </c>
      <c r="D1552" s="201" t="s">
        <v>442</v>
      </c>
      <c r="E1552" s="201" t="s">
        <v>638</v>
      </c>
      <c r="F1552" s="200" t="s">
        <v>396</v>
      </c>
      <c r="G1552" s="200" t="s">
        <v>688</v>
      </c>
    </row>
    <row r="1553" spans="1:7" hidden="1">
      <c r="A1553" s="199" t="s">
        <v>800</v>
      </c>
      <c r="B1553" s="200">
        <v>3100</v>
      </c>
      <c r="C1553" s="200">
        <v>0</v>
      </c>
      <c r="D1553" s="201" t="s">
        <v>442</v>
      </c>
      <c r="E1553" s="201" t="s">
        <v>638</v>
      </c>
      <c r="F1553" s="200" t="s">
        <v>396</v>
      </c>
      <c r="G1553" s="200" t="s">
        <v>688</v>
      </c>
    </row>
    <row r="1554" spans="1:7" hidden="1">
      <c r="A1554" s="199" t="s">
        <v>801</v>
      </c>
      <c r="B1554" s="200">
        <v>66500</v>
      </c>
      <c r="C1554" s="200">
        <v>0</v>
      </c>
      <c r="D1554" s="201" t="s">
        <v>440</v>
      </c>
      <c r="E1554" s="201" t="s">
        <v>638</v>
      </c>
      <c r="F1554" s="200" t="s">
        <v>652</v>
      </c>
      <c r="G1554" s="200" t="s">
        <v>688</v>
      </c>
    </row>
    <row r="1555" spans="1:7" hidden="1">
      <c r="A1555" s="199" t="s">
        <v>802</v>
      </c>
      <c r="B1555" s="200">
        <v>182300</v>
      </c>
      <c r="C1555" s="200">
        <v>0</v>
      </c>
      <c r="D1555" s="201" t="s">
        <v>440</v>
      </c>
      <c r="E1555" s="201" t="s">
        <v>638</v>
      </c>
      <c r="F1555" s="200" t="s">
        <v>652</v>
      </c>
      <c r="G1555" s="200" t="s">
        <v>688</v>
      </c>
    </row>
    <row r="1556" spans="1:7" hidden="1">
      <c r="A1556" s="199" t="s">
        <v>803</v>
      </c>
      <c r="B1556" s="200">
        <v>10100</v>
      </c>
      <c r="C1556" s="200">
        <v>0</v>
      </c>
      <c r="D1556" s="201" t="s">
        <v>440</v>
      </c>
      <c r="E1556" s="201" t="s">
        <v>638</v>
      </c>
      <c r="F1556" s="200" t="s">
        <v>652</v>
      </c>
      <c r="G1556" s="200" t="s">
        <v>688</v>
      </c>
    </row>
    <row r="1557" spans="1:7" hidden="1">
      <c r="A1557" s="199" t="s">
        <v>804</v>
      </c>
      <c r="B1557" s="200">
        <v>176300</v>
      </c>
      <c r="C1557" s="200">
        <v>0</v>
      </c>
      <c r="D1557" s="201" t="s">
        <v>440</v>
      </c>
      <c r="E1557" s="201" t="s">
        <v>638</v>
      </c>
      <c r="F1557" s="200" t="s">
        <v>652</v>
      </c>
      <c r="G1557" s="200" t="s">
        <v>688</v>
      </c>
    </row>
    <row r="1558" spans="1:7" hidden="1">
      <c r="A1558" s="199" t="s">
        <v>805</v>
      </c>
      <c r="B1558" s="200">
        <v>71900</v>
      </c>
      <c r="C1558" s="200">
        <v>0</v>
      </c>
      <c r="D1558" s="201" t="s">
        <v>440</v>
      </c>
      <c r="E1558" s="201" t="s">
        <v>638</v>
      </c>
      <c r="F1558" s="200" t="s">
        <v>652</v>
      </c>
      <c r="G1558" s="200" t="s">
        <v>688</v>
      </c>
    </row>
    <row r="1559" spans="1:7" hidden="1">
      <c r="A1559" s="199" t="s">
        <v>806</v>
      </c>
      <c r="B1559" s="200">
        <v>19010</v>
      </c>
      <c r="C1559" s="200">
        <v>0</v>
      </c>
      <c r="D1559" s="201" t="s">
        <v>440</v>
      </c>
      <c r="E1559" s="201" t="s">
        <v>638</v>
      </c>
      <c r="F1559" s="200" t="s">
        <v>652</v>
      </c>
      <c r="G1559" s="200" t="s">
        <v>688</v>
      </c>
    </row>
    <row r="1560" spans="1:7" hidden="1">
      <c r="A1560" s="199" t="s">
        <v>807</v>
      </c>
      <c r="B1560" s="200">
        <v>-34700</v>
      </c>
      <c r="C1560" s="200">
        <v>0</v>
      </c>
      <c r="D1560" s="201" t="s">
        <v>442</v>
      </c>
      <c r="E1560" s="201" t="s">
        <v>638</v>
      </c>
      <c r="F1560" s="200" t="s">
        <v>396</v>
      </c>
      <c r="G1560" s="200" t="s">
        <v>688</v>
      </c>
    </row>
    <row r="1561" spans="1:7" hidden="1">
      <c r="A1561" s="199" t="s">
        <v>808</v>
      </c>
      <c r="B1561" s="200">
        <v>78600</v>
      </c>
      <c r="C1561" s="200">
        <v>0</v>
      </c>
      <c r="D1561" s="201" t="s">
        <v>440</v>
      </c>
      <c r="E1561" s="201" t="s">
        <v>638</v>
      </c>
      <c r="F1561" s="200" t="s">
        <v>652</v>
      </c>
      <c r="G1561" s="200" t="s">
        <v>688</v>
      </c>
    </row>
    <row r="1562" spans="1:7" hidden="1">
      <c r="A1562" s="199" t="s">
        <v>809</v>
      </c>
      <c r="B1562" s="200">
        <v>126400</v>
      </c>
      <c r="C1562" s="200">
        <v>0</v>
      </c>
      <c r="D1562" s="201" t="s">
        <v>440</v>
      </c>
      <c r="E1562" s="201" t="s">
        <v>638</v>
      </c>
      <c r="F1562" s="200" t="s">
        <v>652</v>
      </c>
      <c r="G1562" s="200" t="s">
        <v>688</v>
      </c>
    </row>
    <row r="1563" spans="1:7" hidden="1">
      <c r="A1563" s="199" t="s">
        <v>810</v>
      </c>
      <c r="B1563" s="200">
        <v>28200</v>
      </c>
      <c r="C1563" s="200">
        <v>0</v>
      </c>
      <c r="D1563" s="201" t="s">
        <v>440</v>
      </c>
      <c r="E1563" s="201" t="s">
        <v>638</v>
      </c>
      <c r="F1563" s="200" t="s">
        <v>652</v>
      </c>
      <c r="G1563" s="200" t="s">
        <v>688</v>
      </c>
    </row>
    <row r="1564" spans="1:7" hidden="1">
      <c r="A1564" s="199" t="s">
        <v>811</v>
      </c>
      <c r="B1564" s="200">
        <v>24500</v>
      </c>
      <c r="C1564" s="200">
        <v>0</v>
      </c>
      <c r="D1564" s="201" t="s">
        <v>440</v>
      </c>
      <c r="E1564" s="201" t="s">
        <v>638</v>
      </c>
      <c r="F1564" s="200" t="s">
        <v>652</v>
      </c>
      <c r="G1564" s="200" t="s">
        <v>688</v>
      </c>
    </row>
    <row r="1565" spans="1:7" hidden="1">
      <c r="A1565" s="199" t="s">
        <v>812</v>
      </c>
      <c r="B1565" s="200">
        <v>80600</v>
      </c>
      <c r="C1565" s="200">
        <v>0</v>
      </c>
      <c r="D1565" s="201" t="s">
        <v>440</v>
      </c>
      <c r="E1565" s="201" t="s">
        <v>638</v>
      </c>
      <c r="F1565" s="200" t="s">
        <v>652</v>
      </c>
      <c r="G1565" s="200" t="s">
        <v>688</v>
      </c>
    </row>
    <row r="1566" spans="1:7" hidden="1">
      <c r="A1566" s="199" t="s">
        <v>813</v>
      </c>
      <c r="B1566" s="200">
        <v>22400</v>
      </c>
      <c r="C1566" s="200">
        <v>0</v>
      </c>
      <c r="D1566" s="201" t="s">
        <v>440</v>
      </c>
      <c r="E1566" s="201" t="s">
        <v>638</v>
      </c>
      <c r="F1566" s="200" t="s">
        <v>652</v>
      </c>
      <c r="G1566" s="200" t="s">
        <v>688</v>
      </c>
    </row>
    <row r="1567" spans="1:7" hidden="1">
      <c r="A1567" s="199" t="s">
        <v>814</v>
      </c>
      <c r="B1567" s="200">
        <v>90700</v>
      </c>
      <c r="C1567" s="200">
        <v>0</v>
      </c>
      <c r="D1567" s="201" t="s">
        <v>440</v>
      </c>
      <c r="E1567" s="201" t="s">
        <v>638</v>
      </c>
      <c r="F1567" s="200" t="s">
        <v>652</v>
      </c>
      <c r="G1567" s="200" t="s">
        <v>688</v>
      </c>
    </row>
    <row r="1568" spans="1:7" hidden="1">
      <c r="A1568" s="199" t="s">
        <v>815</v>
      </c>
      <c r="B1568" s="200">
        <v>7700</v>
      </c>
      <c r="C1568" s="200">
        <v>0</v>
      </c>
      <c r="D1568" s="201" t="s">
        <v>440</v>
      </c>
      <c r="E1568" s="201" t="s">
        <v>638</v>
      </c>
      <c r="F1568" s="200" t="s">
        <v>652</v>
      </c>
      <c r="G1568" s="200" t="s">
        <v>688</v>
      </c>
    </row>
    <row r="1569" spans="1:7" hidden="1">
      <c r="A1569" s="199" t="s">
        <v>816</v>
      </c>
      <c r="B1569" s="200">
        <v>-10200</v>
      </c>
      <c r="C1569" s="200">
        <v>0</v>
      </c>
      <c r="D1569" s="201" t="s">
        <v>442</v>
      </c>
      <c r="E1569" s="201" t="s">
        <v>638</v>
      </c>
      <c r="F1569" s="200" t="s">
        <v>396</v>
      </c>
      <c r="G1569" s="200" t="s">
        <v>688</v>
      </c>
    </row>
    <row r="1570" spans="1:7" hidden="1">
      <c r="A1570" s="199" t="s">
        <v>817</v>
      </c>
      <c r="B1570" s="200">
        <v>8000</v>
      </c>
      <c r="C1570" s="200">
        <v>0</v>
      </c>
      <c r="D1570" s="201" t="s">
        <v>440</v>
      </c>
      <c r="E1570" s="201" t="s">
        <v>638</v>
      </c>
      <c r="F1570" s="200" t="s">
        <v>652</v>
      </c>
      <c r="G1570" s="200" t="s">
        <v>688</v>
      </c>
    </row>
    <row r="1571" spans="1:7" hidden="1">
      <c r="A1571" s="199" t="s">
        <v>818</v>
      </c>
      <c r="B1571" s="200">
        <v>27600</v>
      </c>
      <c r="C1571" s="200">
        <v>0</v>
      </c>
      <c r="D1571" s="201" t="s">
        <v>440</v>
      </c>
      <c r="E1571" s="201" t="s">
        <v>638</v>
      </c>
      <c r="F1571" s="200" t="s">
        <v>652</v>
      </c>
      <c r="G1571" s="200" t="s">
        <v>688</v>
      </c>
    </row>
    <row r="1572" spans="1:7" hidden="1">
      <c r="A1572" s="199" t="s">
        <v>819</v>
      </c>
      <c r="B1572" s="200">
        <v>-13600</v>
      </c>
      <c r="C1572" s="200">
        <v>0</v>
      </c>
      <c r="D1572" s="201" t="s">
        <v>442</v>
      </c>
      <c r="E1572" s="201" t="s">
        <v>638</v>
      </c>
      <c r="F1572" s="200" t="s">
        <v>396</v>
      </c>
      <c r="G1572" s="200" t="s">
        <v>688</v>
      </c>
    </row>
    <row r="1573" spans="1:7" hidden="1">
      <c r="A1573" s="199" t="s">
        <v>820</v>
      </c>
      <c r="B1573" s="200">
        <v>-17000</v>
      </c>
      <c r="C1573" s="200">
        <v>0</v>
      </c>
      <c r="D1573" s="201" t="s">
        <v>442</v>
      </c>
      <c r="E1573" s="201" t="s">
        <v>638</v>
      </c>
      <c r="F1573" s="200" t="s">
        <v>396</v>
      </c>
      <c r="G1573" s="200" t="s">
        <v>688</v>
      </c>
    </row>
    <row r="1574" spans="1:7" hidden="1">
      <c r="A1574" s="199" t="s">
        <v>821</v>
      </c>
      <c r="B1574" s="200">
        <v>1700</v>
      </c>
      <c r="C1574" s="200">
        <v>0</v>
      </c>
      <c r="D1574" s="201" t="s">
        <v>440</v>
      </c>
      <c r="E1574" s="201" t="s">
        <v>638</v>
      </c>
      <c r="F1574" s="200" t="s">
        <v>652</v>
      </c>
      <c r="G1574" s="200" t="s">
        <v>688</v>
      </c>
    </row>
    <row r="1575" spans="1:7" hidden="1">
      <c r="A1575" s="199" t="s">
        <v>822</v>
      </c>
      <c r="B1575" s="200">
        <v>45400</v>
      </c>
      <c r="C1575" s="200">
        <v>0</v>
      </c>
      <c r="D1575" s="201" t="s">
        <v>440</v>
      </c>
      <c r="E1575" s="201" t="s">
        <v>638</v>
      </c>
      <c r="F1575" s="200" t="s">
        <v>652</v>
      </c>
      <c r="G1575" s="200" t="s">
        <v>688</v>
      </c>
    </row>
    <row r="1576" spans="1:7" hidden="1">
      <c r="A1576" s="199" t="s">
        <v>823</v>
      </c>
      <c r="B1576" s="200">
        <v>-53450</v>
      </c>
      <c r="C1576" s="200">
        <v>0</v>
      </c>
      <c r="D1576" s="201" t="s">
        <v>440</v>
      </c>
      <c r="E1576" s="201" t="s">
        <v>638</v>
      </c>
      <c r="F1576" s="200" t="s">
        <v>652</v>
      </c>
      <c r="G1576" s="200" t="s">
        <v>688</v>
      </c>
    </row>
    <row r="1577" spans="1:7" hidden="1">
      <c r="A1577" s="199" t="s">
        <v>824</v>
      </c>
      <c r="B1577" s="200">
        <v>-1400</v>
      </c>
      <c r="C1577" s="200">
        <v>0</v>
      </c>
      <c r="D1577" s="201" t="s">
        <v>442</v>
      </c>
      <c r="E1577" s="201" t="s">
        <v>638</v>
      </c>
      <c r="F1577" s="200" t="s">
        <v>396</v>
      </c>
      <c r="G1577" s="200" t="s">
        <v>688</v>
      </c>
    </row>
    <row r="1578" spans="1:7" hidden="1">
      <c r="A1578" s="199" t="s">
        <v>825</v>
      </c>
      <c r="B1578" s="200">
        <v>-89339</v>
      </c>
      <c r="C1578" s="200">
        <v>0</v>
      </c>
      <c r="D1578" s="201" t="s">
        <v>442</v>
      </c>
      <c r="E1578" s="201" t="s">
        <v>638</v>
      </c>
      <c r="F1578" s="200" t="s">
        <v>396</v>
      </c>
      <c r="G1578" s="200" t="s">
        <v>688</v>
      </c>
    </row>
    <row r="1579" spans="1:7" hidden="1">
      <c r="A1579" s="199" t="s">
        <v>826</v>
      </c>
      <c r="B1579" s="200">
        <v>-5100</v>
      </c>
      <c r="C1579" s="200">
        <v>0</v>
      </c>
      <c r="D1579" s="201" t="s">
        <v>442</v>
      </c>
      <c r="E1579" s="201" t="s">
        <v>638</v>
      </c>
      <c r="F1579" s="200" t="s">
        <v>396</v>
      </c>
      <c r="G1579" s="200" t="s">
        <v>688</v>
      </c>
    </row>
    <row r="1580" spans="1:7" hidden="1">
      <c r="A1580" s="199" t="s">
        <v>827</v>
      </c>
      <c r="B1580" s="200">
        <v>-2600</v>
      </c>
      <c r="C1580" s="200">
        <v>0</v>
      </c>
      <c r="D1580" s="201" t="s">
        <v>442</v>
      </c>
      <c r="E1580" s="201" t="s">
        <v>638</v>
      </c>
      <c r="F1580" s="200" t="s">
        <v>396</v>
      </c>
      <c r="G1580" s="200" t="s">
        <v>688</v>
      </c>
    </row>
    <row r="1581" spans="1:7" hidden="1">
      <c r="A1581" s="199" t="s">
        <v>828</v>
      </c>
      <c r="B1581" s="200">
        <v>44600</v>
      </c>
      <c r="C1581" s="200">
        <v>0</v>
      </c>
      <c r="D1581" s="201" t="s">
        <v>440</v>
      </c>
      <c r="E1581" s="201" t="s">
        <v>638</v>
      </c>
      <c r="F1581" s="200" t="s">
        <v>652</v>
      </c>
      <c r="G1581" s="200" t="s">
        <v>688</v>
      </c>
    </row>
    <row r="1582" spans="1:7" hidden="1">
      <c r="A1582" s="199" t="s">
        <v>829</v>
      </c>
      <c r="B1582" s="200">
        <v>41500</v>
      </c>
      <c r="C1582" s="200">
        <v>0</v>
      </c>
      <c r="D1582" s="201" t="s">
        <v>440</v>
      </c>
      <c r="E1582" s="201" t="s">
        <v>638</v>
      </c>
      <c r="F1582" s="200" t="s">
        <v>652</v>
      </c>
      <c r="G1582" s="200" t="s">
        <v>688</v>
      </c>
    </row>
    <row r="1583" spans="1:7" hidden="1">
      <c r="A1583" s="199" t="s">
        <v>830</v>
      </c>
      <c r="B1583" s="200">
        <v>7900</v>
      </c>
      <c r="C1583" s="200">
        <v>0</v>
      </c>
      <c r="D1583" s="201" t="s">
        <v>440</v>
      </c>
      <c r="E1583" s="201" t="s">
        <v>638</v>
      </c>
      <c r="F1583" s="200" t="s">
        <v>652</v>
      </c>
      <c r="G1583" s="200" t="s">
        <v>688</v>
      </c>
    </row>
    <row r="1584" spans="1:7" hidden="1">
      <c r="A1584" s="199" t="s">
        <v>831</v>
      </c>
      <c r="B1584" s="200">
        <v>117700</v>
      </c>
      <c r="C1584" s="200">
        <v>0</v>
      </c>
      <c r="D1584" s="201" t="s">
        <v>440</v>
      </c>
      <c r="E1584" s="201" t="s">
        <v>638</v>
      </c>
      <c r="F1584" s="200" t="s">
        <v>652</v>
      </c>
      <c r="G1584" s="200" t="s">
        <v>688</v>
      </c>
    </row>
    <row r="1585" spans="1:7" hidden="1">
      <c r="A1585" s="199" t="s">
        <v>832</v>
      </c>
      <c r="B1585" s="200">
        <v>34900</v>
      </c>
      <c r="C1585" s="200">
        <v>0</v>
      </c>
      <c r="D1585" s="201" t="s">
        <v>440</v>
      </c>
      <c r="E1585" s="201" t="s">
        <v>638</v>
      </c>
      <c r="F1585" s="200" t="s">
        <v>652</v>
      </c>
      <c r="G1585" s="200" t="s">
        <v>688</v>
      </c>
    </row>
    <row r="1586" spans="1:7" hidden="1">
      <c r="A1586" s="199" t="s">
        <v>833</v>
      </c>
      <c r="B1586" s="200">
        <v>6600</v>
      </c>
      <c r="C1586" s="200">
        <v>0</v>
      </c>
      <c r="D1586" s="201" t="s">
        <v>440</v>
      </c>
      <c r="E1586" s="201" t="s">
        <v>638</v>
      </c>
      <c r="F1586" s="200" t="s">
        <v>652</v>
      </c>
      <c r="G1586" s="200" t="s">
        <v>688</v>
      </c>
    </row>
    <row r="1587" spans="1:7" hidden="1">
      <c r="A1587" s="199" t="s">
        <v>834</v>
      </c>
      <c r="B1587" s="200">
        <v>7500</v>
      </c>
      <c r="C1587" s="200">
        <v>0</v>
      </c>
      <c r="D1587" s="201" t="s">
        <v>440</v>
      </c>
      <c r="E1587" s="201" t="s">
        <v>638</v>
      </c>
      <c r="F1587" s="200" t="s">
        <v>652</v>
      </c>
      <c r="G1587" s="200" t="s">
        <v>688</v>
      </c>
    </row>
    <row r="1588" spans="1:7" hidden="1">
      <c r="A1588" s="199" t="s">
        <v>835</v>
      </c>
      <c r="B1588" s="200">
        <v>37100</v>
      </c>
      <c r="C1588" s="200">
        <v>0</v>
      </c>
      <c r="D1588" s="201" t="s">
        <v>440</v>
      </c>
      <c r="E1588" s="201" t="s">
        <v>638</v>
      </c>
      <c r="F1588" s="200" t="s">
        <v>652</v>
      </c>
      <c r="G1588" s="200" t="s">
        <v>688</v>
      </c>
    </row>
    <row r="1589" spans="1:7" hidden="1">
      <c r="A1589" s="199" t="s">
        <v>836</v>
      </c>
      <c r="B1589" s="200">
        <v>2000</v>
      </c>
      <c r="C1589" s="200">
        <v>0</v>
      </c>
      <c r="D1589" s="201" t="s">
        <v>442</v>
      </c>
      <c r="E1589" s="201" t="s">
        <v>638</v>
      </c>
      <c r="F1589" s="200" t="s">
        <v>396</v>
      </c>
      <c r="G1589" s="200" t="s">
        <v>688</v>
      </c>
    </row>
    <row r="1590" spans="1:7" hidden="1">
      <c r="A1590" s="199" t="s">
        <v>837</v>
      </c>
      <c r="B1590" s="200">
        <v>10000</v>
      </c>
      <c r="C1590" s="200">
        <v>0</v>
      </c>
      <c r="D1590" s="201" t="s">
        <v>440</v>
      </c>
      <c r="E1590" s="201" t="s">
        <v>638</v>
      </c>
      <c r="F1590" s="200" t="s">
        <v>652</v>
      </c>
      <c r="G1590" s="200" t="s">
        <v>688</v>
      </c>
    </row>
    <row r="1591" spans="1:7" hidden="1">
      <c r="A1591" s="199" t="s">
        <v>838</v>
      </c>
      <c r="B1591" s="200">
        <v>5000</v>
      </c>
      <c r="C1591" s="200">
        <v>0</v>
      </c>
      <c r="D1591" s="201" t="s">
        <v>440</v>
      </c>
      <c r="E1591" s="201" t="s">
        <v>638</v>
      </c>
      <c r="F1591" s="200" t="s">
        <v>652</v>
      </c>
      <c r="G1591" s="200" t="s">
        <v>688</v>
      </c>
    </row>
    <row r="1592" spans="1:7" hidden="1">
      <c r="A1592" s="199" t="s">
        <v>839</v>
      </c>
      <c r="B1592" s="200">
        <v>4000</v>
      </c>
      <c r="C1592" s="200">
        <v>0</v>
      </c>
      <c r="D1592" s="201" t="s">
        <v>442</v>
      </c>
      <c r="E1592" s="201" t="s">
        <v>638</v>
      </c>
      <c r="F1592" s="200" t="s">
        <v>396</v>
      </c>
      <c r="G1592" s="200" t="s">
        <v>688</v>
      </c>
    </row>
    <row r="1593" spans="1:7" hidden="1">
      <c r="A1593" s="199" t="s">
        <v>840</v>
      </c>
      <c r="B1593" s="200">
        <v>3500</v>
      </c>
      <c r="C1593" s="200">
        <v>0</v>
      </c>
      <c r="D1593" s="201" t="s">
        <v>442</v>
      </c>
      <c r="E1593" s="201" t="s">
        <v>638</v>
      </c>
      <c r="F1593" s="200" t="s">
        <v>396</v>
      </c>
      <c r="G1593" s="200" t="s">
        <v>688</v>
      </c>
    </row>
    <row r="1594" spans="1:7" hidden="1">
      <c r="A1594" s="199" t="s">
        <v>841</v>
      </c>
      <c r="B1594" s="200">
        <v>2200</v>
      </c>
      <c r="C1594" s="200">
        <v>0</v>
      </c>
      <c r="D1594" s="201" t="s">
        <v>442</v>
      </c>
      <c r="E1594" s="201" t="s">
        <v>638</v>
      </c>
      <c r="F1594" s="200" t="s">
        <v>396</v>
      </c>
      <c r="G1594" s="200" t="s">
        <v>688</v>
      </c>
    </row>
    <row r="1595" spans="1:7" hidden="1">
      <c r="A1595" s="199" t="s">
        <v>841</v>
      </c>
      <c r="B1595" s="200">
        <v>37600</v>
      </c>
      <c r="C1595" s="200">
        <v>0</v>
      </c>
      <c r="D1595" s="201" t="s">
        <v>474</v>
      </c>
      <c r="E1595" s="201" t="s">
        <v>638</v>
      </c>
      <c r="F1595" s="200" t="s">
        <v>396</v>
      </c>
      <c r="G1595" s="200" t="s">
        <v>688</v>
      </c>
    </row>
    <row r="1596" spans="1:7" hidden="1">
      <c r="A1596" s="199" t="s">
        <v>842</v>
      </c>
      <c r="B1596" s="200">
        <v>26400</v>
      </c>
      <c r="C1596" s="200">
        <v>0</v>
      </c>
      <c r="D1596" s="201" t="s">
        <v>440</v>
      </c>
      <c r="E1596" s="201" t="s">
        <v>638</v>
      </c>
      <c r="F1596" s="200" t="s">
        <v>652</v>
      </c>
      <c r="G1596" s="200" t="s">
        <v>688</v>
      </c>
    </row>
    <row r="1597" spans="1:7" hidden="1">
      <c r="A1597" s="199" t="s">
        <v>843</v>
      </c>
      <c r="B1597" s="200">
        <v>2500</v>
      </c>
      <c r="C1597" s="200">
        <v>0</v>
      </c>
      <c r="D1597" s="201" t="s">
        <v>442</v>
      </c>
      <c r="E1597" s="201" t="s">
        <v>638</v>
      </c>
      <c r="F1597" s="200" t="s">
        <v>396</v>
      </c>
      <c r="G1597" s="200" t="s">
        <v>688</v>
      </c>
    </row>
    <row r="1598" spans="1:7" hidden="1">
      <c r="A1598" s="199" t="s">
        <v>844</v>
      </c>
      <c r="B1598" s="200">
        <v>3300</v>
      </c>
      <c r="C1598" s="200">
        <v>0</v>
      </c>
      <c r="D1598" s="201" t="s">
        <v>442</v>
      </c>
      <c r="E1598" s="201" t="s">
        <v>638</v>
      </c>
      <c r="F1598" s="200" t="s">
        <v>396</v>
      </c>
      <c r="G1598" s="200" t="s">
        <v>688</v>
      </c>
    </row>
    <row r="1599" spans="1:7" hidden="1">
      <c r="A1599" s="199" t="s">
        <v>845</v>
      </c>
      <c r="B1599" s="200">
        <v>35900</v>
      </c>
      <c r="C1599" s="200">
        <v>0</v>
      </c>
      <c r="D1599" s="201" t="s">
        <v>440</v>
      </c>
      <c r="E1599" s="201" t="s">
        <v>638</v>
      </c>
      <c r="F1599" s="200" t="s">
        <v>652</v>
      </c>
      <c r="G1599" s="200" t="s">
        <v>688</v>
      </c>
    </row>
    <row r="1600" spans="1:7" hidden="1">
      <c r="A1600" s="199" t="s">
        <v>846</v>
      </c>
      <c r="B1600" s="200">
        <v>32700</v>
      </c>
      <c r="C1600" s="200">
        <v>0</v>
      </c>
      <c r="D1600" s="201" t="s">
        <v>440</v>
      </c>
      <c r="E1600" s="201" t="s">
        <v>638</v>
      </c>
      <c r="F1600" s="200" t="s">
        <v>652</v>
      </c>
      <c r="G1600" s="200" t="s">
        <v>688</v>
      </c>
    </row>
    <row r="1601" spans="1:7" hidden="1">
      <c r="A1601" s="199" t="s">
        <v>847</v>
      </c>
      <c r="B1601" s="200">
        <v>17700</v>
      </c>
      <c r="C1601" s="200">
        <v>0</v>
      </c>
      <c r="D1601" s="201" t="s">
        <v>440</v>
      </c>
      <c r="E1601" s="201" t="s">
        <v>638</v>
      </c>
      <c r="F1601" s="200" t="s">
        <v>652</v>
      </c>
      <c r="G1601" s="200" t="s">
        <v>688</v>
      </c>
    </row>
    <row r="1602" spans="1:7" hidden="1">
      <c r="A1602" s="199" t="s">
        <v>848</v>
      </c>
      <c r="B1602" s="200">
        <v>44000</v>
      </c>
      <c r="C1602" s="200">
        <v>0</v>
      </c>
      <c r="D1602" s="201" t="s">
        <v>440</v>
      </c>
      <c r="E1602" s="201" t="s">
        <v>638</v>
      </c>
      <c r="F1602" s="200" t="s">
        <v>652</v>
      </c>
      <c r="G1602" s="200" t="s">
        <v>688</v>
      </c>
    </row>
    <row r="1603" spans="1:7" hidden="1">
      <c r="A1603" s="199" t="s">
        <v>849</v>
      </c>
      <c r="B1603" s="200">
        <v>-95900</v>
      </c>
      <c r="C1603" s="200">
        <v>0</v>
      </c>
      <c r="D1603" s="201" t="s">
        <v>440</v>
      </c>
      <c r="E1603" s="201" t="s">
        <v>638</v>
      </c>
      <c r="F1603" s="200" t="s">
        <v>409</v>
      </c>
      <c r="G1603" s="200" t="s">
        <v>688</v>
      </c>
    </row>
    <row r="1604" spans="1:7" hidden="1">
      <c r="A1604" s="199" t="s">
        <v>850</v>
      </c>
      <c r="B1604" s="200">
        <v>24800</v>
      </c>
      <c r="C1604" s="200">
        <v>0</v>
      </c>
      <c r="D1604" s="201" t="s">
        <v>440</v>
      </c>
      <c r="E1604" s="201" t="s">
        <v>638</v>
      </c>
      <c r="F1604" s="200" t="s">
        <v>652</v>
      </c>
      <c r="G1604" s="200" t="s">
        <v>688</v>
      </c>
    </row>
    <row r="1605" spans="1:7" hidden="1">
      <c r="A1605" s="199" t="s">
        <v>851</v>
      </c>
      <c r="B1605" s="200">
        <v>3200</v>
      </c>
      <c r="C1605" s="200">
        <v>0</v>
      </c>
      <c r="D1605" s="201" t="s">
        <v>442</v>
      </c>
      <c r="E1605" s="201" t="s">
        <v>638</v>
      </c>
      <c r="F1605" s="200" t="s">
        <v>396</v>
      </c>
      <c r="G1605" s="200" t="s">
        <v>688</v>
      </c>
    </row>
    <row r="1606" spans="1:7" hidden="1">
      <c r="A1606" s="199" t="s">
        <v>852</v>
      </c>
      <c r="B1606" s="200">
        <v>7900</v>
      </c>
      <c r="C1606" s="200">
        <v>0</v>
      </c>
      <c r="D1606" s="201" t="s">
        <v>440</v>
      </c>
      <c r="E1606" s="201" t="s">
        <v>638</v>
      </c>
      <c r="F1606" s="200" t="s">
        <v>652</v>
      </c>
      <c r="G1606" s="200" t="s">
        <v>688</v>
      </c>
    </row>
    <row r="1607" spans="1:7" hidden="1">
      <c r="A1607" s="199" t="s">
        <v>853</v>
      </c>
      <c r="B1607" s="200">
        <v>7400</v>
      </c>
      <c r="C1607" s="200">
        <v>0</v>
      </c>
      <c r="D1607" s="201" t="s">
        <v>440</v>
      </c>
      <c r="E1607" s="201" t="s">
        <v>638</v>
      </c>
      <c r="F1607" s="200" t="s">
        <v>652</v>
      </c>
      <c r="G1607" s="200" t="s">
        <v>688</v>
      </c>
    </row>
    <row r="1608" spans="1:7" hidden="1">
      <c r="A1608" s="199" t="s">
        <v>854</v>
      </c>
      <c r="B1608" s="200">
        <v>1600</v>
      </c>
      <c r="C1608" s="200">
        <v>0</v>
      </c>
      <c r="D1608" s="201" t="s">
        <v>442</v>
      </c>
      <c r="E1608" s="201" t="s">
        <v>638</v>
      </c>
      <c r="F1608" s="200" t="s">
        <v>396</v>
      </c>
      <c r="G1608" s="200" t="s">
        <v>688</v>
      </c>
    </row>
    <row r="1609" spans="1:7" hidden="1">
      <c r="A1609" s="199" t="s">
        <v>855</v>
      </c>
      <c r="B1609" s="200">
        <v>27600</v>
      </c>
      <c r="C1609" s="200">
        <v>0</v>
      </c>
      <c r="D1609" s="201" t="s">
        <v>440</v>
      </c>
      <c r="E1609" s="201" t="s">
        <v>638</v>
      </c>
      <c r="F1609" s="200" t="s">
        <v>652</v>
      </c>
      <c r="G1609" s="200" t="s">
        <v>688</v>
      </c>
    </row>
    <row r="1610" spans="1:7" hidden="1">
      <c r="A1610" s="199" t="s">
        <v>856</v>
      </c>
      <c r="B1610" s="200">
        <v>33000</v>
      </c>
      <c r="C1610" s="200">
        <v>0</v>
      </c>
      <c r="D1610" s="201" t="s">
        <v>440</v>
      </c>
      <c r="E1610" s="201" t="s">
        <v>638</v>
      </c>
      <c r="F1610" s="200" t="s">
        <v>652</v>
      </c>
      <c r="G1610" s="200" t="s">
        <v>688</v>
      </c>
    </row>
    <row r="1611" spans="1:7" hidden="1">
      <c r="A1611" s="199" t="s">
        <v>857</v>
      </c>
      <c r="B1611" s="200">
        <v>43000</v>
      </c>
      <c r="C1611" s="200">
        <v>0</v>
      </c>
      <c r="D1611" s="201" t="s">
        <v>440</v>
      </c>
      <c r="E1611" s="201" t="s">
        <v>638</v>
      </c>
      <c r="F1611" s="200" t="s">
        <v>652</v>
      </c>
      <c r="G1611" s="200" t="s">
        <v>688</v>
      </c>
    </row>
    <row r="1612" spans="1:7" hidden="1">
      <c r="A1612" s="199" t="s">
        <v>858</v>
      </c>
      <c r="B1612" s="200">
        <v>-10800</v>
      </c>
      <c r="C1612" s="200">
        <v>0</v>
      </c>
      <c r="D1612" s="201" t="s">
        <v>440</v>
      </c>
      <c r="E1612" s="201" t="s">
        <v>638</v>
      </c>
      <c r="F1612" s="200" t="s">
        <v>652</v>
      </c>
      <c r="G1612" s="200" t="s">
        <v>688</v>
      </c>
    </row>
    <row r="1613" spans="1:7" hidden="1">
      <c r="A1613" s="199" t="s">
        <v>859</v>
      </c>
      <c r="B1613" s="200">
        <v>-12800</v>
      </c>
      <c r="C1613" s="200">
        <v>0</v>
      </c>
      <c r="D1613" s="201" t="s">
        <v>440</v>
      </c>
      <c r="E1613" s="201" t="s">
        <v>638</v>
      </c>
      <c r="F1613" s="200" t="s">
        <v>652</v>
      </c>
      <c r="G1613" s="200" t="s">
        <v>688</v>
      </c>
    </row>
    <row r="1614" spans="1:7" hidden="1">
      <c r="A1614" s="199" t="s">
        <v>860</v>
      </c>
      <c r="B1614" s="200">
        <v>-8400</v>
      </c>
      <c r="C1614" s="200">
        <v>0</v>
      </c>
      <c r="D1614" s="201" t="s">
        <v>440</v>
      </c>
      <c r="E1614" s="201" t="s">
        <v>638</v>
      </c>
      <c r="F1614" s="200" t="s">
        <v>409</v>
      </c>
      <c r="G1614" s="200" t="s">
        <v>688</v>
      </c>
    </row>
    <row r="1615" spans="1:7" hidden="1">
      <c r="A1615" s="199" t="s">
        <v>861</v>
      </c>
      <c r="B1615" s="200">
        <v>22100</v>
      </c>
      <c r="C1615" s="200">
        <v>0</v>
      </c>
      <c r="D1615" s="201" t="s">
        <v>440</v>
      </c>
      <c r="E1615" s="201" t="s">
        <v>638</v>
      </c>
      <c r="F1615" s="200" t="s">
        <v>652</v>
      </c>
      <c r="G1615" s="200" t="s">
        <v>688</v>
      </c>
    </row>
    <row r="1616" spans="1:7" hidden="1">
      <c r="A1616" s="199" t="s">
        <v>862</v>
      </c>
      <c r="B1616" s="200">
        <v>35500</v>
      </c>
      <c r="C1616" s="200">
        <v>0</v>
      </c>
      <c r="D1616" s="201" t="s">
        <v>440</v>
      </c>
      <c r="E1616" s="201" t="s">
        <v>638</v>
      </c>
      <c r="F1616" s="200" t="s">
        <v>409</v>
      </c>
      <c r="G1616" s="200" t="s">
        <v>688</v>
      </c>
    </row>
    <row r="1617" spans="1:7" hidden="1">
      <c r="A1617" s="199" t="s">
        <v>863</v>
      </c>
      <c r="B1617" s="200">
        <v>-7200</v>
      </c>
      <c r="C1617" s="200">
        <v>0</v>
      </c>
      <c r="D1617" s="201" t="s">
        <v>442</v>
      </c>
      <c r="E1617" s="201" t="s">
        <v>638</v>
      </c>
      <c r="F1617" s="200" t="s">
        <v>396</v>
      </c>
      <c r="G1617" s="200" t="s">
        <v>688</v>
      </c>
    </row>
    <row r="1618" spans="1:7" hidden="1">
      <c r="A1618" s="199" t="s">
        <v>864</v>
      </c>
      <c r="B1618" s="200">
        <v>-5000</v>
      </c>
      <c r="C1618" s="200">
        <v>0</v>
      </c>
      <c r="D1618" s="201" t="s">
        <v>442</v>
      </c>
      <c r="E1618" s="201" t="s">
        <v>638</v>
      </c>
      <c r="F1618" s="200" t="s">
        <v>396</v>
      </c>
      <c r="G1618" s="200" t="s">
        <v>688</v>
      </c>
    </row>
    <row r="1619" spans="1:7" hidden="1">
      <c r="A1619" s="199" t="s">
        <v>865</v>
      </c>
      <c r="B1619" s="200">
        <v>-16444</v>
      </c>
      <c r="C1619" s="200">
        <v>0</v>
      </c>
      <c r="D1619" s="201" t="s">
        <v>442</v>
      </c>
      <c r="E1619" s="201" t="s">
        <v>638</v>
      </c>
      <c r="F1619" s="200" t="s">
        <v>396</v>
      </c>
      <c r="G1619" s="200" t="s">
        <v>688</v>
      </c>
    </row>
    <row r="1620" spans="1:7" hidden="1">
      <c r="A1620" s="199" t="s">
        <v>865</v>
      </c>
      <c r="B1620" s="200">
        <v>-28500</v>
      </c>
      <c r="C1620" s="200">
        <v>0</v>
      </c>
      <c r="D1620" s="201" t="s">
        <v>474</v>
      </c>
      <c r="E1620" s="201" t="s">
        <v>638</v>
      </c>
      <c r="F1620" s="200" t="s">
        <v>396</v>
      </c>
      <c r="G1620" s="200" t="s">
        <v>688</v>
      </c>
    </row>
    <row r="1621" spans="1:7" hidden="1">
      <c r="A1621" s="199" t="s">
        <v>866</v>
      </c>
      <c r="B1621" s="200">
        <v>-3300</v>
      </c>
      <c r="C1621" s="200">
        <v>0</v>
      </c>
      <c r="D1621" s="201" t="s">
        <v>442</v>
      </c>
      <c r="E1621" s="201" t="s">
        <v>638</v>
      </c>
      <c r="F1621" s="200" t="s">
        <v>396</v>
      </c>
      <c r="G1621" s="200" t="s">
        <v>688</v>
      </c>
    </row>
    <row r="1622" spans="1:7" hidden="1">
      <c r="A1622" s="199" t="s">
        <v>866</v>
      </c>
      <c r="B1622" s="200">
        <v>-27200</v>
      </c>
      <c r="C1622" s="200">
        <v>0</v>
      </c>
      <c r="D1622" s="201" t="s">
        <v>474</v>
      </c>
      <c r="E1622" s="201" t="s">
        <v>638</v>
      </c>
      <c r="F1622" s="200" t="s">
        <v>396</v>
      </c>
      <c r="G1622" s="200" t="s">
        <v>688</v>
      </c>
    </row>
    <row r="1623" spans="1:7" hidden="1">
      <c r="A1623" s="199" t="s">
        <v>867</v>
      </c>
      <c r="B1623" s="200">
        <v>25048</v>
      </c>
      <c r="C1623" s="200">
        <v>0</v>
      </c>
      <c r="D1623" s="201" t="s">
        <v>440</v>
      </c>
      <c r="E1623" s="201" t="s">
        <v>638</v>
      </c>
      <c r="F1623" s="200" t="s">
        <v>652</v>
      </c>
      <c r="G1623" s="200" t="s">
        <v>688</v>
      </c>
    </row>
    <row r="1624" spans="1:7" hidden="1">
      <c r="A1624" s="199" t="s">
        <v>868</v>
      </c>
      <c r="B1624" s="200">
        <v>26700</v>
      </c>
      <c r="C1624" s="200">
        <v>0</v>
      </c>
      <c r="D1624" s="201" t="s">
        <v>440</v>
      </c>
      <c r="E1624" s="201" t="s">
        <v>638</v>
      </c>
      <c r="F1624" s="200" t="s">
        <v>652</v>
      </c>
      <c r="G1624" s="200" t="s">
        <v>688</v>
      </c>
    </row>
    <row r="1625" spans="1:7" hidden="1">
      <c r="A1625" s="199" t="s">
        <v>869</v>
      </c>
      <c r="B1625" s="200">
        <v>26400</v>
      </c>
      <c r="C1625" s="200">
        <v>0</v>
      </c>
      <c r="D1625" s="201" t="s">
        <v>440</v>
      </c>
      <c r="E1625" s="201" t="s">
        <v>638</v>
      </c>
      <c r="F1625" s="200" t="s">
        <v>652</v>
      </c>
      <c r="G1625" s="200" t="s">
        <v>688</v>
      </c>
    </row>
    <row r="1626" spans="1:7" hidden="1">
      <c r="A1626" s="199" t="s">
        <v>870</v>
      </c>
      <c r="B1626" s="200">
        <v>-11100</v>
      </c>
      <c r="C1626" s="200">
        <v>0</v>
      </c>
      <c r="D1626" s="201" t="s">
        <v>442</v>
      </c>
      <c r="E1626" s="201" t="s">
        <v>638</v>
      </c>
      <c r="F1626" s="200" t="s">
        <v>396</v>
      </c>
      <c r="G1626" s="200" t="s">
        <v>688</v>
      </c>
    </row>
    <row r="1627" spans="1:7" hidden="1">
      <c r="A1627" s="199" t="s">
        <v>871</v>
      </c>
      <c r="B1627" s="200">
        <v>16500</v>
      </c>
      <c r="C1627" s="200">
        <v>0</v>
      </c>
      <c r="D1627" s="201" t="s">
        <v>440</v>
      </c>
      <c r="E1627" s="201" t="s">
        <v>638</v>
      </c>
      <c r="F1627" s="200" t="s">
        <v>409</v>
      </c>
      <c r="G1627" s="200" t="s">
        <v>688</v>
      </c>
    </row>
    <row r="1628" spans="1:7" hidden="1">
      <c r="A1628" s="199" t="s">
        <v>872</v>
      </c>
      <c r="B1628" s="200">
        <v>33200</v>
      </c>
      <c r="C1628" s="200">
        <v>0</v>
      </c>
      <c r="D1628" s="201" t="s">
        <v>440</v>
      </c>
      <c r="E1628" s="201" t="s">
        <v>638</v>
      </c>
      <c r="F1628" s="200" t="s">
        <v>652</v>
      </c>
      <c r="G1628" s="200" t="s">
        <v>688</v>
      </c>
    </row>
    <row r="1629" spans="1:7" hidden="1">
      <c r="A1629" s="199" t="s">
        <v>873</v>
      </c>
      <c r="B1629" s="200">
        <v>7200</v>
      </c>
      <c r="C1629" s="200">
        <v>0</v>
      </c>
      <c r="D1629" s="201" t="s">
        <v>442</v>
      </c>
      <c r="E1629" s="201" t="s">
        <v>638</v>
      </c>
      <c r="F1629" s="200" t="s">
        <v>396</v>
      </c>
      <c r="G1629" s="200" t="s">
        <v>688</v>
      </c>
    </row>
    <row r="1630" spans="1:7" hidden="1">
      <c r="A1630" s="199" t="s">
        <v>874</v>
      </c>
      <c r="B1630" s="200">
        <v>-45500</v>
      </c>
      <c r="C1630" s="200">
        <v>0</v>
      </c>
      <c r="D1630" s="201" t="s">
        <v>474</v>
      </c>
      <c r="E1630" s="201" t="s">
        <v>638</v>
      </c>
      <c r="F1630" s="200" t="s">
        <v>396</v>
      </c>
      <c r="G1630" s="200" t="s">
        <v>688</v>
      </c>
    </row>
    <row r="1631" spans="1:7" hidden="1">
      <c r="A1631" s="199" t="s">
        <v>875</v>
      </c>
      <c r="B1631" s="200">
        <v>6500</v>
      </c>
      <c r="C1631" s="200">
        <v>0</v>
      </c>
      <c r="D1631" s="201" t="s">
        <v>442</v>
      </c>
      <c r="E1631" s="201" t="s">
        <v>638</v>
      </c>
      <c r="F1631" s="200" t="s">
        <v>396</v>
      </c>
      <c r="G1631" s="200" t="s">
        <v>688</v>
      </c>
    </row>
    <row r="1632" spans="1:7" hidden="1">
      <c r="A1632" s="199" t="s">
        <v>876</v>
      </c>
      <c r="B1632" s="200">
        <v>138100</v>
      </c>
      <c r="C1632" s="200">
        <v>0</v>
      </c>
      <c r="D1632" s="201" t="s">
        <v>440</v>
      </c>
      <c r="E1632" s="201" t="s">
        <v>638</v>
      </c>
      <c r="F1632" s="200" t="s">
        <v>652</v>
      </c>
      <c r="G1632" s="200" t="s">
        <v>688</v>
      </c>
    </row>
    <row r="1633" spans="1:7" hidden="1">
      <c r="A1633" s="199" t="s">
        <v>877</v>
      </c>
      <c r="B1633" s="200">
        <v>3200</v>
      </c>
      <c r="C1633" s="200">
        <v>0</v>
      </c>
      <c r="D1633" s="201" t="s">
        <v>442</v>
      </c>
      <c r="E1633" s="201" t="s">
        <v>638</v>
      </c>
      <c r="F1633" s="200" t="s">
        <v>396</v>
      </c>
      <c r="G1633" s="200" t="s">
        <v>688</v>
      </c>
    </row>
    <row r="1634" spans="1:7" hidden="1">
      <c r="A1634" s="199" t="s">
        <v>878</v>
      </c>
      <c r="B1634" s="200">
        <v>77200</v>
      </c>
      <c r="C1634" s="200">
        <v>0</v>
      </c>
      <c r="D1634" s="201" t="s">
        <v>440</v>
      </c>
      <c r="E1634" s="201" t="s">
        <v>638</v>
      </c>
      <c r="F1634" s="200" t="s">
        <v>652</v>
      </c>
      <c r="G1634" s="200" t="s">
        <v>688</v>
      </c>
    </row>
    <row r="1635" spans="1:7" hidden="1">
      <c r="A1635" s="199" t="s">
        <v>879</v>
      </c>
      <c r="B1635" s="200">
        <v>8000</v>
      </c>
      <c r="C1635" s="200">
        <v>0</v>
      </c>
      <c r="D1635" s="201" t="s">
        <v>442</v>
      </c>
      <c r="E1635" s="201" t="s">
        <v>638</v>
      </c>
      <c r="F1635" s="200" t="s">
        <v>396</v>
      </c>
      <c r="G1635" s="200" t="s">
        <v>688</v>
      </c>
    </row>
    <row r="1636" spans="1:7" hidden="1">
      <c r="A1636" s="199" t="s">
        <v>880</v>
      </c>
      <c r="B1636" s="200">
        <v>48700</v>
      </c>
      <c r="C1636" s="200">
        <v>0</v>
      </c>
      <c r="D1636" s="201" t="s">
        <v>440</v>
      </c>
      <c r="E1636" s="201" t="s">
        <v>638</v>
      </c>
      <c r="F1636" s="200" t="s">
        <v>652</v>
      </c>
      <c r="G1636" s="200" t="s">
        <v>688</v>
      </c>
    </row>
    <row r="1637" spans="1:7" hidden="1">
      <c r="A1637" s="199" t="s">
        <v>881</v>
      </c>
      <c r="B1637" s="200">
        <v>101500</v>
      </c>
      <c r="C1637" s="200">
        <v>0</v>
      </c>
      <c r="D1637" s="201" t="s">
        <v>440</v>
      </c>
      <c r="E1637" s="201" t="s">
        <v>638</v>
      </c>
      <c r="F1637" s="200" t="s">
        <v>652</v>
      </c>
      <c r="G1637" s="200" t="s">
        <v>688</v>
      </c>
    </row>
    <row r="1638" spans="1:7" hidden="1">
      <c r="A1638" s="199" t="s">
        <v>882</v>
      </c>
      <c r="B1638" s="200">
        <v>-6500</v>
      </c>
      <c r="C1638" s="200">
        <v>0</v>
      </c>
      <c r="D1638" s="201" t="s">
        <v>474</v>
      </c>
      <c r="E1638" s="201" t="s">
        <v>638</v>
      </c>
      <c r="F1638" s="200" t="s">
        <v>396</v>
      </c>
      <c r="G1638" s="200" t="s">
        <v>688</v>
      </c>
    </row>
    <row r="1639" spans="1:7" hidden="1">
      <c r="A1639" s="199" t="s">
        <v>883</v>
      </c>
      <c r="B1639" s="200">
        <v>38200</v>
      </c>
      <c r="C1639" s="200">
        <v>0</v>
      </c>
      <c r="D1639" s="201" t="s">
        <v>440</v>
      </c>
      <c r="E1639" s="201" t="s">
        <v>638</v>
      </c>
      <c r="F1639" s="200" t="s">
        <v>652</v>
      </c>
      <c r="G1639" s="200" t="s">
        <v>688</v>
      </c>
    </row>
    <row r="1640" spans="1:7" hidden="1">
      <c r="A1640" s="199" t="s">
        <v>884</v>
      </c>
      <c r="B1640" s="200">
        <v>8700</v>
      </c>
      <c r="C1640" s="200">
        <v>0</v>
      </c>
      <c r="D1640" s="201" t="s">
        <v>442</v>
      </c>
      <c r="E1640" s="201" t="s">
        <v>638</v>
      </c>
      <c r="F1640" s="200" t="s">
        <v>396</v>
      </c>
      <c r="G1640" s="200" t="s">
        <v>688</v>
      </c>
    </row>
    <row r="1641" spans="1:7" hidden="1">
      <c r="A1641" s="199" t="s">
        <v>885</v>
      </c>
      <c r="B1641" s="200">
        <v>8600</v>
      </c>
      <c r="C1641" s="200">
        <v>0</v>
      </c>
      <c r="D1641" s="201" t="s">
        <v>442</v>
      </c>
      <c r="E1641" s="201" t="s">
        <v>638</v>
      </c>
      <c r="F1641" s="200" t="s">
        <v>396</v>
      </c>
      <c r="G1641" s="200" t="s">
        <v>688</v>
      </c>
    </row>
    <row r="1642" spans="1:7" hidden="1">
      <c r="A1642" s="199" t="s">
        <v>886</v>
      </c>
      <c r="B1642" s="200">
        <v>6500</v>
      </c>
      <c r="C1642" s="200">
        <v>0</v>
      </c>
      <c r="D1642" s="201" t="s">
        <v>442</v>
      </c>
      <c r="E1642" s="201" t="s">
        <v>638</v>
      </c>
      <c r="F1642" s="200" t="s">
        <v>396</v>
      </c>
      <c r="G1642" s="200" t="s">
        <v>688</v>
      </c>
    </row>
    <row r="1643" spans="1:7" hidden="1">
      <c r="A1643" s="199" t="s">
        <v>887</v>
      </c>
      <c r="B1643" s="200">
        <v>5600</v>
      </c>
      <c r="C1643" s="200">
        <v>0</v>
      </c>
      <c r="D1643" s="201" t="s">
        <v>442</v>
      </c>
      <c r="E1643" s="201" t="s">
        <v>638</v>
      </c>
      <c r="F1643" s="200" t="s">
        <v>396</v>
      </c>
      <c r="G1643" s="200" t="s">
        <v>688</v>
      </c>
    </row>
    <row r="1644" spans="1:7" hidden="1">
      <c r="A1644" s="199" t="s">
        <v>888</v>
      </c>
      <c r="B1644" s="200">
        <v>7900</v>
      </c>
      <c r="C1644" s="200">
        <v>0</v>
      </c>
      <c r="D1644" s="201" t="s">
        <v>442</v>
      </c>
      <c r="E1644" s="201" t="s">
        <v>638</v>
      </c>
      <c r="F1644" s="200" t="s">
        <v>396</v>
      </c>
      <c r="G1644" s="200" t="s">
        <v>688</v>
      </c>
    </row>
    <row r="1645" spans="1:7" hidden="1">
      <c r="A1645" s="199" t="s">
        <v>889</v>
      </c>
      <c r="B1645" s="200">
        <v>65500</v>
      </c>
      <c r="C1645" s="200">
        <v>0</v>
      </c>
      <c r="D1645" s="201" t="s">
        <v>440</v>
      </c>
      <c r="E1645" s="201" t="s">
        <v>638</v>
      </c>
      <c r="F1645" s="200" t="s">
        <v>652</v>
      </c>
      <c r="G1645" s="200" t="s">
        <v>688</v>
      </c>
    </row>
    <row r="1646" spans="1:7" hidden="1">
      <c r="A1646" s="199" t="s">
        <v>890</v>
      </c>
      <c r="B1646" s="200">
        <v>60000</v>
      </c>
      <c r="C1646" s="200">
        <v>0</v>
      </c>
      <c r="D1646" s="201" t="s">
        <v>440</v>
      </c>
      <c r="E1646" s="201" t="s">
        <v>638</v>
      </c>
      <c r="F1646" s="200" t="s">
        <v>652</v>
      </c>
      <c r="G1646" s="200" t="s">
        <v>688</v>
      </c>
    </row>
    <row r="1647" spans="1:7" hidden="1">
      <c r="A1647" s="199" t="s">
        <v>891</v>
      </c>
      <c r="B1647" s="200">
        <v>3960</v>
      </c>
      <c r="C1647" s="200">
        <v>0</v>
      </c>
      <c r="D1647" s="201" t="s">
        <v>440</v>
      </c>
      <c r="E1647" s="201" t="s">
        <v>638</v>
      </c>
      <c r="F1647" s="200" t="s">
        <v>652</v>
      </c>
      <c r="G1647" s="200" t="s">
        <v>688</v>
      </c>
    </row>
    <row r="1648" spans="1:7" hidden="1">
      <c r="A1648" s="199" t="s">
        <v>892</v>
      </c>
      <c r="B1648" s="200">
        <v>45600</v>
      </c>
      <c r="C1648" s="200">
        <v>0</v>
      </c>
      <c r="D1648" s="201" t="s">
        <v>440</v>
      </c>
      <c r="E1648" s="201" t="s">
        <v>638</v>
      </c>
      <c r="F1648" s="200" t="s">
        <v>652</v>
      </c>
      <c r="G1648" s="200" t="s">
        <v>688</v>
      </c>
    </row>
    <row r="1649" spans="1:7" hidden="1">
      <c r="A1649" s="199" t="s">
        <v>893</v>
      </c>
      <c r="B1649" s="200">
        <v>-34400</v>
      </c>
      <c r="C1649" s="200">
        <v>0</v>
      </c>
      <c r="D1649" s="201" t="s">
        <v>440</v>
      </c>
      <c r="E1649" s="201" t="s">
        <v>638</v>
      </c>
      <c r="F1649" s="200" t="s">
        <v>652</v>
      </c>
      <c r="G1649" s="200" t="s">
        <v>688</v>
      </c>
    </row>
    <row r="1650" spans="1:7" hidden="1">
      <c r="A1650" s="199" t="s">
        <v>894</v>
      </c>
      <c r="B1650" s="200">
        <v>3800</v>
      </c>
      <c r="C1650" s="200">
        <v>0</v>
      </c>
      <c r="D1650" s="201" t="s">
        <v>442</v>
      </c>
      <c r="E1650" s="201" t="s">
        <v>638</v>
      </c>
      <c r="F1650" s="200" t="s">
        <v>396</v>
      </c>
      <c r="G1650" s="200" t="s">
        <v>688</v>
      </c>
    </row>
    <row r="1651" spans="1:7" hidden="1">
      <c r="A1651" s="199" t="s">
        <v>895</v>
      </c>
      <c r="B1651" s="200">
        <v>-51800</v>
      </c>
      <c r="C1651" s="200">
        <v>0</v>
      </c>
      <c r="D1651" s="201" t="s">
        <v>440</v>
      </c>
      <c r="E1651" s="201" t="s">
        <v>638</v>
      </c>
      <c r="F1651" s="200" t="s">
        <v>652</v>
      </c>
      <c r="G1651" s="200" t="s">
        <v>688</v>
      </c>
    </row>
    <row r="1652" spans="1:7" hidden="1">
      <c r="A1652" s="199" t="s">
        <v>896</v>
      </c>
      <c r="B1652" s="200">
        <v>-6400</v>
      </c>
      <c r="C1652" s="200">
        <v>0</v>
      </c>
      <c r="D1652" s="201" t="s">
        <v>442</v>
      </c>
      <c r="E1652" s="201" t="s">
        <v>638</v>
      </c>
      <c r="F1652" s="200" t="s">
        <v>396</v>
      </c>
      <c r="G1652" s="200" t="s">
        <v>688</v>
      </c>
    </row>
    <row r="1653" spans="1:7" hidden="1">
      <c r="A1653" s="199" t="s">
        <v>897</v>
      </c>
      <c r="B1653" s="200">
        <v>6700</v>
      </c>
      <c r="C1653" s="200">
        <v>0</v>
      </c>
      <c r="D1653" s="201" t="s">
        <v>440</v>
      </c>
      <c r="E1653" s="201" t="s">
        <v>638</v>
      </c>
      <c r="F1653" s="200" t="s">
        <v>652</v>
      </c>
      <c r="G1653" s="200" t="s">
        <v>688</v>
      </c>
    </row>
    <row r="1654" spans="1:7" hidden="1">
      <c r="A1654" s="199" t="s">
        <v>898</v>
      </c>
      <c r="B1654" s="200">
        <v>105600</v>
      </c>
      <c r="C1654" s="200">
        <v>0</v>
      </c>
      <c r="D1654" s="201" t="s">
        <v>440</v>
      </c>
      <c r="E1654" s="201" t="s">
        <v>638</v>
      </c>
      <c r="F1654" s="200" t="s">
        <v>652</v>
      </c>
      <c r="G1654" s="200" t="s">
        <v>688</v>
      </c>
    </row>
    <row r="1655" spans="1:7" hidden="1">
      <c r="A1655" s="199" t="s">
        <v>899</v>
      </c>
      <c r="B1655" s="200">
        <v>223178</v>
      </c>
      <c r="C1655" s="200">
        <v>0</v>
      </c>
      <c r="D1655" s="201" t="s">
        <v>440</v>
      </c>
      <c r="E1655" s="201" t="s">
        <v>638</v>
      </c>
      <c r="F1655" s="200" t="s">
        <v>652</v>
      </c>
      <c r="G1655" s="200" t="s">
        <v>688</v>
      </c>
    </row>
    <row r="1656" spans="1:7" hidden="1">
      <c r="A1656" s="199" t="s">
        <v>900</v>
      </c>
      <c r="B1656" s="200">
        <v>71700</v>
      </c>
      <c r="C1656" s="200">
        <v>0</v>
      </c>
      <c r="D1656" s="201" t="s">
        <v>440</v>
      </c>
      <c r="E1656" s="201" t="s">
        <v>638</v>
      </c>
      <c r="F1656" s="200" t="s">
        <v>652</v>
      </c>
      <c r="G1656" s="200" t="s">
        <v>688</v>
      </c>
    </row>
    <row r="1657" spans="1:7" hidden="1">
      <c r="A1657" s="199" t="s">
        <v>901</v>
      </c>
      <c r="B1657" s="200">
        <v>58100</v>
      </c>
      <c r="C1657" s="200">
        <v>0</v>
      </c>
      <c r="D1657" s="201" t="s">
        <v>440</v>
      </c>
      <c r="E1657" s="201" t="s">
        <v>638</v>
      </c>
      <c r="F1657" s="200" t="s">
        <v>652</v>
      </c>
      <c r="G1657" s="200" t="s">
        <v>688</v>
      </c>
    </row>
    <row r="1658" spans="1:7" hidden="1">
      <c r="A1658" s="199" t="s">
        <v>902</v>
      </c>
      <c r="B1658" s="200">
        <v>32600</v>
      </c>
      <c r="C1658" s="200">
        <v>0</v>
      </c>
      <c r="D1658" s="201" t="s">
        <v>440</v>
      </c>
      <c r="E1658" s="201" t="s">
        <v>638</v>
      </c>
      <c r="F1658" s="200" t="s">
        <v>652</v>
      </c>
      <c r="G1658" s="200" t="s">
        <v>688</v>
      </c>
    </row>
    <row r="1659" spans="1:7" hidden="1">
      <c r="A1659" s="199" t="s">
        <v>903</v>
      </c>
      <c r="B1659" s="200">
        <v>17500</v>
      </c>
      <c r="C1659" s="200">
        <v>0</v>
      </c>
      <c r="D1659" s="201" t="s">
        <v>442</v>
      </c>
      <c r="E1659" s="201" t="s">
        <v>638</v>
      </c>
      <c r="F1659" s="200" t="s">
        <v>396</v>
      </c>
      <c r="G1659" s="200" t="s">
        <v>688</v>
      </c>
    </row>
    <row r="1660" spans="1:7" hidden="1">
      <c r="A1660" s="199" t="s">
        <v>904</v>
      </c>
      <c r="B1660" s="200">
        <v>86400</v>
      </c>
      <c r="C1660" s="200">
        <v>0</v>
      </c>
      <c r="D1660" s="201" t="s">
        <v>440</v>
      </c>
      <c r="E1660" s="201" t="s">
        <v>638</v>
      </c>
      <c r="F1660" s="200" t="s">
        <v>652</v>
      </c>
      <c r="G1660" s="200" t="s">
        <v>688</v>
      </c>
    </row>
    <row r="1661" spans="1:7" hidden="1">
      <c r="A1661" s="199" t="s">
        <v>905</v>
      </c>
      <c r="B1661" s="200">
        <v>9000</v>
      </c>
      <c r="C1661" s="200">
        <v>0</v>
      </c>
      <c r="D1661" s="201" t="s">
        <v>442</v>
      </c>
      <c r="E1661" s="201" t="s">
        <v>638</v>
      </c>
      <c r="F1661" s="200" t="s">
        <v>396</v>
      </c>
      <c r="G1661" s="200" t="s">
        <v>688</v>
      </c>
    </row>
    <row r="1662" spans="1:7" hidden="1">
      <c r="A1662" s="199" t="s">
        <v>906</v>
      </c>
      <c r="B1662" s="200">
        <v>13400</v>
      </c>
      <c r="C1662" s="200">
        <v>0</v>
      </c>
      <c r="D1662" s="201" t="s">
        <v>442</v>
      </c>
      <c r="E1662" s="201" t="s">
        <v>638</v>
      </c>
      <c r="F1662" s="200" t="s">
        <v>396</v>
      </c>
      <c r="G1662" s="200" t="s">
        <v>688</v>
      </c>
    </row>
    <row r="1663" spans="1:7" hidden="1">
      <c r="A1663" s="199" t="s">
        <v>907</v>
      </c>
      <c r="B1663" s="200">
        <v>55600</v>
      </c>
      <c r="C1663" s="200">
        <v>0</v>
      </c>
      <c r="D1663" s="201" t="s">
        <v>440</v>
      </c>
      <c r="E1663" s="201" t="s">
        <v>638</v>
      </c>
      <c r="F1663" s="200" t="s">
        <v>652</v>
      </c>
      <c r="G1663" s="200" t="s">
        <v>688</v>
      </c>
    </row>
    <row r="1664" spans="1:7" hidden="1">
      <c r="A1664" s="199" t="s">
        <v>908</v>
      </c>
      <c r="B1664" s="200">
        <v>75200</v>
      </c>
      <c r="C1664" s="200">
        <v>0</v>
      </c>
      <c r="D1664" s="201" t="s">
        <v>440</v>
      </c>
      <c r="E1664" s="201" t="s">
        <v>638</v>
      </c>
      <c r="F1664" s="200" t="s">
        <v>652</v>
      </c>
      <c r="G1664" s="200" t="s">
        <v>688</v>
      </c>
    </row>
    <row r="1665" spans="1:7" hidden="1">
      <c r="A1665" s="199" t="s">
        <v>909</v>
      </c>
      <c r="B1665" s="200">
        <v>89600</v>
      </c>
      <c r="C1665" s="200">
        <v>0</v>
      </c>
      <c r="D1665" s="201" t="s">
        <v>442</v>
      </c>
      <c r="E1665" s="201" t="s">
        <v>638</v>
      </c>
      <c r="F1665" s="200" t="s">
        <v>396</v>
      </c>
      <c r="G1665" s="200" t="s">
        <v>688</v>
      </c>
    </row>
    <row r="1666" spans="1:7" hidden="1">
      <c r="A1666" s="199" t="s">
        <v>910</v>
      </c>
      <c r="B1666" s="200">
        <v>7800</v>
      </c>
      <c r="C1666" s="200">
        <v>0</v>
      </c>
      <c r="D1666" s="201" t="s">
        <v>442</v>
      </c>
      <c r="E1666" s="201" t="s">
        <v>638</v>
      </c>
      <c r="F1666" s="200" t="s">
        <v>396</v>
      </c>
      <c r="G1666" s="200" t="s">
        <v>688</v>
      </c>
    </row>
    <row r="1667" spans="1:7" hidden="1">
      <c r="A1667" s="202" t="s">
        <v>911</v>
      </c>
      <c r="B1667" s="203">
        <v>2800</v>
      </c>
      <c r="C1667" s="203">
        <v>0</v>
      </c>
      <c r="D1667" s="202" t="s">
        <v>442</v>
      </c>
      <c r="E1667" s="202" t="s">
        <v>638</v>
      </c>
      <c r="F1667" s="202" t="s">
        <v>396</v>
      </c>
      <c r="G1667" s="202" t="s">
        <v>688</v>
      </c>
    </row>
    <row r="1668" spans="1:7" hidden="1">
      <c r="A1668" s="202" t="s">
        <v>912</v>
      </c>
      <c r="B1668" s="203">
        <v>220200</v>
      </c>
      <c r="C1668" s="203">
        <v>0</v>
      </c>
      <c r="D1668" s="202" t="s">
        <v>440</v>
      </c>
      <c r="E1668" s="202" t="s">
        <v>638</v>
      </c>
      <c r="F1668" s="202" t="s">
        <v>652</v>
      </c>
      <c r="G1668" s="202" t="s">
        <v>688</v>
      </c>
    </row>
    <row r="1669" spans="1:7" hidden="1">
      <c r="A1669" s="202" t="s">
        <v>913</v>
      </c>
      <c r="B1669" s="203">
        <v>366900</v>
      </c>
      <c r="C1669" s="203">
        <v>0</v>
      </c>
      <c r="D1669" s="202" t="s">
        <v>440</v>
      </c>
      <c r="E1669" s="202" t="s">
        <v>638</v>
      </c>
      <c r="F1669" s="202" t="s">
        <v>652</v>
      </c>
      <c r="G1669" s="202" t="s">
        <v>688</v>
      </c>
    </row>
    <row r="1670" spans="1:7" hidden="1">
      <c r="A1670" s="202" t="s">
        <v>914</v>
      </c>
      <c r="B1670" s="203">
        <v>3000</v>
      </c>
      <c r="C1670" s="203">
        <v>0</v>
      </c>
      <c r="D1670" s="202" t="s">
        <v>442</v>
      </c>
      <c r="E1670" s="202" t="s">
        <v>638</v>
      </c>
      <c r="F1670" s="202" t="s">
        <v>396</v>
      </c>
      <c r="G1670" s="202" t="s">
        <v>688</v>
      </c>
    </row>
    <row r="1671" spans="1:7" hidden="1">
      <c r="A1671" s="202" t="s">
        <v>915</v>
      </c>
      <c r="B1671" s="203">
        <v>9000</v>
      </c>
      <c r="C1671" s="203">
        <v>0</v>
      </c>
      <c r="D1671" s="202" t="s">
        <v>442</v>
      </c>
      <c r="E1671" s="202" t="s">
        <v>638</v>
      </c>
      <c r="F1671" s="202" t="s">
        <v>396</v>
      </c>
      <c r="G1671" s="202" t="s">
        <v>688</v>
      </c>
    </row>
    <row r="1672" spans="1:7" hidden="1">
      <c r="A1672" s="202" t="s">
        <v>916</v>
      </c>
      <c r="B1672" s="203">
        <v>83300</v>
      </c>
      <c r="C1672" s="203">
        <v>0</v>
      </c>
      <c r="D1672" s="202" t="s">
        <v>440</v>
      </c>
      <c r="E1672" s="202" t="s">
        <v>638</v>
      </c>
      <c r="F1672" s="202" t="s">
        <v>652</v>
      </c>
      <c r="G1672" s="202" t="s">
        <v>688</v>
      </c>
    </row>
    <row r="1673" spans="1:7" hidden="1">
      <c r="A1673" s="202" t="s">
        <v>917</v>
      </c>
      <c r="B1673" s="203">
        <v>159300</v>
      </c>
      <c r="C1673" s="203">
        <v>0</v>
      </c>
      <c r="D1673" s="202" t="s">
        <v>440</v>
      </c>
      <c r="E1673" s="202" t="s">
        <v>638</v>
      </c>
      <c r="F1673" s="202" t="s">
        <v>652</v>
      </c>
      <c r="G1673" s="202" t="s">
        <v>688</v>
      </c>
    </row>
    <row r="1674" spans="1:7" hidden="1">
      <c r="A1674" s="202" t="s">
        <v>918</v>
      </c>
      <c r="B1674" s="203">
        <v>4600</v>
      </c>
      <c r="C1674" s="203">
        <v>0</v>
      </c>
      <c r="D1674" s="202" t="s">
        <v>442</v>
      </c>
      <c r="E1674" s="202" t="s">
        <v>638</v>
      </c>
      <c r="F1674" s="202" t="s">
        <v>396</v>
      </c>
      <c r="G1674" s="202" t="s">
        <v>688</v>
      </c>
    </row>
    <row r="1675" spans="1:7" hidden="1">
      <c r="A1675" s="202" t="s">
        <v>919</v>
      </c>
      <c r="B1675" s="203">
        <v>8100</v>
      </c>
      <c r="C1675" s="203">
        <v>0</v>
      </c>
      <c r="D1675" s="202" t="s">
        <v>442</v>
      </c>
      <c r="E1675" s="202" t="s">
        <v>638</v>
      </c>
      <c r="F1675" s="202" t="s">
        <v>396</v>
      </c>
      <c r="G1675" s="202" t="s">
        <v>688</v>
      </c>
    </row>
    <row r="1676" spans="1:7" hidden="1">
      <c r="A1676" s="202" t="s">
        <v>920</v>
      </c>
      <c r="B1676" s="203">
        <v>35700</v>
      </c>
      <c r="C1676" s="203">
        <v>0</v>
      </c>
      <c r="D1676" s="202" t="s">
        <v>440</v>
      </c>
      <c r="E1676" s="202" t="s">
        <v>638</v>
      </c>
      <c r="F1676" s="202" t="s">
        <v>652</v>
      </c>
      <c r="G1676" s="202" t="s">
        <v>688</v>
      </c>
    </row>
    <row r="1677" spans="1:7" hidden="1">
      <c r="A1677" s="202" t="s">
        <v>921</v>
      </c>
      <c r="B1677" s="203">
        <v>41000</v>
      </c>
      <c r="C1677" s="203">
        <v>0</v>
      </c>
      <c r="D1677" s="202" t="s">
        <v>440</v>
      </c>
      <c r="E1677" s="202" t="s">
        <v>638</v>
      </c>
      <c r="F1677" s="202" t="s">
        <v>652</v>
      </c>
      <c r="G1677" s="202" t="s">
        <v>688</v>
      </c>
    </row>
    <row r="1678" spans="1:7" hidden="1">
      <c r="A1678" s="202" t="s">
        <v>922</v>
      </c>
      <c r="B1678" s="203">
        <v>119100</v>
      </c>
      <c r="C1678" s="203">
        <v>0</v>
      </c>
      <c r="D1678" s="202" t="s">
        <v>440</v>
      </c>
      <c r="E1678" s="202" t="s">
        <v>638</v>
      </c>
      <c r="F1678" s="202" t="s">
        <v>652</v>
      </c>
      <c r="G1678" s="202" t="s">
        <v>688</v>
      </c>
    </row>
    <row r="1679" spans="1:7" hidden="1">
      <c r="A1679" s="202" t="s">
        <v>923</v>
      </c>
      <c r="B1679" s="203">
        <v>21000</v>
      </c>
      <c r="C1679" s="203">
        <v>0</v>
      </c>
      <c r="D1679" s="202" t="s">
        <v>440</v>
      </c>
      <c r="E1679" s="202" t="s">
        <v>638</v>
      </c>
      <c r="F1679" s="202" t="s">
        <v>652</v>
      </c>
      <c r="G1679" s="202" t="s">
        <v>688</v>
      </c>
    </row>
    <row r="1680" spans="1:7" hidden="1">
      <c r="A1680" s="202" t="s">
        <v>924</v>
      </c>
      <c r="B1680" s="203">
        <v>52300</v>
      </c>
      <c r="C1680" s="203">
        <v>0</v>
      </c>
      <c r="D1680" s="202" t="s">
        <v>440</v>
      </c>
      <c r="E1680" s="202" t="s">
        <v>638</v>
      </c>
      <c r="F1680" s="202" t="s">
        <v>652</v>
      </c>
      <c r="G1680" s="202" t="s">
        <v>688</v>
      </c>
    </row>
    <row r="1681" spans="1:7" hidden="1">
      <c r="A1681" s="202" t="s">
        <v>925</v>
      </c>
      <c r="B1681" s="203">
        <v>8900</v>
      </c>
      <c r="C1681" s="203">
        <v>0</v>
      </c>
      <c r="D1681" s="202" t="s">
        <v>442</v>
      </c>
      <c r="E1681" s="202" t="s">
        <v>638</v>
      </c>
      <c r="F1681" s="202" t="s">
        <v>396</v>
      </c>
      <c r="G1681" s="202" t="s">
        <v>688</v>
      </c>
    </row>
    <row r="1682" spans="1:7" hidden="1">
      <c r="A1682" s="202" t="s">
        <v>926</v>
      </c>
      <c r="B1682" s="203">
        <v>102600</v>
      </c>
      <c r="C1682" s="203">
        <v>0</v>
      </c>
      <c r="D1682" s="202" t="s">
        <v>440</v>
      </c>
      <c r="E1682" s="202" t="s">
        <v>638</v>
      </c>
      <c r="F1682" s="202" t="s">
        <v>652</v>
      </c>
      <c r="G1682" s="202" t="s">
        <v>688</v>
      </c>
    </row>
    <row r="1683" spans="1:7" hidden="1">
      <c r="A1683" s="202" t="s">
        <v>927</v>
      </c>
      <c r="B1683" s="203">
        <v>42500</v>
      </c>
      <c r="C1683" s="203">
        <v>0</v>
      </c>
      <c r="D1683" s="202" t="s">
        <v>440</v>
      </c>
      <c r="E1683" s="202" t="s">
        <v>638</v>
      </c>
      <c r="F1683" s="202" t="s">
        <v>652</v>
      </c>
      <c r="G1683" s="202" t="s">
        <v>688</v>
      </c>
    </row>
    <row r="1684" spans="1:7" hidden="1">
      <c r="A1684" s="202" t="s">
        <v>928</v>
      </c>
      <c r="B1684" s="203">
        <v>84800</v>
      </c>
      <c r="C1684" s="203">
        <v>0</v>
      </c>
      <c r="D1684" s="202" t="s">
        <v>440</v>
      </c>
      <c r="E1684" s="202" t="s">
        <v>638</v>
      </c>
      <c r="F1684" s="202" t="s">
        <v>652</v>
      </c>
      <c r="G1684" s="202" t="s">
        <v>688</v>
      </c>
    </row>
    <row r="1685" spans="1:7" hidden="1">
      <c r="A1685" s="202" t="s">
        <v>929</v>
      </c>
      <c r="B1685" s="203">
        <v>50900</v>
      </c>
      <c r="C1685" s="203">
        <v>0</v>
      </c>
      <c r="D1685" s="202" t="s">
        <v>440</v>
      </c>
      <c r="E1685" s="202" t="s">
        <v>638</v>
      </c>
      <c r="F1685" s="202" t="s">
        <v>652</v>
      </c>
      <c r="G1685" s="202" t="s">
        <v>688</v>
      </c>
    </row>
    <row r="1686" spans="1:7" hidden="1">
      <c r="A1686" s="202" t="s">
        <v>930</v>
      </c>
      <c r="B1686" s="203">
        <v>10800</v>
      </c>
      <c r="C1686" s="203">
        <v>0</v>
      </c>
      <c r="D1686" s="202" t="s">
        <v>442</v>
      </c>
      <c r="E1686" s="202" t="s">
        <v>638</v>
      </c>
      <c r="F1686" s="202" t="s">
        <v>396</v>
      </c>
      <c r="G1686" s="202" t="s">
        <v>688</v>
      </c>
    </row>
    <row r="1687" spans="1:7" hidden="1">
      <c r="A1687" s="202" t="s">
        <v>931</v>
      </c>
      <c r="B1687" s="203">
        <v>71600</v>
      </c>
      <c r="C1687" s="203">
        <v>0</v>
      </c>
      <c r="D1687" s="202" t="s">
        <v>440</v>
      </c>
      <c r="E1687" s="202" t="s">
        <v>638</v>
      </c>
      <c r="F1687" s="202" t="s">
        <v>409</v>
      </c>
      <c r="G1687" s="202" t="s">
        <v>688</v>
      </c>
    </row>
    <row r="1688" spans="1:7" hidden="1">
      <c r="A1688" s="202" t="s">
        <v>932</v>
      </c>
      <c r="B1688" s="203">
        <v>135500</v>
      </c>
      <c r="C1688" s="203">
        <v>0</v>
      </c>
      <c r="D1688" s="202" t="s">
        <v>440</v>
      </c>
      <c r="E1688" s="202" t="s">
        <v>638</v>
      </c>
      <c r="F1688" s="202" t="s">
        <v>652</v>
      </c>
      <c r="G1688" s="202" t="s">
        <v>688</v>
      </c>
    </row>
    <row r="1689" spans="1:7" hidden="1">
      <c r="A1689" s="202" t="s">
        <v>933</v>
      </c>
      <c r="B1689" s="203">
        <v>51600</v>
      </c>
      <c r="C1689" s="203">
        <v>0</v>
      </c>
      <c r="D1689" s="202" t="s">
        <v>442</v>
      </c>
      <c r="E1689" s="202" t="s">
        <v>638</v>
      </c>
      <c r="F1689" s="202" t="s">
        <v>396</v>
      </c>
      <c r="G1689" s="202" t="s">
        <v>688</v>
      </c>
    </row>
    <row r="1690" spans="1:7" hidden="1">
      <c r="A1690" s="202" t="s">
        <v>934</v>
      </c>
      <c r="B1690" s="203">
        <v>37500</v>
      </c>
      <c r="C1690" s="203">
        <v>0</v>
      </c>
      <c r="D1690" s="202" t="s">
        <v>440</v>
      </c>
      <c r="E1690" s="202" t="s">
        <v>638</v>
      </c>
      <c r="F1690" s="202" t="s">
        <v>652</v>
      </c>
      <c r="G1690" s="202" t="s">
        <v>688</v>
      </c>
    </row>
    <row r="1691" spans="1:7" hidden="1">
      <c r="A1691" s="202" t="s">
        <v>935</v>
      </c>
      <c r="B1691" s="203">
        <v>30700</v>
      </c>
      <c r="C1691" s="203">
        <v>0</v>
      </c>
      <c r="D1691" s="202" t="s">
        <v>440</v>
      </c>
      <c r="E1691" s="202" t="s">
        <v>638</v>
      </c>
      <c r="F1691" s="202" t="s">
        <v>409</v>
      </c>
      <c r="G1691" s="202" t="s">
        <v>688</v>
      </c>
    </row>
    <row r="1692" spans="1:7" hidden="1">
      <c r="A1692" s="202" t="s">
        <v>936</v>
      </c>
      <c r="B1692" s="203">
        <v>100800</v>
      </c>
      <c r="C1692" s="203">
        <v>0</v>
      </c>
      <c r="D1692" s="202" t="s">
        <v>440</v>
      </c>
      <c r="E1692" s="202" t="s">
        <v>638</v>
      </c>
      <c r="F1692" s="202" t="s">
        <v>652</v>
      </c>
      <c r="G1692" s="202" t="s">
        <v>688</v>
      </c>
    </row>
    <row r="1693" spans="1:7" hidden="1">
      <c r="A1693" s="202" t="s">
        <v>937</v>
      </c>
      <c r="B1693" s="203">
        <v>-146800</v>
      </c>
      <c r="C1693" s="203">
        <v>0</v>
      </c>
      <c r="D1693" s="202" t="s">
        <v>440</v>
      </c>
      <c r="E1693" s="202" t="s">
        <v>638</v>
      </c>
      <c r="F1693" s="202" t="s">
        <v>652</v>
      </c>
      <c r="G1693" s="202" t="s">
        <v>688</v>
      </c>
    </row>
    <row r="1694" spans="1:7" hidden="1">
      <c r="A1694" s="202" t="s">
        <v>938</v>
      </c>
      <c r="B1694" s="203">
        <v>-134300</v>
      </c>
      <c r="C1694" s="203">
        <v>0</v>
      </c>
      <c r="D1694" s="202" t="s">
        <v>440</v>
      </c>
      <c r="E1694" s="202" t="s">
        <v>638</v>
      </c>
      <c r="F1694" s="202" t="s">
        <v>652</v>
      </c>
      <c r="G1694" s="202" t="s">
        <v>688</v>
      </c>
    </row>
    <row r="1695" spans="1:7" hidden="1">
      <c r="A1695" s="202" t="s">
        <v>939</v>
      </c>
      <c r="B1695" s="203">
        <v>-13000</v>
      </c>
      <c r="C1695" s="203">
        <v>0</v>
      </c>
      <c r="D1695" s="202" t="s">
        <v>442</v>
      </c>
      <c r="E1695" s="202" t="s">
        <v>638</v>
      </c>
      <c r="F1695" s="202" t="s">
        <v>396</v>
      </c>
      <c r="G1695" s="202" t="s">
        <v>688</v>
      </c>
    </row>
    <row r="1696" spans="1:7" hidden="1">
      <c r="A1696" s="202" t="s">
        <v>940</v>
      </c>
      <c r="B1696" s="203">
        <v>-74500</v>
      </c>
      <c r="C1696" s="203">
        <v>0</v>
      </c>
      <c r="D1696" s="202" t="s">
        <v>440</v>
      </c>
      <c r="E1696" s="202" t="s">
        <v>638</v>
      </c>
      <c r="F1696" s="202" t="s">
        <v>652</v>
      </c>
      <c r="G1696" s="202" t="s">
        <v>688</v>
      </c>
    </row>
    <row r="1697" spans="1:7" hidden="1">
      <c r="A1697" s="202" t="s">
        <v>941</v>
      </c>
      <c r="B1697" s="203">
        <v>-71100</v>
      </c>
      <c r="C1697" s="203">
        <v>0</v>
      </c>
      <c r="D1697" s="202" t="s">
        <v>440</v>
      </c>
      <c r="E1697" s="202" t="s">
        <v>638</v>
      </c>
      <c r="F1697" s="202" t="s">
        <v>652</v>
      </c>
      <c r="G1697" s="202" t="s">
        <v>688</v>
      </c>
    </row>
    <row r="1698" spans="1:7" hidden="1">
      <c r="A1698" s="202" t="s">
        <v>942</v>
      </c>
      <c r="B1698" s="203">
        <v>-101500</v>
      </c>
      <c r="C1698" s="203">
        <v>0</v>
      </c>
      <c r="D1698" s="202" t="s">
        <v>440</v>
      </c>
      <c r="E1698" s="202" t="s">
        <v>638</v>
      </c>
      <c r="F1698" s="202" t="s">
        <v>409</v>
      </c>
      <c r="G1698" s="202" t="s">
        <v>688</v>
      </c>
    </row>
    <row r="1699" spans="1:7" hidden="1">
      <c r="A1699" s="202" t="s">
        <v>943</v>
      </c>
      <c r="B1699" s="203">
        <v>2800</v>
      </c>
      <c r="C1699" s="203">
        <v>0</v>
      </c>
      <c r="D1699" s="202" t="s">
        <v>442</v>
      </c>
      <c r="E1699" s="202" t="s">
        <v>638</v>
      </c>
      <c r="F1699" s="202" t="s">
        <v>396</v>
      </c>
      <c r="G1699" s="202" t="s">
        <v>688</v>
      </c>
    </row>
    <row r="1700" spans="1:7" hidden="1">
      <c r="A1700" s="202" t="s">
        <v>944</v>
      </c>
      <c r="B1700" s="203">
        <v>2800</v>
      </c>
      <c r="C1700" s="203">
        <v>0</v>
      </c>
      <c r="D1700" s="202" t="s">
        <v>442</v>
      </c>
      <c r="E1700" s="202" t="s">
        <v>638</v>
      </c>
      <c r="F1700" s="202" t="s">
        <v>396</v>
      </c>
      <c r="G1700" s="202" t="s">
        <v>688</v>
      </c>
    </row>
    <row r="1701" spans="1:7" hidden="1">
      <c r="A1701" s="202" t="s">
        <v>945</v>
      </c>
      <c r="B1701" s="203">
        <v>-39700</v>
      </c>
      <c r="C1701" s="203">
        <v>0</v>
      </c>
      <c r="D1701" s="202" t="s">
        <v>442</v>
      </c>
      <c r="E1701" s="202" t="s">
        <v>638</v>
      </c>
      <c r="F1701" s="202" t="s">
        <v>396</v>
      </c>
      <c r="G1701" s="202" t="s">
        <v>688</v>
      </c>
    </row>
    <row r="1702" spans="1:7" hidden="1">
      <c r="A1702" s="202" t="s">
        <v>946</v>
      </c>
      <c r="B1702" s="203">
        <v>-89700</v>
      </c>
      <c r="C1702" s="203">
        <v>0</v>
      </c>
      <c r="D1702" s="202" t="s">
        <v>440</v>
      </c>
      <c r="E1702" s="202" t="s">
        <v>638</v>
      </c>
      <c r="F1702" s="202" t="s">
        <v>652</v>
      </c>
      <c r="G1702" s="202" t="s">
        <v>688</v>
      </c>
    </row>
    <row r="1703" spans="1:7" hidden="1">
      <c r="A1703" s="202" t="s">
        <v>947</v>
      </c>
      <c r="B1703" s="203">
        <v>-12300</v>
      </c>
      <c r="C1703" s="203">
        <v>0</v>
      </c>
      <c r="D1703" s="202" t="s">
        <v>442</v>
      </c>
      <c r="E1703" s="202" t="s">
        <v>638</v>
      </c>
      <c r="F1703" s="202" t="s">
        <v>396</v>
      </c>
      <c r="G1703" s="202" t="s">
        <v>688</v>
      </c>
    </row>
    <row r="1704" spans="1:7" hidden="1">
      <c r="A1704" s="202" t="s">
        <v>948</v>
      </c>
      <c r="B1704" s="203">
        <v>-35000</v>
      </c>
      <c r="C1704" s="203">
        <v>0</v>
      </c>
      <c r="D1704" s="202" t="s">
        <v>440</v>
      </c>
      <c r="E1704" s="202" t="s">
        <v>638</v>
      </c>
      <c r="F1704" s="202" t="s">
        <v>409</v>
      </c>
      <c r="G1704" s="202" t="s">
        <v>688</v>
      </c>
    </row>
    <row r="1705" spans="1:7" hidden="1">
      <c r="A1705" s="202" t="s">
        <v>949</v>
      </c>
      <c r="B1705" s="203">
        <v>9900</v>
      </c>
      <c r="C1705" s="203">
        <v>0</v>
      </c>
      <c r="D1705" s="202" t="s">
        <v>440</v>
      </c>
      <c r="E1705" s="202" t="s">
        <v>638</v>
      </c>
      <c r="F1705" s="202" t="s">
        <v>652</v>
      </c>
      <c r="G1705" s="202" t="s">
        <v>688</v>
      </c>
    </row>
    <row r="1706" spans="1:7" hidden="1">
      <c r="A1706" s="202" t="s">
        <v>950</v>
      </c>
      <c r="B1706" s="203">
        <v>-9100</v>
      </c>
      <c r="C1706" s="203">
        <v>0</v>
      </c>
      <c r="D1706" s="202" t="s">
        <v>442</v>
      </c>
      <c r="E1706" s="202" t="s">
        <v>638</v>
      </c>
      <c r="F1706" s="202" t="s">
        <v>396</v>
      </c>
      <c r="G1706" s="202" t="s">
        <v>688</v>
      </c>
    </row>
    <row r="1707" spans="1:7" hidden="1">
      <c r="A1707" s="202" t="s">
        <v>951</v>
      </c>
      <c r="B1707" s="203">
        <v>42400</v>
      </c>
      <c r="C1707" s="203">
        <v>0</v>
      </c>
      <c r="D1707" s="202" t="s">
        <v>440</v>
      </c>
      <c r="E1707" s="202" t="s">
        <v>638</v>
      </c>
      <c r="F1707" s="202" t="s">
        <v>652</v>
      </c>
      <c r="G1707" s="202" t="s">
        <v>688</v>
      </c>
    </row>
    <row r="1708" spans="1:7" hidden="1">
      <c r="A1708" s="202" t="s">
        <v>952</v>
      </c>
      <c r="B1708" s="203">
        <v>12700</v>
      </c>
      <c r="C1708" s="203">
        <v>0</v>
      </c>
      <c r="D1708" s="202" t="s">
        <v>440</v>
      </c>
      <c r="E1708" s="202" t="s">
        <v>638</v>
      </c>
      <c r="F1708" s="202" t="s">
        <v>652</v>
      </c>
      <c r="G1708" s="202" t="s">
        <v>688</v>
      </c>
    </row>
    <row r="1709" spans="1:7" hidden="1">
      <c r="A1709" s="202" t="s">
        <v>953</v>
      </c>
      <c r="B1709" s="203">
        <v>3300</v>
      </c>
      <c r="C1709" s="203">
        <v>0</v>
      </c>
      <c r="D1709" s="202" t="s">
        <v>442</v>
      </c>
      <c r="E1709" s="202" t="s">
        <v>638</v>
      </c>
      <c r="F1709" s="202" t="s">
        <v>396</v>
      </c>
      <c r="G1709" s="202" t="s">
        <v>688</v>
      </c>
    </row>
    <row r="1710" spans="1:7" hidden="1">
      <c r="A1710" s="202" t="s">
        <v>954</v>
      </c>
      <c r="B1710" s="203">
        <v>2000</v>
      </c>
      <c r="C1710" s="203">
        <v>0</v>
      </c>
      <c r="D1710" s="202" t="s">
        <v>442</v>
      </c>
      <c r="E1710" s="202" t="s">
        <v>638</v>
      </c>
      <c r="F1710" s="202" t="s">
        <v>396</v>
      </c>
      <c r="G1710" s="202" t="s">
        <v>688</v>
      </c>
    </row>
    <row r="1711" spans="1:7" hidden="1">
      <c r="A1711" s="202" t="s">
        <v>955</v>
      </c>
      <c r="B1711" s="203">
        <v>5100</v>
      </c>
      <c r="C1711" s="203">
        <v>0</v>
      </c>
      <c r="D1711" s="202" t="s">
        <v>442</v>
      </c>
      <c r="E1711" s="202" t="s">
        <v>638</v>
      </c>
      <c r="F1711" s="202" t="s">
        <v>396</v>
      </c>
      <c r="G1711" s="202" t="s">
        <v>688</v>
      </c>
    </row>
    <row r="1712" spans="1:7" hidden="1">
      <c r="A1712" s="202" t="s">
        <v>956</v>
      </c>
      <c r="B1712" s="203">
        <v>2300</v>
      </c>
      <c r="C1712" s="203">
        <v>0</v>
      </c>
      <c r="D1712" s="202" t="s">
        <v>442</v>
      </c>
      <c r="E1712" s="202" t="s">
        <v>638</v>
      </c>
      <c r="F1712" s="202" t="s">
        <v>396</v>
      </c>
      <c r="G1712" s="202" t="s">
        <v>688</v>
      </c>
    </row>
    <row r="1713" spans="1:7" hidden="1">
      <c r="A1713" s="202" t="s">
        <v>957</v>
      </c>
      <c r="B1713" s="203">
        <v>5800</v>
      </c>
      <c r="C1713" s="203">
        <v>0</v>
      </c>
      <c r="D1713" s="202" t="s">
        <v>442</v>
      </c>
      <c r="E1713" s="202" t="s">
        <v>638</v>
      </c>
      <c r="F1713" s="202" t="s">
        <v>396</v>
      </c>
      <c r="G1713" s="202" t="s">
        <v>688</v>
      </c>
    </row>
    <row r="1714" spans="1:7" hidden="1">
      <c r="A1714" s="202" t="s">
        <v>958</v>
      </c>
      <c r="B1714" s="203">
        <v>2100</v>
      </c>
      <c r="C1714" s="203">
        <v>0</v>
      </c>
      <c r="D1714" s="202" t="s">
        <v>442</v>
      </c>
      <c r="E1714" s="202" t="s">
        <v>638</v>
      </c>
      <c r="F1714" s="202" t="s">
        <v>396</v>
      </c>
      <c r="G1714" s="202" t="s">
        <v>688</v>
      </c>
    </row>
    <row r="1715" spans="1:7" hidden="1">
      <c r="A1715" s="202" t="s">
        <v>959</v>
      </c>
      <c r="B1715" s="203">
        <v>7100</v>
      </c>
      <c r="C1715" s="203">
        <v>0</v>
      </c>
      <c r="D1715" s="202" t="s">
        <v>440</v>
      </c>
      <c r="E1715" s="202" t="s">
        <v>638</v>
      </c>
      <c r="F1715" s="202" t="s">
        <v>652</v>
      </c>
      <c r="G1715" s="202" t="s">
        <v>688</v>
      </c>
    </row>
    <row r="1716" spans="1:7" hidden="1">
      <c r="A1716" s="202" t="s">
        <v>960</v>
      </c>
      <c r="B1716" s="203">
        <v>2300</v>
      </c>
      <c r="C1716" s="203">
        <v>0</v>
      </c>
      <c r="D1716" s="202" t="s">
        <v>442</v>
      </c>
      <c r="E1716" s="202" t="s">
        <v>638</v>
      </c>
      <c r="F1716" s="202" t="s">
        <v>396</v>
      </c>
      <c r="G1716" s="202" t="s">
        <v>688</v>
      </c>
    </row>
    <row r="1717" spans="1:7" hidden="1">
      <c r="A1717" s="202" t="s">
        <v>961</v>
      </c>
      <c r="B1717" s="203">
        <v>2500</v>
      </c>
      <c r="C1717" s="203">
        <v>0</v>
      </c>
      <c r="D1717" s="202" t="s">
        <v>442</v>
      </c>
      <c r="E1717" s="202" t="s">
        <v>638</v>
      </c>
      <c r="F1717" s="202" t="s">
        <v>396</v>
      </c>
      <c r="G1717" s="202" t="s">
        <v>688</v>
      </c>
    </row>
    <row r="1718" spans="1:7" hidden="1">
      <c r="A1718" s="202" t="s">
        <v>962</v>
      </c>
      <c r="B1718" s="203">
        <v>1900</v>
      </c>
      <c r="C1718" s="203">
        <v>0</v>
      </c>
      <c r="D1718" s="202" t="s">
        <v>442</v>
      </c>
      <c r="E1718" s="202" t="s">
        <v>638</v>
      </c>
      <c r="F1718" s="202" t="s">
        <v>396</v>
      </c>
      <c r="G1718" s="202" t="s">
        <v>688</v>
      </c>
    </row>
    <row r="1719" spans="1:7" hidden="1">
      <c r="A1719" s="202" t="s">
        <v>963</v>
      </c>
      <c r="B1719" s="203">
        <v>2700</v>
      </c>
      <c r="C1719" s="203">
        <v>0</v>
      </c>
      <c r="D1719" s="202" t="s">
        <v>442</v>
      </c>
      <c r="E1719" s="202" t="s">
        <v>638</v>
      </c>
      <c r="F1719" s="202" t="s">
        <v>396</v>
      </c>
      <c r="G1719" s="202" t="s">
        <v>688</v>
      </c>
    </row>
    <row r="1720" spans="1:7" hidden="1">
      <c r="A1720" s="202" t="s">
        <v>964</v>
      </c>
      <c r="B1720" s="203">
        <v>2900</v>
      </c>
      <c r="C1720" s="203">
        <v>0</v>
      </c>
      <c r="D1720" s="202" t="s">
        <v>442</v>
      </c>
      <c r="E1720" s="202" t="s">
        <v>638</v>
      </c>
      <c r="F1720" s="202" t="s">
        <v>396</v>
      </c>
      <c r="G1720" s="202" t="s">
        <v>688</v>
      </c>
    </row>
    <row r="1721" spans="1:7" hidden="1">
      <c r="A1721" s="202" t="s">
        <v>965</v>
      </c>
      <c r="B1721" s="203">
        <v>13700</v>
      </c>
      <c r="C1721" s="203">
        <v>0</v>
      </c>
      <c r="D1721" s="202" t="s">
        <v>440</v>
      </c>
      <c r="E1721" s="202" t="s">
        <v>638</v>
      </c>
      <c r="F1721" s="202" t="s">
        <v>652</v>
      </c>
      <c r="G1721" s="202" t="s">
        <v>688</v>
      </c>
    </row>
    <row r="1722" spans="1:7" hidden="1">
      <c r="A1722" s="202" t="s">
        <v>966</v>
      </c>
      <c r="B1722" s="203">
        <v>2100</v>
      </c>
      <c r="C1722" s="203">
        <v>0</v>
      </c>
      <c r="D1722" s="202" t="s">
        <v>442</v>
      </c>
      <c r="E1722" s="202" t="s">
        <v>638</v>
      </c>
      <c r="F1722" s="202" t="s">
        <v>396</v>
      </c>
      <c r="G1722" s="202" t="s">
        <v>688</v>
      </c>
    </row>
    <row r="1723" spans="1:7" hidden="1">
      <c r="A1723" s="202" t="s">
        <v>967</v>
      </c>
      <c r="B1723" s="203">
        <v>2500</v>
      </c>
      <c r="C1723" s="203">
        <v>0</v>
      </c>
      <c r="D1723" s="202" t="s">
        <v>442</v>
      </c>
      <c r="E1723" s="202" t="s">
        <v>638</v>
      </c>
      <c r="F1723" s="202" t="s">
        <v>396</v>
      </c>
      <c r="G1723" s="202" t="s">
        <v>688</v>
      </c>
    </row>
    <row r="1724" spans="1:7" hidden="1">
      <c r="A1724" s="202" t="s">
        <v>968</v>
      </c>
      <c r="B1724" s="203">
        <v>3100</v>
      </c>
      <c r="C1724" s="203">
        <v>0</v>
      </c>
      <c r="D1724" s="202" t="s">
        <v>442</v>
      </c>
      <c r="E1724" s="202" t="s">
        <v>638</v>
      </c>
      <c r="F1724" s="202" t="s">
        <v>396</v>
      </c>
      <c r="G1724" s="202" t="s">
        <v>688</v>
      </c>
    </row>
    <row r="1725" spans="1:7" hidden="1">
      <c r="A1725" s="202" t="s">
        <v>969</v>
      </c>
      <c r="B1725" s="203">
        <v>3100</v>
      </c>
      <c r="C1725" s="203">
        <v>0</v>
      </c>
      <c r="D1725" s="202" t="s">
        <v>442</v>
      </c>
      <c r="E1725" s="202" t="s">
        <v>638</v>
      </c>
      <c r="F1725" s="202" t="s">
        <v>396</v>
      </c>
      <c r="G1725" s="202" t="s">
        <v>688</v>
      </c>
    </row>
    <row r="1726" spans="1:7" hidden="1">
      <c r="A1726" s="202" t="s">
        <v>970</v>
      </c>
      <c r="B1726" s="203">
        <v>-900000</v>
      </c>
      <c r="C1726" s="203">
        <v>0</v>
      </c>
      <c r="D1726" s="202" t="s">
        <v>440</v>
      </c>
      <c r="E1726" s="202" t="s">
        <v>971</v>
      </c>
      <c r="F1726" s="202" t="s">
        <v>394</v>
      </c>
      <c r="G1726" s="202" t="s">
        <v>688</v>
      </c>
    </row>
    <row r="1727" spans="1:7" hidden="1">
      <c r="A1727" s="202" t="s">
        <v>972</v>
      </c>
      <c r="B1727" s="203">
        <v>-1835000</v>
      </c>
      <c r="C1727" s="203">
        <v>0</v>
      </c>
      <c r="D1727" s="202" t="s">
        <v>440</v>
      </c>
      <c r="E1727" s="202" t="s">
        <v>971</v>
      </c>
      <c r="F1727" s="202" t="s">
        <v>394</v>
      </c>
      <c r="G1727" s="202" t="s">
        <v>688</v>
      </c>
    </row>
    <row r="1728" spans="1:7" hidden="1">
      <c r="A1728" s="202" t="s">
        <v>973</v>
      </c>
      <c r="B1728" s="203">
        <v>7100</v>
      </c>
      <c r="C1728" s="203">
        <v>0</v>
      </c>
      <c r="D1728" s="202" t="s">
        <v>442</v>
      </c>
      <c r="E1728" s="202" t="s">
        <v>638</v>
      </c>
      <c r="F1728" s="202" t="s">
        <v>396</v>
      </c>
      <c r="G1728" s="202" t="s">
        <v>688</v>
      </c>
    </row>
    <row r="1729" spans="1:7" hidden="1">
      <c r="A1729" s="202" t="s">
        <v>974</v>
      </c>
      <c r="B1729" s="203">
        <v>-158500</v>
      </c>
      <c r="C1729" s="203">
        <v>0</v>
      </c>
      <c r="D1729" s="202" t="s">
        <v>440</v>
      </c>
      <c r="E1729" s="202" t="s">
        <v>638</v>
      </c>
      <c r="F1729" s="202" t="s">
        <v>652</v>
      </c>
      <c r="G1729" s="202" t="s">
        <v>688</v>
      </c>
    </row>
    <row r="1730" spans="1:7" hidden="1">
      <c r="A1730" s="202" t="s">
        <v>975</v>
      </c>
      <c r="B1730" s="203">
        <v>-73800</v>
      </c>
      <c r="C1730" s="203">
        <v>0</v>
      </c>
      <c r="D1730" s="202" t="s">
        <v>442</v>
      </c>
      <c r="E1730" s="202" t="s">
        <v>638</v>
      </c>
      <c r="F1730" s="202" t="s">
        <v>396</v>
      </c>
      <c r="G1730" s="202" t="s">
        <v>688</v>
      </c>
    </row>
    <row r="1731" spans="1:7" hidden="1">
      <c r="A1731" s="202" t="s">
        <v>976</v>
      </c>
      <c r="B1731" s="203">
        <v>-224400</v>
      </c>
      <c r="C1731" s="203">
        <v>0</v>
      </c>
      <c r="D1731" s="202" t="s">
        <v>440</v>
      </c>
      <c r="E1731" s="202" t="s">
        <v>638</v>
      </c>
      <c r="F1731" s="202" t="s">
        <v>409</v>
      </c>
      <c r="G1731" s="202" t="s">
        <v>688</v>
      </c>
    </row>
    <row r="1732" spans="1:7" hidden="1">
      <c r="A1732" s="202" t="s">
        <v>977</v>
      </c>
      <c r="B1732" s="203">
        <v>-7586</v>
      </c>
      <c r="C1732" s="203">
        <v>0</v>
      </c>
      <c r="D1732" s="202" t="s">
        <v>442</v>
      </c>
      <c r="E1732" s="202" t="s">
        <v>638</v>
      </c>
      <c r="F1732" s="202" t="s">
        <v>396</v>
      </c>
      <c r="G1732" s="202" t="s">
        <v>688</v>
      </c>
    </row>
    <row r="1733" spans="1:7" hidden="1">
      <c r="A1733" s="202" t="s">
        <v>978</v>
      </c>
      <c r="B1733" s="203">
        <v>600</v>
      </c>
      <c r="C1733" s="203">
        <v>0</v>
      </c>
      <c r="D1733" s="202" t="s">
        <v>440</v>
      </c>
      <c r="E1733" s="202" t="s">
        <v>638</v>
      </c>
      <c r="F1733" s="202" t="s">
        <v>652</v>
      </c>
      <c r="G1733" s="202" t="s">
        <v>688</v>
      </c>
    </row>
    <row r="1734" spans="1:7" hidden="1">
      <c r="A1734" s="202" t="s">
        <v>979</v>
      </c>
      <c r="B1734" s="203">
        <v>26200</v>
      </c>
      <c r="C1734" s="203">
        <v>0</v>
      </c>
      <c r="D1734" s="202" t="s">
        <v>440</v>
      </c>
      <c r="E1734" s="202" t="s">
        <v>638</v>
      </c>
      <c r="F1734" s="202" t="s">
        <v>652</v>
      </c>
      <c r="G1734" s="202" t="s">
        <v>688</v>
      </c>
    </row>
    <row r="1735" spans="1:7" hidden="1">
      <c r="A1735" s="202" t="s">
        <v>980</v>
      </c>
      <c r="B1735" s="203">
        <v>1100</v>
      </c>
      <c r="C1735" s="203">
        <v>0</v>
      </c>
      <c r="D1735" s="202" t="s">
        <v>440</v>
      </c>
      <c r="E1735" s="202" t="s">
        <v>638</v>
      </c>
      <c r="F1735" s="202" t="s">
        <v>652</v>
      </c>
      <c r="G1735" s="202" t="s">
        <v>688</v>
      </c>
    </row>
    <row r="1736" spans="1:7" hidden="1">
      <c r="A1736" s="202" t="s">
        <v>981</v>
      </c>
      <c r="B1736" s="203">
        <v>28400</v>
      </c>
      <c r="C1736" s="203">
        <v>0</v>
      </c>
      <c r="D1736" s="202" t="s">
        <v>440</v>
      </c>
      <c r="E1736" s="202" t="s">
        <v>638</v>
      </c>
      <c r="F1736" s="202" t="s">
        <v>652</v>
      </c>
      <c r="G1736" s="202" t="s">
        <v>688</v>
      </c>
    </row>
    <row r="1737" spans="1:7" hidden="1">
      <c r="A1737" s="202" t="s">
        <v>982</v>
      </c>
      <c r="B1737" s="203">
        <v>2700</v>
      </c>
      <c r="C1737" s="203">
        <v>0</v>
      </c>
      <c r="D1737" s="202" t="s">
        <v>442</v>
      </c>
      <c r="E1737" s="202" t="s">
        <v>638</v>
      </c>
      <c r="F1737" s="202" t="s">
        <v>396</v>
      </c>
      <c r="G1737" s="202" t="s">
        <v>688</v>
      </c>
    </row>
    <row r="1738" spans="1:7" hidden="1">
      <c r="A1738" s="202" t="s">
        <v>983</v>
      </c>
      <c r="B1738" s="203">
        <v>37000</v>
      </c>
      <c r="C1738" s="203">
        <v>0</v>
      </c>
      <c r="D1738" s="202" t="s">
        <v>440</v>
      </c>
      <c r="E1738" s="202" t="s">
        <v>638</v>
      </c>
      <c r="F1738" s="202" t="s">
        <v>652</v>
      </c>
      <c r="G1738" s="202" t="s">
        <v>688</v>
      </c>
    </row>
    <row r="1739" spans="1:7" hidden="1">
      <c r="A1739" s="202" t="s">
        <v>984</v>
      </c>
      <c r="B1739" s="203">
        <v>8000</v>
      </c>
      <c r="C1739" s="203">
        <v>0</v>
      </c>
      <c r="D1739" s="202" t="s">
        <v>442</v>
      </c>
      <c r="E1739" s="202" t="s">
        <v>638</v>
      </c>
      <c r="F1739" s="202" t="s">
        <v>396</v>
      </c>
      <c r="G1739" s="202" t="s">
        <v>688</v>
      </c>
    </row>
    <row r="1740" spans="1:7" hidden="1">
      <c r="A1740" s="202" t="s">
        <v>985</v>
      </c>
      <c r="B1740" s="203">
        <v>29700</v>
      </c>
      <c r="C1740" s="203">
        <v>0</v>
      </c>
      <c r="D1740" s="202" t="s">
        <v>440</v>
      </c>
      <c r="E1740" s="202" t="s">
        <v>638</v>
      </c>
      <c r="F1740" s="202" t="s">
        <v>652</v>
      </c>
      <c r="G1740" s="202" t="s">
        <v>688</v>
      </c>
    </row>
    <row r="1741" spans="1:7" hidden="1">
      <c r="A1741" s="202" t="s">
        <v>986</v>
      </c>
      <c r="B1741" s="203">
        <v>34100</v>
      </c>
      <c r="C1741" s="203">
        <v>0</v>
      </c>
      <c r="D1741" s="202" t="s">
        <v>440</v>
      </c>
      <c r="E1741" s="202" t="s">
        <v>638</v>
      </c>
      <c r="F1741" s="202" t="s">
        <v>652</v>
      </c>
      <c r="G1741" s="202" t="s">
        <v>688</v>
      </c>
    </row>
    <row r="1742" spans="1:7" hidden="1">
      <c r="A1742" s="202" t="s">
        <v>987</v>
      </c>
      <c r="B1742" s="203">
        <v>19600</v>
      </c>
      <c r="C1742" s="203">
        <v>0</v>
      </c>
      <c r="D1742" s="202" t="s">
        <v>440</v>
      </c>
      <c r="E1742" s="202" t="s">
        <v>638</v>
      </c>
      <c r="F1742" s="202" t="s">
        <v>652</v>
      </c>
      <c r="G1742" s="202" t="s">
        <v>688</v>
      </c>
    </row>
    <row r="1743" spans="1:7" hidden="1">
      <c r="A1743" s="202" t="s">
        <v>988</v>
      </c>
      <c r="B1743" s="203">
        <v>1000</v>
      </c>
      <c r="C1743" s="203">
        <v>0</v>
      </c>
      <c r="D1743" s="202" t="s">
        <v>442</v>
      </c>
      <c r="E1743" s="202" t="s">
        <v>638</v>
      </c>
      <c r="F1743" s="202" t="s">
        <v>396</v>
      </c>
      <c r="G1743" s="202" t="s">
        <v>688</v>
      </c>
    </row>
    <row r="1744" spans="1:7" hidden="1">
      <c r="A1744" s="202" t="s">
        <v>989</v>
      </c>
      <c r="B1744" s="203">
        <v>27100</v>
      </c>
      <c r="C1744" s="203">
        <v>0</v>
      </c>
      <c r="D1744" s="202" t="s">
        <v>440</v>
      </c>
      <c r="E1744" s="202" t="s">
        <v>638</v>
      </c>
      <c r="F1744" s="202" t="s">
        <v>652</v>
      </c>
      <c r="G1744" s="202" t="s">
        <v>688</v>
      </c>
    </row>
    <row r="1745" spans="1:7" hidden="1">
      <c r="A1745" s="202" t="s">
        <v>990</v>
      </c>
      <c r="B1745" s="203">
        <v>37300</v>
      </c>
      <c r="C1745" s="203">
        <v>0</v>
      </c>
      <c r="D1745" s="202" t="s">
        <v>440</v>
      </c>
      <c r="E1745" s="202" t="s">
        <v>638</v>
      </c>
      <c r="F1745" s="202" t="s">
        <v>652</v>
      </c>
      <c r="G1745" s="202" t="s">
        <v>688</v>
      </c>
    </row>
    <row r="1746" spans="1:7" hidden="1">
      <c r="A1746" s="202" t="s">
        <v>991</v>
      </c>
      <c r="B1746" s="203">
        <v>25700</v>
      </c>
      <c r="C1746" s="203">
        <v>0</v>
      </c>
      <c r="D1746" s="202" t="s">
        <v>440</v>
      </c>
      <c r="E1746" s="202" t="s">
        <v>638</v>
      </c>
      <c r="F1746" s="202" t="s">
        <v>652</v>
      </c>
      <c r="G1746" s="202" t="s">
        <v>688</v>
      </c>
    </row>
    <row r="1747" spans="1:7" hidden="1">
      <c r="A1747" s="202" t="s">
        <v>992</v>
      </c>
      <c r="B1747" s="203">
        <v>18400</v>
      </c>
      <c r="C1747" s="203">
        <v>0</v>
      </c>
      <c r="D1747" s="202" t="s">
        <v>440</v>
      </c>
      <c r="E1747" s="202" t="s">
        <v>638</v>
      </c>
      <c r="F1747" s="202" t="s">
        <v>652</v>
      </c>
      <c r="G1747" s="202" t="s">
        <v>688</v>
      </c>
    </row>
    <row r="1748" spans="1:7" hidden="1">
      <c r="A1748" s="202" t="s">
        <v>993</v>
      </c>
      <c r="B1748" s="203">
        <v>2400</v>
      </c>
      <c r="C1748" s="203">
        <v>0</v>
      </c>
      <c r="D1748" s="202" t="s">
        <v>442</v>
      </c>
      <c r="E1748" s="202" t="s">
        <v>638</v>
      </c>
      <c r="F1748" s="202" t="s">
        <v>396</v>
      </c>
      <c r="G1748" s="202" t="s">
        <v>688</v>
      </c>
    </row>
    <row r="1749" spans="1:7" hidden="1">
      <c r="A1749" s="202" t="s">
        <v>994</v>
      </c>
      <c r="B1749" s="203">
        <v>6700</v>
      </c>
      <c r="C1749" s="203">
        <v>0</v>
      </c>
      <c r="D1749" s="202" t="s">
        <v>440</v>
      </c>
      <c r="E1749" s="202" t="s">
        <v>638</v>
      </c>
      <c r="F1749" s="202" t="s">
        <v>652</v>
      </c>
      <c r="G1749" s="202" t="s">
        <v>688</v>
      </c>
    </row>
    <row r="1750" spans="1:7" hidden="1">
      <c r="A1750" s="202" t="s">
        <v>995</v>
      </c>
      <c r="B1750" s="203">
        <v>26500</v>
      </c>
      <c r="C1750" s="203">
        <v>0</v>
      </c>
      <c r="D1750" s="202" t="s">
        <v>440</v>
      </c>
      <c r="E1750" s="202" t="s">
        <v>638</v>
      </c>
      <c r="F1750" s="202" t="s">
        <v>652</v>
      </c>
      <c r="G1750" s="202" t="s">
        <v>688</v>
      </c>
    </row>
    <row r="1751" spans="1:7" hidden="1">
      <c r="A1751" s="202" t="s">
        <v>996</v>
      </c>
      <c r="B1751" s="203">
        <v>16900</v>
      </c>
      <c r="C1751" s="203">
        <v>0</v>
      </c>
      <c r="D1751" s="202" t="s">
        <v>440</v>
      </c>
      <c r="E1751" s="202" t="s">
        <v>638</v>
      </c>
      <c r="F1751" s="202" t="s">
        <v>652</v>
      </c>
      <c r="G1751" s="202" t="s">
        <v>688</v>
      </c>
    </row>
    <row r="1752" spans="1:7" hidden="1">
      <c r="A1752" s="202" t="s">
        <v>997</v>
      </c>
      <c r="B1752" s="203">
        <v>12300</v>
      </c>
      <c r="C1752" s="203">
        <v>0</v>
      </c>
      <c r="D1752" s="202" t="s">
        <v>440</v>
      </c>
      <c r="E1752" s="202" t="s">
        <v>638</v>
      </c>
      <c r="F1752" s="202" t="s">
        <v>652</v>
      </c>
      <c r="G1752" s="202" t="s">
        <v>688</v>
      </c>
    </row>
    <row r="1753" spans="1:7" hidden="1">
      <c r="A1753" s="202" t="s">
        <v>998</v>
      </c>
      <c r="B1753" s="203">
        <v>14500</v>
      </c>
      <c r="C1753" s="203">
        <v>0</v>
      </c>
      <c r="D1753" s="202" t="s">
        <v>442</v>
      </c>
      <c r="E1753" s="202" t="s">
        <v>638</v>
      </c>
      <c r="F1753" s="202" t="s">
        <v>396</v>
      </c>
      <c r="G1753" s="202" t="s">
        <v>688</v>
      </c>
    </row>
    <row r="1754" spans="1:7" hidden="1">
      <c r="A1754" s="202" t="s">
        <v>999</v>
      </c>
      <c r="B1754" s="203">
        <v>26000</v>
      </c>
      <c r="C1754" s="203">
        <v>0</v>
      </c>
      <c r="D1754" s="202" t="s">
        <v>440</v>
      </c>
      <c r="E1754" s="202" t="s">
        <v>638</v>
      </c>
      <c r="F1754" s="202" t="s">
        <v>652</v>
      </c>
      <c r="G1754" s="202" t="s">
        <v>688</v>
      </c>
    </row>
    <row r="1755" spans="1:7" hidden="1">
      <c r="A1755" s="202" t="s">
        <v>1000</v>
      </c>
      <c r="B1755" s="203">
        <v>7756</v>
      </c>
      <c r="C1755" s="203">
        <v>0</v>
      </c>
      <c r="D1755" s="202" t="s">
        <v>440</v>
      </c>
      <c r="E1755" s="202" t="s">
        <v>638</v>
      </c>
      <c r="F1755" s="202" t="s">
        <v>652</v>
      </c>
      <c r="G1755" s="202" t="s">
        <v>688</v>
      </c>
    </row>
    <row r="1756" spans="1:7" hidden="1">
      <c r="A1756" s="202" t="s">
        <v>1001</v>
      </c>
      <c r="B1756" s="203">
        <v>12600</v>
      </c>
      <c r="C1756" s="203">
        <v>0</v>
      </c>
      <c r="D1756" s="202" t="s">
        <v>440</v>
      </c>
      <c r="E1756" s="202" t="s">
        <v>638</v>
      </c>
      <c r="F1756" s="202" t="s">
        <v>652</v>
      </c>
      <c r="G1756" s="202" t="s">
        <v>688</v>
      </c>
    </row>
    <row r="1757" spans="1:7" hidden="1">
      <c r="A1757" s="202" t="s">
        <v>1002</v>
      </c>
      <c r="B1757" s="203">
        <v>20645</v>
      </c>
      <c r="C1757" s="203">
        <v>0</v>
      </c>
      <c r="D1757" s="202" t="s">
        <v>440</v>
      </c>
      <c r="E1757" s="202" t="s">
        <v>638</v>
      </c>
      <c r="F1757" s="202" t="s">
        <v>652</v>
      </c>
      <c r="G1757" s="202" t="s">
        <v>688</v>
      </c>
    </row>
    <row r="1758" spans="1:7" hidden="1">
      <c r="A1758" s="202" t="s">
        <v>1003</v>
      </c>
      <c r="B1758" s="203">
        <v>47000</v>
      </c>
      <c r="C1758" s="203">
        <v>0</v>
      </c>
      <c r="D1758" s="202" t="s">
        <v>440</v>
      </c>
      <c r="E1758" s="202" t="s">
        <v>638</v>
      </c>
      <c r="F1758" s="202" t="s">
        <v>652</v>
      </c>
      <c r="G1758" s="202" t="s">
        <v>688</v>
      </c>
    </row>
    <row r="1759" spans="1:7" hidden="1">
      <c r="A1759" s="202" t="s">
        <v>1004</v>
      </c>
      <c r="B1759" s="203">
        <v>15761</v>
      </c>
      <c r="C1759" s="203">
        <v>0</v>
      </c>
      <c r="D1759" s="202" t="s">
        <v>440</v>
      </c>
      <c r="E1759" s="202" t="s">
        <v>638</v>
      </c>
      <c r="F1759" s="202" t="s">
        <v>652</v>
      </c>
      <c r="G1759" s="202" t="s">
        <v>688</v>
      </c>
    </row>
    <row r="1760" spans="1:7" hidden="1">
      <c r="A1760" s="202" t="s">
        <v>1005</v>
      </c>
      <c r="B1760" s="203">
        <v>5700</v>
      </c>
      <c r="C1760" s="203">
        <v>0</v>
      </c>
      <c r="D1760" s="202" t="s">
        <v>440</v>
      </c>
      <c r="E1760" s="202" t="s">
        <v>638</v>
      </c>
      <c r="F1760" s="202" t="s">
        <v>652</v>
      </c>
      <c r="G1760" s="202" t="s">
        <v>688</v>
      </c>
    </row>
    <row r="1761" spans="1:7" hidden="1">
      <c r="A1761" s="202" t="s">
        <v>1006</v>
      </c>
      <c r="B1761" s="203">
        <v>35900</v>
      </c>
      <c r="C1761" s="203">
        <v>0</v>
      </c>
      <c r="D1761" s="202" t="s">
        <v>440</v>
      </c>
      <c r="E1761" s="202" t="s">
        <v>638</v>
      </c>
      <c r="F1761" s="202" t="s">
        <v>652</v>
      </c>
      <c r="G1761" s="202" t="s">
        <v>688</v>
      </c>
    </row>
    <row r="1762" spans="1:7" hidden="1">
      <c r="A1762" s="202" t="s">
        <v>1007</v>
      </c>
      <c r="B1762" s="203">
        <v>11700</v>
      </c>
      <c r="C1762" s="203">
        <v>0</v>
      </c>
      <c r="D1762" s="202" t="s">
        <v>440</v>
      </c>
      <c r="E1762" s="202" t="s">
        <v>638</v>
      </c>
      <c r="F1762" s="202" t="s">
        <v>652</v>
      </c>
      <c r="G1762" s="202" t="s">
        <v>688</v>
      </c>
    </row>
    <row r="1763" spans="1:7" hidden="1">
      <c r="A1763" s="202" t="s">
        <v>1008</v>
      </c>
      <c r="B1763" s="203">
        <v>3500</v>
      </c>
      <c r="C1763" s="203">
        <v>0</v>
      </c>
      <c r="D1763" s="202" t="s">
        <v>440</v>
      </c>
      <c r="E1763" s="202" t="s">
        <v>638</v>
      </c>
      <c r="F1763" s="202" t="s">
        <v>652</v>
      </c>
      <c r="G1763" s="202" t="s">
        <v>688</v>
      </c>
    </row>
    <row r="1764" spans="1:7" hidden="1">
      <c r="A1764" s="202" t="s">
        <v>1009</v>
      </c>
      <c r="B1764" s="203">
        <v>2089</v>
      </c>
      <c r="C1764" s="203">
        <v>0</v>
      </c>
      <c r="D1764" s="202" t="s">
        <v>442</v>
      </c>
      <c r="E1764" s="202" t="s">
        <v>638</v>
      </c>
      <c r="F1764" s="202" t="s">
        <v>396</v>
      </c>
      <c r="G1764" s="202" t="s">
        <v>688</v>
      </c>
    </row>
    <row r="1765" spans="1:7" hidden="1">
      <c r="A1765" s="202" t="s">
        <v>1010</v>
      </c>
      <c r="B1765" s="203">
        <v>13100</v>
      </c>
      <c r="C1765" s="203">
        <v>0</v>
      </c>
      <c r="D1765" s="202" t="s">
        <v>440</v>
      </c>
      <c r="E1765" s="202" t="s">
        <v>638</v>
      </c>
      <c r="F1765" s="202" t="s">
        <v>652</v>
      </c>
      <c r="G1765" s="202" t="s">
        <v>688</v>
      </c>
    </row>
    <row r="1766" spans="1:7" hidden="1">
      <c r="A1766" s="202" t="s">
        <v>1011</v>
      </c>
      <c r="B1766" s="203">
        <v>21800</v>
      </c>
      <c r="C1766" s="203">
        <v>0</v>
      </c>
      <c r="D1766" s="202" t="s">
        <v>440</v>
      </c>
      <c r="E1766" s="202" t="s">
        <v>638</v>
      </c>
      <c r="F1766" s="202" t="s">
        <v>652</v>
      </c>
      <c r="G1766" s="202" t="s">
        <v>688</v>
      </c>
    </row>
    <row r="1767" spans="1:7" hidden="1">
      <c r="A1767" s="202" t="s">
        <v>1012</v>
      </c>
      <c r="B1767" s="203">
        <v>8600</v>
      </c>
      <c r="C1767" s="203">
        <v>0</v>
      </c>
      <c r="D1767" s="202" t="s">
        <v>440</v>
      </c>
      <c r="E1767" s="202" t="s">
        <v>638</v>
      </c>
      <c r="F1767" s="202" t="s">
        <v>652</v>
      </c>
      <c r="G1767" s="202" t="s">
        <v>688</v>
      </c>
    </row>
    <row r="1768" spans="1:7" hidden="1">
      <c r="A1768" s="202" t="s">
        <v>1013</v>
      </c>
      <c r="B1768" s="203">
        <v>17600</v>
      </c>
      <c r="C1768" s="203">
        <v>0</v>
      </c>
      <c r="D1768" s="202" t="s">
        <v>440</v>
      </c>
      <c r="E1768" s="202" t="s">
        <v>638</v>
      </c>
      <c r="F1768" s="202" t="s">
        <v>652</v>
      </c>
      <c r="G1768" s="202" t="s">
        <v>688</v>
      </c>
    </row>
    <row r="1769" spans="1:7" hidden="1">
      <c r="A1769" s="202" t="s">
        <v>1014</v>
      </c>
      <c r="B1769" s="203">
        <v>14800</v>
      </c>
      <c r="C1769" s="203">
        <v>0</v>
      </c>
      <c r="D1769" s="202" t="s">
        <v>440</v>
      </c>
      <c r="E1769" s="202" t="s">
        <v>638</v>
      </c>
      <c r="F1769" s="202" t="s">
        <v>652</v>
      </c>
      <c r="G1769" s="202" t="s">
        <v>688</v>
      </c>
    </row>
    <row r="1770" spans="1:7" hidden="1">
      <c r="A1770" s="202" t="s">
        <v>1015</v>
      </c>
      <c r="B1770" s="203">
        <v>16900</v>
      </c>
      <c r="C1770" s="203">
        <v>0</v>
      </c>
      <c r="D1770" s="202" t="s">
        <v>440</v>
      </c>
      <c r="E1770" s="202" t="s">
        <v>638</v>
      </c>
      <c r="F1770" s="202" t="s">
        <v>652</v>
      </c>
      <c r="G1770" s="202" t="s">
        <v>688</v>
      </c>
    </row>
    <row r="1771" spans="1:7" hidden="1">
      <c r="A1771" s="202" t="s">
        <v>1016</v>
      </c>
      <c r="B1771" s="203">
        <v>-15900</v>
      </c>
      <c r="C1771" s="203">
        <v>0</v>
      </c>
      <c r="D1771" s="202" t="s">
        <v>442</v>
      </c>
      <c r="E1771" s="202" t="s">
        <v>638</v>
      </c>
      <c r="F1771" s="202" t="s">
        <v>396</v>
      </c>
      <c r="G1771" s="202" t="s">
        <v>688</v>
      </c>
    </row>
    <row r="1772" spans="1:7" hidden="1">
      <c r="A1772" s="202" t="s">
        <v>1017</v>
      </c>
      <c r="B1772" s="203">
        <v>17400</v>
      </c>
      <c r="C1772" s="203">
        <v>0</v>
      </c>
      <c r="D1772" s="202" t="s">
        <v>440</v>
      </c>
      <c r="E1772" s="202" t="s">
        <v>638</v>
      </c>
      <c r="F1772" s="202" t="s">
        <v>652</v>
      </c>
      <c r="G1772" s="202" t="s">
        <v>688</v>
      </c>
    </row>
    <row r="1773" spans="1:7" hidden="1">
      <c r="A1773" s="202" t="s">
        <v>1018</v>
      </c>
      <c r="B1773" s="203">
        <v>125400</v>
      </c>
      <c r="C1773" s="203">
        <v>0</v>
      </c>
      <c r="D1773" s="202" t="s">
        <v>440</v>
      </c>
      <c r="E1773" s="202" t="s">
        <v>638</v>
      </c>
      <c r="F1773" s="202" t="s">
        <v>652</v>
      </c>
      <c r="G1773" s="202" t="s">
        <v>688</v>
      </c>
    </row>
    <row r="1774" spans="1:7" hidden="1">
      <c r="A1774" s="202" t="s">
        <v>1019</v>
      </c>
      <c r="B1774" s="203">
        <v>79000</v>
      </c>
      <c r="C1774" s="203">
        <v>0</v>
      </c>
      <c r="D1774" s="202" t="s">
        <v>440</v>
      </c>
      <c r="E1774" s="202" t="s">
        <v>638</v>
      </c>
      <c r="F1774" s="202" t="s">
        <v>652</v>
      </c>
      <c r="G1774" s="202" t="s">
        <v>688</v>
      </c>
    </row>
    <row r="1775" spans="1:7" hidden="1">
      <c r="A1775" s="202" t="s">
        <v>1020</v>
      </c>
      <c r="B1775" s="203">
        <v>47700</v>
      </c>
      <c r="C1775" s="203">
        <v>0</v>
      </c>
      <c r="D1775" s="202" t="s">
        <v>440</v>
      </c>
      <c r="E1775" s="202" t="s">
        <v>638</v>
      </c>
      <c r="F1775" s="202" t="s">
        <v>652</v>
      </c>
      <c r="G1775" s="202" t="s">
        <v>688</v>
      </c>
    </row>
    <row r="1776" spans="1:7" hidden="1">
      <c r="A1776" s="202" t="s">
        <v>1021</v>
      </c>
      <c r="B1776" s="203">
        <v>100000</v>
      </c>
      <c r="C1776" s="203">
        <v>0</v>
      </c>
      <c r="D1776" s="202" t="s">
        <v>440</v>
      </c>
      <c r="E1776" s="202" t="s">
        <v>638</v>
      </c>
      <c r="F1776" s="202" t="s">
        <v>652</v>
      </c>
      <c r="G1776" s="202" t="s">
        <v>688</v>
      </c>
    </row>
    <row r="1777" spans="1:7" hidden="1">
      <c r="A1777" s="202" t="s">
        <v>1022</v>
      </c>
      <c r="B1777" s="203">
        <v>63000</v>
      </c>
      <c r="C1777" s="203">
        <v>0</v>
      </c>
      <c r="D1777" s="202" t="s">
        <v>440</v>
      </c>
      <c r="E1777" s="202" t="s">
        <v>638</v>
      </c>
      <c r="F1777" s="202" t="s">
        <v>652</v>
      </c>
      <c r="G1777" s="202" t="s">
        <v>688</v>
      </c>
    </row>
    <row r="1778" spans="1:7" hidden="1">
      <c r="A1778" s="202" t="s">
        <v>1023</v>
      </c>
      <c r="B1778" s="203">
        <v>19300</v>
      </c>
      <c r="C1778" s="203">
        <v>0</v>
      </c>
      <c r="D1778" s="202" t="s">
        <v>440</v>
      </c>
      <c r="E1778" s="202" t="s">
        <v>638</v>
      </c>
      <c r="F1778" s="202" t="s">
        <v>652</v>
      </c>
      <c r="G1778" s="202" t="s">
        <v>688</v>
      </c>
    </row>
    <row r="1779" spans="1:7" hidden="1">
      <c r="A1779" s="202" t="s">
        <v>1024</v>
      </c>
      <c r="B1779" s="203">
        <v>18300</v>
      </c>
      <c r="C1779" s="203">
        <v>0</v>
      </c>
      <c r="D1779" s="202" t="s">
        <v>440</v>
      </c>
      <c r="E1779" s="202" t="s">
        <v>638</v>
      </c>
      <c r="F1779" s="202" t="s">
        <v>652</v>
      </c>
      <c r="G1779" s="202" t="s">
        <v>688</v>
      </c>
    </row>
    <row r="1780" spans="1:7" hidden="1">
      <c r="A1780" s="202" t="s">
        <v>1025</v>
      </c>
      <c r="B1780" s="203">
        <v>11400</v>
      </c>
      <c r="C1780" s="203">
        <v>0</v>
      </c>
      <c r="D1780" s="202" t="s">
        <v>440</v>
      </c>
      <c r="E1780" s="202" t="s">
        <v>638</v>
      </c>
      <c r="F1780" s="202" t="s">
        <v>652</v>
      </c>
      <c r="G1780" s="202" t="s">
        <v>688</v>
      </c>
    </row>
    <row r="1781" spans="1:7" hidden="1">
      <c r="A1781" s="202" t="s">
        <v>1026</v>
      </c>
      <c r="B1781" s="203">
        <v>6400</v>
      </c>
      <c r="C1781" s="203">
        <v>0</v>
      </c>
      <c r="D1781" s="202" t="s">
        <v>440</v>
      </c>
      <c r="E1781" s="202" t="s">
        <v>638</v>
      </c>
      <c r="F1781" s="202" t="s">
        <v>652</v>
      </c>
      <c r="G1781" s="202" t="s">
        <v>688</v>
      </c>
    </row>
    <row r="1782" spans="1:7" hidden="1">
      <c r="A1782" s="202" t="s">
        <v>1027</v>
      </c>
      <c r="B1782" s="203">
        <v>10500</v>
      </c>
      <c r="C1782" s="203">
        <v>0</v>
      </c>
      <c r="D1782" s="202" t="s">
        <v>440</v>
      </c>
      <c r="E1782" s="202" t="s">
        <v>638</v>
      </c>
      <c r="F1782" s="202" t="s">
        <v>652</v>
      </c>
      <c r="G1782" s="202" t="s">
        <v>688</v>
      </c>
    </row>
    <row r="1783" spans="1:7" hidden="1">
      <c r="A1783" s="202" t="s">
        <v>1028</v>
      </c>
      <c r="B1783" s="203">
        <v>1200</v>
      </c>
      <c r="C1783" s="203">
        <v>0</v>
      </c>
      <c r="D1783" s="202" t="s">
        <v>442</v>
      </c>
      <c r="E1783" s="202" t="s">
        <v>638</v>
      </c>
      <c r="F1783" s="202" t="s">
        <v>396</v>
      </c>
      <c r="G1783" s="202" t="s">
        <v>688</v>
      </c>
    </row>
    <row r="1784" spans="1:7" hidden="1">
      <c r="A1784" s="202" t="s">
        <v>1029</v>
      </c>
      <c r="B1784" s="203">
        <v>9300</v>
      </c>
      <c r="C1784" s="203">
        <v>0</v>
      </c>
      <c r="D1784" s="202" t="s">
        <v>440</v>
      </c>
      <c r="E1784" s="202" t="s">
        <v>638</v>
      </c>
      <c r="F1784" s="202" t="s">
        <v>652</v>
      </c>
      <c r="G1784" s="202" t="s">
        <v>688</v>
      </c>
    </row>
    <row r="1785" spans="1:7" hidden="1">
      <c r="A1785" s="202" t="s">
        <v>1030</v>
      </c>
      <c r="B1785" s="203">
        <v>23100</v>
      </c>
      <c r="C1785" s="203">
        <v>0</v>
      </c>
      <c r="D1785" s="202" t="s">
        <v>440</v>
      </c>
      <c r="E1785" s="202" t="s">
        <v>638</v>
      </c>
      <c r="F1785" s="202" t="s">
        <v>652</v>
      </c>
      <c r="G1785" s="202" t="s">
        <v>688</v>
      </c>
    </row>
    <row r="1786" spans="1:7" hidden="1">
      <c r="A1786" s="202" t="s">
        <v>1031</v>
      </c>
      <c r="B1786" s="203">
        <v>12700</v>
      </c>
      <c r="C1786" s="203">
        <v>0</v>
      </c>
      <c r="D1786" s="202" t="s">
        <v>440</v>
      </c>
      <c r="E1786" s="202" t="s">
        <v>638</v>
      </c>
      <c r="F1786" s="202" t="s">
        <v>652</v>
      </c>
      <c r="G1786" s="202" t="s">
        <v>688</v>
      </c>
    </row>
    <row r="1787" spans="1:7" hidden="1">
      <c r="A1787" s="202" t="s">
        <v>1032</v>
      </c>
      <c r="B1787" s="203">
        <v>15000</v>
      </c>
      <c r="C1787" s="203">
        <v>0</v>
      </c>
      <c r="D1787" s="202" t="s">
        <v>440</v>
      </c>
      <c r="E1787" s="202" t="s">
        <v>638</v>
      </c>
      <c r="F1787" s="202" t="s">
        <v>652</v>
      </c>
      <c r="G1787" s="202" t="s">
        <v>688</v>
      </c>
    </row>
    <row r="1788" spans="1:7" hidden="1">
      <c r="A1788" s="202" t="s">
        <v>1033</v>
      </c>
      <c r="B1788" s="203">
        <v>2000</v>
      </c>
      <c r="C1788" s="203">
        <v>0</v>
      </c>
      <c r="D1788" s="202" t="s">
        <v>442</v>
      </c>
      <c r="E1788" s="202" t="s">
        <v>638</v>
      </c>
      <c r="F1788" s="202" t="s">
        <v>396</v>
      </c>
      <c r="G1788" s="202" t="s">
        <v>688</v>
      </c>
    </row>
    <row r="1789" spans="1:7" hidden="1">
      <c r="A1789" s="202" t="s">
        <v>1034</v>
      </c>
      <c r="B1789" s="203">
        <v>37400</v>
      </c>
      <c r="C1789" s="203">
        <v>0</v>
      </c>
      <c r="D1789" s="202" t="s">
        <v>440</v>
      </c>
      <c r="E1789" s="202" t="s">
        <v>638</v>
      </c>
      <c r="F1789" s="202" t="s">
        <v>652</v>
      </c>
      <c r="G1789" s="202" t="s">
        <v>688</v>
      </c>
    </row>
    <row r="1790" spans="1:7" hidden="1">
      <c r="A1790" s="202" t="s">
        <v>1035</v>
      </c>
      <c r="B1790" s="203">
        <v>2200</v>
      </c>
      <c r="C1790" s="203">
        <v>0</v>
      </c>
      <c r="D1790" s="202" t="s">
        <v>442</v>
      </c>
      <c r="E1790" s="202" t="s">
        <v>638</v>
      </c>
      <c r="F1790" s="202" t="s">
        <v>396</v>
      </c>
      <c r="G1790" s="202" t="s">
        <v>688</v>
      </c>
    </row>
    <row r="1791" spans="1:7" hidden="1">
      <c r="A1791" s="202" t="s">
        <v>1036</v>
      </c>
      <c r="B1791" s="203">
        <v>15900</v>
      </c>
      <c r="C1791" s="203">
        <v>0</v>
      </c>
      <c r="D1791" s="202" t="s">
        <v>442</v>
      </c>
      <c r="E1791" s="202" t="s">
        <v>638</v>
      </c>
      <c r="F1791" s="202" t="s">
        <v>396</v>
      </c>
      <c r="G1791" s="202" t="s">
        <v>688</v>
      </c>
    </row>
    <row r="1792" spans="1:7" hidden="1">
      <c r="A1792" s="202" t="s">
        <v>1037</v>
      </c>
      <c r="B1792" s="203">
        <v>6600</v>
      </c>
      <c r="C1792" s="203">
        <v>0</v>
      </c>
      <c r="D1792" s="202" t="s">
        <v>440</v>
      </c>
      <c r="E1792" s="202" t="s">
        <v>638</v>
      </c>
      <c r="F1792" s="202" t="s">
        <v>652</v>
      </c>
      <c r="G1792" s="202" t="s">
        <v>688</v>
      </c>
    </row>
    <row r="1793" spans="1:7" hidden="1">
      <c r="A1793" s="202" t="s">
        <v>1038</v>
      </c>
      <c r="B1793" s="203">
        <v>10700</v>
      </c>
      <c r="C1793" s="203">
        <v>0</v>
      </c>
      <c r="D1793" s="202" t="s">
        <v>440</v>
      </c>
      <c r="E1793" s="202" t="s">
        <v>638</v>
      </c>
      <c r="F1793" s="202" t="s">
        <v>652</v>
      </c>
      <c r="G1793" s="202" t="s">
        <v>688</v>
      </c>
    </row>
    <row r="1794" spans="1:7" hidden="1">
      <c r="A1794" s="202" t="s">
        <v>1039</v>
      </c>
      <c r="B1794" s="203">
        <v>2631</v>
      </c>
      <c r="C1794" s="203">
        <v>0</v>
      </c>
      <c r="D1794" s="202" t="s">
        <v>440</v>
      </c>
      <c r="E1794" s="202" t="s">
        <v>638</v>
      </c>
      <c r="F1794" s="202" t="s">
        <v>652</v>
      </c>
      <c r="G1794" s="202" t="s">
        <v>688</v>
      </c>
    </row>
    <row r="1795" spans="1:7" hidden="1">
      <c r="A1795" s="202" t="s">
        <v>1040</v>
      </c>
      <c r="B1795" s="203">
        <v>10200</v>
      </c>
      <c r="C1795" s="203">
        <v>0</v>
      </c>
      <c r="D1795" s="202" t="s">
        <v>440</v>
      </c>
      <c r="E1795" s="202" t="s">
        <v>638</v>
      </c>
      <c r="F1795" s="202" t="s">
        <v>652</v>
      </c>
      <c r="G1795" s="202" t="s">
        <v>688</v>
      </c>
    </row>
    <row r="1796" spans="1:7" hidden="1">
      <c r="A1796" s="202" t="s">
        <v>1041</v>
      </c>
      <c r="B1796" s="203">
        <v>12300</v>
      </c>
      <c r="C1796" s="203">
        <v>0</v>
      </c>
      <c r="D1796" s="202" t="s">
        <v>440</v>
      </c>
      <c r="E1796" s="202" t="s">
        <v>638</v>
      </c>
      <c r="F1796" s="202" t="s">
        <v>652</v>
      </c>
      <c r="G1796" s="202" t="s">
        <v>688</v>
      </c>
    </row>
    <row r="1797" spans="1:7" hidden="1">
      <c r="A1797" s="202" t="s">
        <v>1042</v>
      </c>
      <c r="B1797" s="203">
        <v>26000</v>
      </c>
      <c r="C1797" s="203">
        <v>0</v>
      </c>
      <c r="D1797" s="202" t="s">
        <v>440</v>
      </c>
      <c r="E1797" s="202" t="s">
        <v>638</v>
      </c>
      <c r="F1797" s="202" t="s">
        <v>652</v>
      </c>
      <c r="G1797" s="202" t="s">
        <v>688</v>
      </c>
    </row>
    <row r="1798" spans="1:7" hidden="1">
      <c r="A1798" s="202" t="s">
        <v>1043</v>
      </c>
      <c r="B1798" s="203">
        <v>42400</v>
      </c>
      <c r="C1798" s="203">
        <v>0</v>
      </c>
      <c r="D1798" s="202" t="s">
        <v>440</v>
      </c>
      <c r="E1798" s="202" t="s">
        <v>638</v>
      </c>
      <c r="F1798" s="202" t="s">
        <v>652</v>
      </c>
      <c r="G1798" s="202" t="s">
        <v>688</v>
      </c>
    </row>
    <row r="1799" spans="1:7" hidden="1">
      <c r="A1799" s="202" t="s">
        <v>1044</v>
      </c>
      <c r="B1799" s="203">
        <v>45433</v>
      </c>
      <c r="C1799" s="203">
        <v>0</v>
      </c>
      <c r="D1799" s="202" t="s">
        <v>440</v>
      </c>
      <c r="E1799" s="202" t="s">
        <v>638</v>
      </c>
      <c r="F1799" s="202" t="s">
        <v>652</v>
      </c>
      <c r="G1799" s="202" t="s">
        <v>688</v>
      </c>
    </row>
    <row r="1800" spans="1:7" hidden="1">
      <c r="A1800" s="202" t="s">
        <v>1045</v>
      </c>
      <c r="B1800" s="203">
        <v>40900</v>
      </c>
      <c r="C1800" s="203">
        <v>0</v>
      </c>
      <c r="D1800" s="202" t="s">
        <v>440</v>
      </c>
      <c r="E1800" s="202" t="s">
        <v>638</v>
      </c>
      <c r="F1800" s="202" t="s">
        <v>652</v>
      </c>
      <c r="G1800" s="202" t="s">
        <v>688</v>
      </c>
    </row>
    <row r="1801" spans="1:7" hidden="1">
      <c r="A1801" s="202" t="s">
        <v>1046</v>
      </c>
      <c r="B1801" s="203">
        <v>5000</v>
      </c>
      <c r="C1801" s="203">
        <v>0</v>
      </c>
      <c r="D1801" s="202" t="s">
        <v>442</v>
      </c>
      <c r="E1801" s="202" t="s">
        <v>638</v>
      </c>
      <c r="F1801" s="202" t="s">
        <v>396</v>
      </c>
      <c r="G1801" s="202" t="s">
        <v>688</v>
      </c>
    </row>
    <row r="1802" spans="1:7" hidden="1">
      <c r="A1802" s="202" t="s">
        <v>1047</v>
      </c>
      <c r="B1802" s="203">
        <v>32800</v>
      </c>
      <c r="C1802" s="203">
        <v>0</v>
      </c>
      <c r="D1802" s="202" t="s">
        <v>440</v>
      </c>
      <c r="E1802" s="202" t="s">
        <v>638</v>
      </c>
      <c r="F1802" s="202" t="s">
        <v>652</v>
      </c>
      <c r="G1802" s="202" t="s">
        <v>688</v>
      </c>
    </row>
    <row r="1803" spans="1:7" hidden="1">
      <c r="A1803" s="202" t="s">
        <v>1048</v>
      </c>
      <c r="B1803" s="203">
        <v>11700</v>
      </c>
      <c r="C1803" s="203">
        <v>0</v>
      </c>
      <c r="D1803" s="202" t="s">
        <v>440</v>
      </c>
      <c r="E1803" s="202" t="s">
        <v>638</v>
      </c>
      <c r="F1803" s="202" t="s">
        <v>652</v>
      </c>
      <c r="G1803" s="202" t="s">
        <v>688</v>
      </c>
    </row>
    <row r="1804" spans="1:7" hidden="1">
      <c r="A1804" s="202" t="s">
        <v>1049</v>
      </c>
      <c r="B1804" s="203">
        <v>23400</v>
      </c>
      <c r="C1804" s="203">
        <v>0</v>
      </c>
      <c r="D1804" s="202" t="s">
        <v>440</v>
      </c>
      <c r="E1804" s="202" t="s">
        <v>638</v>
      </c>
      <c r="F1804" s="202" t="s">
        <v>652</v>
      </c>
      <c r="G1804" s="202" t="s">
        <v>688</v>
      </c>
    </row>
    <row r="1805" spans="1:7" hidden="1">
      <c r="A1805" s="202" t="s">
        <v>1050</v>
      </c>
      <c r="B1805" s="203">
        <v>8000</v>
      </c>
      <c r="C1805" s="203">
        <v>0</v>
      </c>
      <c r="D1805" s="202" t="s">
        <v>440</v>
      </c>
      <c r="E1805" s="202" t="s">
        <v>638</v>
      </c>
      <c r="F1805" s="202" t="s">
        <v>652</v>
      </c>
      <c r="G1805" s="202" t="s">
        <v>688</v>
      </c>
    </row>
    <row r="1806" spans="1:7" hidden="1">
      <c r="A1806" s="202" t="s">
        <v>1051</v>
      </c>
      <c r="B1806" s="203">
        <v>11800</v>
      </c>
      <c r="C1806" s="203">
        <v>0</v>
      </c>
      <c r="D1806" s="202" t="s">
        <v>440</v>
      </c>
      <c r="E1806" s="202" t="s">
        <v>638</v>
      </c>
      <c r="F1806" s="202" t="s">
        <v>652</v>
      </c>
      <c r="G1806" s="202" t="s">
        <v>688</v>
      </c>
    </row>
    <row r="1807" spans="1:7" hidden="1">
      <c r="A1807" s="202" t="s">
        <v>1052</v>
      </c>
      <c r="B1807" s="203">
        <v>13400</v>
      </c>
      <c r="C1807" s="203">
        <v>0</v>
      </c>
      <c r="D1807" s="202" t="s">
        <v>440</v>
      </c>
      <c r="E1807" s="202" t="s">
        <v>638</v>
      </c>
      <c r="F1807" s="202" t="s">
        <v>652</v>
      </c>
      <c r="G1807" s="202" t="s">
        <v>688</v>
      </c>
    </row>
    <row r="1808" spans="1:7" hidden="1">
      <c r="A1808" s="202" t="s">
        <v>1053</v>
      </c>
      <c r="B1808" s="203">
        <v>2900</v>
      </c>
      <c r="C1808" s="203">
        <v>0</v>
      </c>
      <c r="D1808" s="202" t="s">
        <v>442</v>
      </c>
      <c r="E1808" s="202" t="s">
        <v>638</v>
      </c>
      <c r="F1808" s="202" t="s">
        <v>396</v>
      </c>
      <c r="G1808" s="202" t="s">
        <v>688</v>
      </c>
    </row>
    <row r="1809" spans="1:7" hidden="1">
      <c r="A1809" s="202" t="s">
        <v>1054</v>
      </c>
      <c r="B1809" s="203">
        <v>57400</v>
      </c>
      <c r="C1809" s="203">
        <v>0</v>
      </c>
      <c r="D1809" s="202" t="s">
        <v>440</v>
      </c>
      <c r="E1809" s="202" t="s">
        <v>638</v>
      </c>
      <c r="F1809" s="202" t="s">
        <v>652</v>
      </c>
      <c r="G1809" s="202" t="s">
        <v>688</v>
      </c>
    </row>
    <row r="1810" spans="1:7" hidden="1">
      <c r="A1810" s="202" t="s">
        <v>1055</v>
      </c>
      <c r="B1810" s="203">
        <v>3600</v>
      </c>
      <c r="C1810" s="203">
        <v>0</v>
      </c>
      <c r="D1810" s="202" t="s">
        <v>442</v>
      </c>
      <c r="E1810" s="202" t="s">
        <v>638</v>
      </c>
      <c r="F1810" s="202" t="s">
        <v>396</v>
      </c>
      <c r="G1810" s="202" t="s">
        <v>688</v>
      </c>
    </row>
    <row r="1811" spans="1:7" hidden="1">
      <c r="A1811" s="202" t="s">
        <v>1056</v>
      </c>
      <c r="B1811" s="203">
        <v>13100</v>
      </c>
      <c r="C1811" s="203">
        <v>0</v>
      </c>
      <c r="D1811" s="202" t="s">
        <v>440</v>
      </c>
      <c r="E1811" s="202" t="s">
        <v>638</v>
      </c>
      <c r="F1811" s="202" t="s">
        <v>652</v>
      </c>
      <c r="G1811" s="202" t="s">
        <v>688</v>
      </c>
    </row>
    <row r="1812" spans="1:7" hidden="1">
      <c r="A1812" s="202" t="s">
        <v>1057</v>
      </c>
      <c r="B1812" s="203">
        <v>6300</v>
      </c>
      <c r="C1812" s="203">
        <v>0</v>
      </c>
      <c r="D1812" s="202" t="s">
        <v>440</v>
      </c>
      <c r="E1812" s="202" t="s">
        <v>638</v>
      </c>
      <c r="F1812" s="202" t="s">
        <v>652</v>
      </c>
      <c r="G1812" s="202" t="s">
        <v>688</v>
      </c>
    </row>
    <row r="1813" spans="1:7" hidden="1">
      <c r="A1813" s="202" t="s">
        <v>1058</v>
      </c>
      <c r="B1813" s="203">
        <v>17700</v>
      </c>
      <c r="C1813" s="203">
        <v>0</v>
      </c>
      <c r="D1813" s="202" t="s">
        <v>440</v>
      </c>
      <c r="E1813" s="202" t="s">
        <v>638</v>
      </c>
      <c r="F1813" s="202" t="s">
        <v>652</v>
      </c>
      <c r="G1813" s="202" t="s">
        <v>688</v>
      </c>
    </row>
    <row r="1814" spans="1:7" hidden="1">
      <c r="A1814" s="202" t="s">
        <v>1059</v>
      </c>
      <c r="B1814" s="203">
        <v>29643</v>
      </c>
      <c r="C1814" s="203">
        <v>0</v>
      </c>
      <c r="D1814" s="202" t="s">
        <v>440</v>
      </c>
      <c r="E1814" s="202" t="s">
        <v>638</v>
      </c>
      <c r="F1814" s="202" t="s">
        <v>652</v>
      </c>
      <c r="G1814" s="202" t="s">
        <v>688</v>
      </c>
    </row>
    <row r="1815" spans="1:7" hidden="1">
      <c r="A1815" s="202" t="s">
        <v>1060</v>
      </c>
      <c r="B1815" s="203">
        <v>39000</v>
      </c>
      <c r="C1815" s="203">
        <v>0</v>
      </c>
      <c r="D1815" s="202" t="s">
        <v>442</v>
      </c>
      <c r="E1815" s="202" t="s">
        <v>638</v>
      </c>
      <c r="F1815" s="202" t="s">
        <v>396</v>
      </c>
      <c r="G1815" s="202" t="s">
        <v>688</v>
      </c>
    </row>
    <row r="1816" spans="1:7" hidden="1">
      <c r="A1816" s="202" t="s">
        <v>1061</v>
      </c>
      <c r="B1816" s="203">
        <v>4900</v>
      </c>
      <c r="C1816" s="203">
        <v>0</v>
      </c>
      <c r="D1816" s="202" t="s">
        <v>442</v>
      </c>
      <c r="E1816" s="202" t="s">
        <v>638</v>
      </c>
      <c r="F1816" s="202" t="s">
        <v>396</v>
      </c>
      <c r="G1816" s="202" t="s">
        <v>688</v>
      </c>
    </row>
    <row r="1817" spans="1:7" hidden="1">
      <c r="A1817" s="202" t="s">
        <v>1062</v>
      </c>
      <c r="B1817" s="203">
        <v>2700</v>
      </c>
      <c r="C1817" s="203">
        <v>0</v>
      </c>
      <c r="D1817" s="202" t="s">
        <v>442</v>
      </c>
      <c r="E1817" s="202" t="s">
        <v>638</v>
      </c>
      <c r="F1817" s="202" t="s">
        <v>396</v>
      </c>
      <c r="G1817" s="202" t="s">
        <v>688</v>
      </c>
    </row>
    <row r="1818" spans="1:7" hidden="1">
      <c r="A1818" s="202" t="s">
        <v>1063</v>
      </c>
      <c r="B1818" s="203">
        <v>5354</v>
      </c>
      <c r="C1818" s="203">
        <v>0</v>
      </c>
      <c r="D1818" s="202" t="s">
        <v>440</v>
      </c>
      <c r="E1818" s="202" t="s">
        <v>638</v>
      </c>
      <c r="F1818" s="202" t="s">
        <v>652</v>
      </c>
      <c r="G1818" s="202" t="s">
        <v>688</v>
      </c>
    </row>
    <row r="1819" spans="1:7" hidden="1">
      <c r="A1819" s="202" t="s">
        <v>1064</v>
      </c>
      <c r="B1819" s="203">
        <v>7300</v>
      </c>
      <c r="C1819" s="203">
        <v>0</v>
      </c>
      <c r="D1819" s="202" t="s">
        <v>440</v>
      </c>
      <c r="E1819" s="202" t="s">
        <v>638</v>
      </c>
      <c r="F1819" s="202" t="s">
        <v>652</v>
      </c>
      <c r="G1819" s="202" t="s">
        <v>688</v>
      </c>
    </row>
    <row r="1820" spans="1:7" hidden="1">
      <c r="A1820" s="202" t="s">
        <v>1065</v>
      </c>
      <c r="B1820" s="203">
        <v>1078</v>
      </c>
      <c r="C1820" s="203">
        <v>0</v>
      </c>
      <c r="D1820" s="202" t="s">
        <v>440</v>
      </c>
      <c r="E1820" s="202" t="s">
        <v>638</v>
      </c>
      <c r="F1820" s="202" t="s">
        <v>652</v>
      </c>
      <c r="G1820" s="202" t="s">
        <v>688</v>
      </c>
    </row>
    <row r="1821" spans="1:7" hidden="1">
      <c r="A1821" s="202" t="s">
        <v>1066</v>
      </c>
      <c r="B1821" s="203">
        <v>213</v>
      </c>
      <c r="C1821" s="203">
        <v>0</v>
      </c>
      <c r="D1821" s="202" t="s">
        <v>442</v>
      </c>
      <c r="E1821" s="202" t="s">
        <v>638</v>
      </c>
      <c r="F1821" s="202" t="s">
        <v>396</v>
      </c>
      <c r="G1821" s="202" t="s">
        <v>688</v>
      </c>
    </row>
    <row r="1822" spans="1:7" hidden="1">
      <c r="A1822" s="202" t="s">
        <v>1067</v>
      </c>
      <c r="B1822" s="203">
        <v>-26900</v>
      </c>
      <c r="C1822" s="203">
        <v>0</v>
      </c>
      <c r="D1822" s="202" t="s">
        <v>440</v>
      </c>
      <c r="E1822" s="202" t="s">
        <v>638</v>
      </c>
      <c r="F1822" s="202" t="s">
        <v>409</v>
      </c>
      <c r="G1822" s="202" t="s">
        <v>688</v>
      </c>
    </row>
    <row r="1823" spans="1:7" hidden="1">
      <c r="A1823" s="202" t="s">
        <v>1068</v>
      </c>
      <c r="B1823" s="203">
        <v>-38300</v>
      </c>
      <c r="C1823" s="203">
        <v>0</v>
      </c>
      <c r="D1823" s="202" t="s">
        <v>440</v>
      </c>
      <c r="E1823" s="202" t="s">
        <v>638</v>
      </c>
      <c r="F1823" s="202" t="s">
        <v>652</v>
      </c>
      <c r="G1823" s="202" t="s">
        <v>688</v>
      </c>
    </row>
    <row r="1824" spans="1:7" hidden="1">
      <c r="A1824" s="202" t="s">
        <v>1069</v>
      </c>
      <c r="B1824" s="203">
        <v>-13000</v>
      </c>
      <c r="C1824" s="203">
        <v>0</v>
      </c>
      <c r="D1824" s="202" t="s">
        <v>442</v>
      </c>
      <c r="E1824" s="202" t="s">
        <v>638</v>
      </c>
      <c r="F1824" s="202" t="s">
        <v>396</v>
      </c>
      <c r="G1824" s="202" t="s">
        <v>688</v>
      </c>
    </row>
    <row r="1825" spans="1:7" hidden="1">
      <c r="A1825" s="202" t="s">
        <v>1070</v>
      </c>
      <c r="B1825" s="203">
        <v>-800</v>
      </c>
      <c r="C1825" s="203">
        <v>0</v>
      </c>
      <c r="D1825" s="202" t="s">
        <v>440</v>
      </c>
      <c r="E1825" s="202" t="s">
        <v>638</v>
      </c>
      <c r="F1825" s="202" t="s">
        <v>652</v>
      </c>
      <c r="G1825" s="202" t="s">
        <v>688</v>
      </c>
    </row>
    <row r="1826" spans="1:7" hidden="1">
      <c r="A1826" s="202" t="s">
        <v>1071</v>
      </c>
      <c r="B1826" s="203">
        <v>-28000</v>
      </c>
      <c r="C1826" s="203">
        <v>0</v>
      </c>
      <c r="D1826" s="202" t="s">
        <v>440</v>
      </c>
      <c r="E1826" s="202" t="s">
        <v>638</v>
      </c>
      <c r="F1826" s="202" t="s">
        <v>652</v>
      </c>
      <c r="G1826" s="202" t="s">
        <v>688</v>
      </c>
    </row>
    <row r="1827" spans="1:7" hidden="1">
      <c r="A1827" s="202" t="s">
        <v>1072</v>
      </c>
      <c r="B1827" s="203">
        <v>-7200</v>
      </c>
      <c r="C1827" s="203">
        <v>0</v>
      </c>
      <c r="D1827" s="202" t="s">
        <v>442</v>
      </c>
      <c r="E1827" s="202" t="s">
        <v>638</v>
      </c>
      <c r="F1827" s="202" t="s">
        <v>396</v>
      </c>
      <c r="G1827" s="202" t="s">
        <v>688</v>
      </c>
    </row>
    <row r="1828" spans="1:7" hidden="1">
      <c r="A1828" s="202" t="s">
        <v>1073</v>
      </c>
      <c r="B1828" s="203">
        <v>-50708</v>
      </c>
      <c r="C1828" s="203">
        <v>0</v>
      </c>
      <c r="D1828" s="202" t="s">
        <v>440</v>
      </c>
      <c r="E1828" s="202" t="s">
        <v>638</v>
      </c>
      <c r="F1828" s="202" t="s">
        <v>652</v>
      </c>
      <c r="G1828" s="202" t="s">
        <v>688</v>
      </c>
    </row>
    <row r="1829" spans="1:7" hidden="1">
      <c r="A1829" s="202" t="s">
        <v>1074</v>
      </c>
      <c r="B1829" s="203">
        <v>-11300</v>
      </c>
      <c r="C1829" s="203">
        <v>0</v>
      </c>
      <c r="D1829" s="202" t="s">
        <v>442</v>
      </c>
      <c r="E1829" s="202" t="s">
        <v>638</v>
      </c>
      <c r="F1829" s="202" t="s">
        <v>396</v>
      </c>
      <c r="G1829" s="202" t="s">
        <v>688</v>
      </c>
    </row>
    <row r="1830" spans="1:7" hidden="1">
      <c r="A1830" s="202" t="s">
        <v>1075</v>
      </c>
      <c r="B1830" s="203">
        <v>23100</v>
      </c>
      <c r="C1830" s="203">
        <v>0</v>
      </c>
      <c r="D1830" s="202" t="s">
        <v>440</v>
      </c>
      <c r="E1830" s="202" t="s">
        <v>638</v>
      </c>
      <c r="F1830" s="202" t="s">
        <v>652</v>
      </c>
      <c r="G1830" s="202" t="s">
        <v>688</v>
      </c>
    </row>
    <row r="1831" spans="1:7" hidden="1">
      <c r="A1831" s="202" t="s">
        <v>1076</v>
      </c>
      <c r="B1831" s="203">
        <v>3300</v>
      </c>
      <c r="C1831" s="203">
        <v>0</v>
      </c>
      <c r="D1831" s="202" t="s">
        <v>442</v>
      </c>
      <c r="E1831" s="202" t="s">
        <v>638</v>
      </c>
      <c r="F1831" s="202" t="s">
        <v>396</v>
      </c>
      <c r="G1831" s="202" t="s">
        <v>688</v>
      </c>
    </row>
    <row r="1832" spans="1:7" hidden="1">
      <c r="A1832" s="202" t="s">
        <v>1077</v>
      </c>
      <c r="B1832" s="203">
        <v>7900</v>
      </c>
      <c r="C1832" s="203">
        <v>0</v>
      </c>
      <c r="D1832" s="202" t="s">
        <v>440</v>
      </c>
      <c r="E1832" s="202" t="s">
        <v>638</v>
      </c>
      <c r="F1832" s="202" t="s">
        <v>652</v>
      </c>
      <c r="G1832" s="202" t="s">
        <v>688</v>
      </c>
    </row>
    <row r="1833" spans="1:7" hidden="1">
      <c r="A1833" s="202" t="s">
        <v>1078</v>
      </c>
      <c r="B1833" s="203">
        <v>62700</v>
      </c>
      <c r="C1833" s="203">
        <v>0</v>
      </c>
      <c r="D1833" s="202" t="s">
        <v>440</v>
      </c>
      <c r="E1833" s="202" t="s">
        <v>638</v>
      </c>
      <c r="F1833" s="202" t="s">
        <v>652</v>
      </c>
      <c r="G1833" s="202" t="s">
        <v>688</v>
      </c>
    </row>
    <row r="1834" spans="1:7" hidden="1">
      <c r="A1834" s="202" t="s">
        <v>1079</v>
      </c>
      <c r="B1834" s="203">
        <v>18650</v>
      </c>
      <c r="C1834" s="203">
        <v>0</v>
      </c>
      <c r="D1834" s="202" t="s">
        <v>442</v>
      </c>
      <c r="E1834" s="202" t="s">
        <v>638</v>
      </c>
      <c r="F1834" s="202" t="s">
        <v>396</v>
      </c>
      <c r="G1834" s="202" t="s">
        <v>688</v>
      </c>
    </row>
    <row r="1835" spans="1:7" hidden="1">
      <c r="A1835" s="202" t="s">
        <v>1080</v>
      </c>
      <c r="B1835" s="203">
        <v>28800</v>
      </c>
      <c r="C1835" s="203">
        <v>0</v>
      </c>
      <c r="D1835" s="202" t="s">
        <v>440</v>
      </c>
      <c r="E1835" s="202" t="s">
        <v>638</v>
      </c>
      <c r="F1835" s="202" t="s">
        <v>652</v>
      </c>
      <c r="G1835" s="202" t="s">
        <v>688</v>
      </c>
    </row>
    <row r="1836" spans="1:7" hidden="1">
      <c r="A1836" s="202" t="s">
        <v>1081</v>
      </c>
      <c r="B1836" s="203">
        <v>42700</v>
      </c>
      <c r="C1836" s="203">
        <v>0</v>
      </c>
      <c r="D1836" s="202" t="s">
        <v>442</v>
      </c>
      <c r="E1836" s="202" t="s">
        <v>638</v>
      </c>
      <c r="F1836" s="202" t="s">
        <v>396</v>
      </c>
      <c r="G1836" s="202" t="s">
        <v>688</v>
      </c>
    </row>
    <row r="1837" spans="1:7" hidden="1">
      <c r="A1837" s="202" t="s">
        <v>1082</v>
      </c>
      <c r="B1837" s="203">
        <v>19240</v>
      </c>
      <c r="C1837" s="203">
        <v>0</v>
      </c>
      <c r="D1837" s="202" t="s">
        <v>440</v>
      </c>
      <c r="E1837" s="202" t="s">
        <v>638</v>
      </c>
      <c r="F1837" s="202" t="s">
        <v>652</v>
      </c>
      <c r="G1837" s="202" t="s">
        <v>688</v>
      </c>
    </row>
    <row r="1838" spans="1:7" hidden="1">
      <c r="A1838" s="202" t="s">
        <v>1083</v>
      </c>
      <c r="B1838" s="203">
        <v>60000</v>
      </c>
      <c r="C1838" s="203">
        <v>0</v>
      </c>
      <c r="D1838" s="202" t="s">
        <v>440</v>
      </c>
      <c r="E1838" s="202" t="s">
        <v>638</v>
      </c>
      <c r="F1838" s="202" t="s">
        <v>652</v>
      </c>
      <c r="G1838" s="202" t="s">
        <v>688</v>
      </c>
    </row>
    <row r="1839" spans="1:7" hidden="1">
      <c r="A1839" s="202" t="s">
        <v>1084</v>
      </c>
      <c r="B1839" s="203">
        <v>18000</v>
      </c>
      <c r="C1839" s="203">
        <v>0</v>
      </c>
      <c r="D1839" s="202" t="s">
        <v>442</v>
      </c>
      <c r="E1839" s="202" t="s">
        <v>638</v>
      </c>
      <c r="F1839" s="202" t="s">
        <v>396</v>
      </c>
      <c r="G1839" s="202" t="s">
        <v>688</v>
      </c>
    </row>
    <row r="1840" spans="1:7" hidden="1">
      <c r="A1840" s="202" t="s">
        <v>1085</v>
      </c>
      <c r="B1840" s="203">
        <v>104600</v>
      </c>
      <c r="C1840" s="203">
        <v>0</v>
      </c>
      <c r="D1840" s="202" t="s">
        <v>440</v>
      </c>
      <c r="E1840" s="202" t="s">
        <v>638</v>
      </c>
      <c r="F1840" s="202" t="s">
        <v>652</v>
      </c>
      <c r="G1840" s="202" t="s">
        <v>688</v>
      </c>
    </row>
    <row r="1841" spans="1:7" hidden="1">
      <c r="A1841" s="202" t="s">
        <v>1086</v>
      </c>
      <c r="B1841" s="203">
        <v>2700</v>
      </c>
      <c r="C1841" s="203">
        <v>0</v>
      </c>
      <c r="D1841" s="202" t="s">
        <v>442</v>
      </c>
      <c r="E1841" s="202" t="s">
        <v>638</v>
      </c>
      <c r="F1841" s="202" t="s">
        <v>396</v>
      </c>
      <c r="G1841" s="202" t="s">
        <v>688</v>
      </c>
    </row>
    <row r="1842" spans="1:7" hidden="1">
      <c r="A1842" s="202" t="s">
        <v>1087</v>
      </c>
      <c r="B1842" s="203">
        <v>9200</v>
      </c>
      <c r="C1842" s="203">
        <v>0</v>
      </c>
      <c r="D1842" s="202" t="s">
        <v>442</v>
      </c>
      <c r="E1842" s="202" t="s">
        <v>638</v>
      </c>
      <c r="F1842" s="202" t="s">
        <v>396</v>
      </c>
      <c r="G1842" s="202" t="s">
        <v>688</v>
      </c>
    </row>
    <row r="1843" spans="1:7" hidden="1">
      <c r="A1843" s="202" t="s">
        <v>1088</v>
      </c>
      <c r="B1843" s="203">
        <v>4600</v>
      </c>
      <c r="C1843" s="203">
        <v>0</v>
      </c>
      <c r="D1843" s="202" t="s">
        <v>442</v>
      </c>
      <c r="E1843" s="202" t="s">
        <v>638</v>
      </c>
      <c r="F1843" s="202" t="s">
        <v>396</v>
      </c>
      <c r="G1843" s="202" t="s">
        <v>688</v>
      </c>
    </row>
    <row r="1844" spans="1:7" hidden="1">
      <c r="A1844" s="202" t="s">
        <v>1089</v>
      </c>
      <c r="B1844" s="203">
        <v>18800</v>
      </c>
      <c r="C1844" s="203">
        <v>0</v>
      </c>
      <c r="D1844" s="202" t="s">
        <v>442</v>
      </c>
      <c r="E1844" s="202" t="s">
        <v>638</v>
      </c>
      <c r="F1844" s="202" t="s">
        <v>396</v>
      </c>
      <c r="G1844" s="202" t="s">
        <v>688</v>
      </c>
    </row>
    <row r="1845" spans="1:7" hidden="1">
      <c r="A1845" s="202" t="s">
        <v>1090</v>
      </c>
      <c r="B1845" s="203">
        <v>9000</v>
      </c>
      <c r="C1845" s="203">
        <v>0</v>
      </c>
      <c r="D1845" s="202" t="s">
        <v>442</v>
      </c>
      <c r="E1845" s="202" t="s">
        <v>638</v>
      </c>
      <c r="F1845" s="202" t="s">
        <v>396</v>
      </c>
      <c r="G1845" s="202" t="s">
        <v>688</v>
      </c>
    </row>
    <row r="1846" spans="1:7" hidden="1">
      <c r="A1846" s="202" t="s">
        <v>1091</v>
      </c>
      <c r="B1846" s="203">
        <v>8900</v>
      </c>
      <c r="C1846" s="203">
        <v>0</v>
      </c>
      <c r="D1846" s="202" t="s">
        <v>442</v>
      </c>
      <c r="E1846" s="202" t="s">
        <v>638</v>
      </c>
      <c r="F1846" s="202" t="s">
        <v>396</v>
      </c>
      <c r="G1846" s="202" t="s">
        <v>688</v>
      </c>
    </row>
    <row r="1847" spans="1:7" hidden="1">
      <c r="A1847" s="202" t="s">
        <v>1092</v>
      </c>
      <c r="B1847" s="203">
        <v>-15200</v>
      </c>
      <c r="C1847" s="203">
        <v>0</v>
      </c>
      <c r="D1847" s="202" t="s">
        <v>440</v>
      </c>
      <c r="E1847" s="202" t="s">
        <v>638</v>
      </c>
      <c r="F1847" s="202" t="s">
        <v>652</v>
      </c>
      <c r="G1847" s="202" t="s">
        <v>688</v>
      </c>
    </row>
    <row r="1848" spans="1:7" hidden="1">
      <c r="A1848" s="202" t="s">
        <v>1092</v>
      </c>
      <c r="B1848" s="203">
        <v>17900</v>
      </c>
      <c r="C1848" s="203">
        <v>0</v>
      </c>
      <c r="D1848" s="202" t="s">
        <v>474</v>
      </c>
      <c r="E1848" s="202" t="s">
        <v>638</v>
      </c>
      <c r="F1848" s="202" t="s">
        <v>652</v>
      </c>
      <c r="G1848" s="202" t="s">
        <v>688</v>
      </c>
    </row>
    <row r="1849" spans="1:7" hidden="1">
      <c r="A1849" s="202" t="s">
        <v>1093</v>
      </c>
      <c r="B1849" s="203">
        <v>9100</v>
      </c>
      <c r="C1849" s="203">
        <v>0</v>
      </c>
      <c r="D1849" s="202" t="s">
        <v>442</v>
      </c>
      <c r="E1849" s="202" t="s">
        <v>638</v>
      </c>
      <c r="F1849" s="202" t="s">
        <v>396</v>
      </c>
      <c r="G1849" s="202" t="s">
        <v>688</v>
      </c>
    </row>
    <row r="1850" spans="1:7" hidden="1">
      <c r="A1850" s="202" t="s">
        <v>1094</v>
      </c>
      <c r="B1850" s="203">
        <v>32400</v>
      </c>
      <c r="C1850" s="203">
        <v>0</v>
      </c>
      <c r="D1850" s="202" t="s">
        <v>440</v>
      </c>
      <c r="E1850" s="202" t="s">
        <v>638</v>
      </c>
      <c r="F1850" s="202" t="s">
        <v>652</v>
      </c>
      <c r="G1850" s="202" t="s">
        <v>688</v>
      </c>
    </row>
    <row r="1851" spans="1:7" hidden="1">
      <c r="A1851" s="202" t="s">
        <v>1095</v>
      </c>
      <c r="B1851" s="203">
        <v>50000</v>
      </c>
      <c r="C1851" s="203">
        <v>0</v>
      </c>
      <c r="D1851" s="202" t="s">
        <v>440</v>
      </c>
      <c r="E1851" s="202" t="s">
        <v>638</v>
      </c>
      <c r="F1851" s="202" t="s">
        <v>652</v>
      </c>
      <c r="G1851" s="202" t="s">
        <v>688</v>
      </c>
    </row>
    <row r="1852" spans="1:7" hidden="1">
      <c r="A1852" s="202" t="s">
        <v>1096</v>
      </c>
      <c r="B1852" s="203">
        <v>10000</v>
      </c>
      <c r="C1852" s="203">
        <v>0</v>
      </c>
      <c r="D1852" s="202" t="s">
        <v>442</v>
      </c>
      <c r="E1852" s="202" t="s">
        <v>638</v>
      </c>
      <c r="F1852" s="202" t="s">
        <v>396</v>
      </c>
      <c r="G1852" s="202" t="s">
        <v>688</v>
      </c>
    </row>
    <row r="1853" spans="1:7" hidden="1">
      <c r="A1853" s="202" t="s">
        <v>1097</v>
      </c>
      <c r="B1853" s="203">
        <v>7300</v>
      </c>
      <c r="C1853" s="203">
        <v>0</v>
      </c>
      <c r="D1853" s="202" t="s">
        <v>442</v>
      </c>
      <c r="E1853" s="202" t="s">
        <v>638</v>
      </c>
      <c r="F1853" s="202" t="s">
        <v>396</v>
      </c>
      <c r="G1853" s="202" t="s">
        <v>688</v>
      </c>
    </row>
    <row r="1854" spans="1:7" hidden="1">
      <c r="A1854" s="202" t="s">
        <v>1098</v>
      </c>
      <c r="B1854" s="203">
        <v>18900</v>
      </c>
      <c r="C1854" s="203">
        <v>0</v>
      </c>
      <c r="D1854" s="202" t="s">
        <v>442</v>
      </c>
      <c r="E1854" s="202" t="s">
        <v>638</v>
      </c>
      <c r="F1854" s="202" t="s">
        <v>396</v>
      </c>
      <c r="G1854" s="202" t="s">
        <v>688</v>
      </c>
    </row>
    <row r="1855" spans="1:7" hidden="1">
      <c r="A1855" s="202" t="s">
        <v>1099</v>
      </c>
      <c r="B1855" s="203">
        <v>8100</v>
      </c>
      <c r="C1855" s="203">
        <v>0</v>
      </c>
      <c r="D1855" s="202" t="s">
        <v>442</v>
      </c>
      <c r="E1855" s="202" t="s">
        <v>638</v>
      </c>
      <c r="F1855" s="202" t="s">
        <v>396</v>
      </c>
      <c r="G1855" s="202" t="s">
        <v>688</v>
      </c>
    </row>
    <row r="1856" spans="1:7" hidden="1">
      <c r="A1856" s="202" t="s">
        <v>1100</v>
      </c>
      <c r="B1856" s="203">
        <v>17900</v>
      </c>
      <c r="C1856" s="203">
        <v>0</v>
      </c>
      <c r="D1856" s="202" t="s">
        <v>474</v>
      </c>
      <c r="E1856" s="202" t="s">
        <v>638</v>
      </c>
      <c r="F1856" s="202" t="s">
        <v>396</v>
      </c>
      <c r="G1856" s="202" t="s">
        <v>688</v>
      </c>
    </row>
    <row r="1857" spans="1:7" hidden="1">
      <c r="A1857" s="202" t="s">
        <v>1101</v>
      </c>
      <c r="B1857" s="203">
        <v>66600</v>
      </c>
      <c r="C1857" s="203">
        <v>0</v>
      </c>
      <c r="D1857" s="202" t="s">
        <v>442</v>
      </c>
      <c r="E1857" s="202" t="s">
        <v>638</v>
      </c>
      <c r="F1857" s="202" t="s">
        <v>396</v>
      </c>
      <c r="G1857" s="202" t="s">
        <v>688</v>
      </c>
    </row>
    <row r="1858" spans="1:7" hidden="1">
      <c r="A1858" s="202" t="s">
        <v>1102</v>
      </c>
      <c r="B1858" s="203">
        <v>-16800</v>
      </c>
      <c r="C1858" s="203">
        <v>0</v>
      </c>
      <c r="D1858" s="202" t="s">
        <v>440</v>
      </c>
      <c r="E1858" s="202" t="s">
        <v>638</v>
      </c>
      <c r="F1858" s="202" t="s">
        <v>409</v>
      </c>
      <c r="G1858" s="202" t="s">
        <v>688</v>
      </c>
    </row>
    <row r="1859" spans="1:7" hidden="1">
      <c r="A1859" s="202" t="s">
        <v>1103</v>
      </c>
      <c r="B1859" s="203">
        <v>8400</v>
      </c>
      <c r="C1859" s="203">
        <v>0</v>
      </c>
      <c r="D1859" s="202" t="s">
        <v>442</v>
      </c>
      <c r="E1859" s="202" t="s">
        <v>638</v>
      </c>
      <c r="F1859" s="202" t="s">
        <v>396</v>
      </c>
      <c r="G1859" s="202" t="s">
        <v>688</v>
      </c>
    </row>
    <row r="1860" spans="1:7" hidden="1">
      <c r="A1860" s="202" t="s">
        <v>1104</v>
      </c>
      <c r="B1860" s="203">
        <v>35200</v>
      </c>
      <c r="C1860" s="203">
        <v>0</v>
      </c>
      <c r="D1860" s="202" t="s">
        <v>440</v>
      </c>
      <c r="E1860" s="202" t="s">
        <v>638</v>
      </c>
      <c r="F1860" s="202" t="s">
        <v>652</v>
      </c>
      <c r="G1860" s="202" t="s">
        <v>688</v>
      </c>
    </row>
    <row r="1861" spans="1:7" hidden="1">
      <c r="A1861" s="202" t="s">
        <v>1105</v>
      </c>
      <c r="B1861" s="203">
        <v>9160</v>
      </c>
      <c r="C1861" s="203">
        <v>0</v>
      </c>
      <c r="D1861" s="202" t="s">
        <v>442</v>
      </c>
      <c r="E1861" s="202" t="s">
        <v>638</v>
      </c>
      <c r="F1861" s="202" t="s">
        <v>396</v>
      </c>
      <c r="G1861" s="202" t="s">
        <v>688</v>
      </c>
    </row>
    <row r="1862" spans="1:7" hidden="1">
      <c r="A1862" s="202" t="s">
        <v>1106</v>
      </c>
      <c r="B1862" s="203">
        <v>75800</v>
      </c>
      <c r="C1862" s="203">
        <v>0</v>
      </c>
      <c r="D1862" s="202" t="s">
        <v>442</v>
      </c>
      <c r="E1862" s="202" t="s">
        <v>638</v>
      </c>
      <c r="F1862" s="202" t="s">
        <v>396</v>
      </c>
      <c r="G1862" s="202" t="s">
        <v>688</v>
      </c>
    </row>
    <row r="1863" spans="1:7" hidden="1">
      <c r="A1863" s="202" t="s">
        <v>1107</v>
      </c>
      <c r="B1863" s="203">
        <v>17900</v>
      </c>
      <c r="C1863" s="203">
        <v>0</v>
      </c>
      <c r="D1863" s="202" t="s">
        <v>440</v>
      </c>
      <c r="E1863" s="202" t="s">
        <v>638</v>
      </c>
      <c r="F1863" s="202" t="s">
        <v>652</v>
      </c>
      <c r="G1863" s="202" t="s">
        <v>688</v>
      </c>
    </row>
    <row r="1864" spans="1:7" hidden="1">
      <c r="A1864" s="202" t="s">
        <v>637</v>
      </c>
      <c r="B1864" s="203">
        <v>-111794</v>
      </c>
      <c r="C1864" s="203">
        <v>0</v>
      </c>
      <c r="D1864" s="202" t="s">
        <v>440</v>
      </c>
      <c r="E1864" s="202" t="s">
        <v>638</v>
      </c>
      <c r="F1864" s="202" t="s">
        <v>393</v>
      </c>
      <c r="G1864" s="202" t="s">
        <v>688</v>
      </c>
    </row>
    <row r="1865" spans="1:7" hidden="1">
      <c r="A1865" s="202" t="s">
        <v>376</v>
      </c>
      <c r="B1865" s="203">
        <v>560</v>
      </c>
      <c r="C1865" s="203">
        <v>0</v>
      </c>
      <c r="D1865" s="202" t="s">
        <v>283</v>
      </c>
      <c r="E1865" s="202" t="s">
        <v>639</v>
      </c>
      <c r="F1865" s="202" t="s">
        <v>393</v>
      </c>
      <c r="G1865" s="202" t="s">
        <v>688</v>
      </c>
    </row>
    <row r="1866" spans="1:7">
      <c r="A1866" s="202" t="s">
        <v>376</v>
      </c>
      <c r="B1866" s="203">
        <v>560</v>
      </c>
      <c r="C1866" s="203">
        <v>0</v>
      </c>
      <c r="D1866" s="202" t="s">
        <v>282</v>
      </c>
      <c r="E1866" s="202" t="s">
        <v>639</v>
      </c>
      <c r="F1866" s="202" t="s">
        <v>393</v>
      </c>
      <c r="G1866" s="202" t="s">
        <v>688</v>
      </c>
    </row>
    <row r="1867" spans="1:7" hidden="1">
      <c r="A1867" s="202" t="s">
        <v>640</v>
      </c>
      <c r="B1867" s="203">
        <v>187</v>
      </c>
      <c r="C1867" s="203">
        <v>0</v>
      </c>
      <c r="D1867" s="202" t="s">
        <v>442</v>
      </c>
      <c r="E1867" s="202" t="s">
        <v>639</v>
      </c>
      <c r="F1867" s="202" t="s">
        <v>393</v>
      </c>
      <c r="G1867" s="202" t="s">
        <v>688</v>
      </c>
    </row>
    <row r="1868" spans="1:7" hidden="1">
      <c r="A1868" s="202" t="s">
        <v>641</v>
      </c>
      <c r="B1868" s="203">
        <v>-143</v>
      </c>
      <c r="C1868" s="203">
        <v>0</v>
      </c>
      <c r="D1868" s="202" t="s">
        <v>442</v>
      </c>
      <c r="E1868" s="202" t="s">
        <v>639</v>
      </c>
      <c r="F1868" s="202" t="s">
        <v>393</v>
      </c>
      <c r="G1868" s="202" t="s">
        <v>688</v>
      </c>
    </row>
    <row r="1869" spans="1:7" hidden="1">
      <c r="A1869" s="202" t="s">
        <v>642</v>
      </c>
      <c r="B1869" s="203">
        <v>-127</v>
      </c>
      <c r="C1869" s="203">
        <v>0</v>
      </c>
      <c r="D1869" s="202" t="s">
        <v>442</v>
      </c>
      <c r="E1869" s="202" t="s">
        <v>639</v>
      </c>
      <c r="F1869" s="202" t="s">
        <v>393</v>
      </c>
      <c r="G1869" s="202" t="s">
        <v>688</v>
      </c>
    </row>
    <row r="1870" spans="1:7" hidden="1">
      <c r="A1870" s="202" t="s">
        <v>643</v>
      </c>
      <c r="B1870" s="203">
        <v>-2186</v>
      </c>
      <c r="C1870" s="203">
        <v>0</v>
      </c>
      <c r="D1870" s="202" t="s">
        <v>440</v>
      </c>
      <c r="E1870" s="202" t="s">
        <v>639</v>
      </c>
      <c r="F1870" s="202" t="s">
        <v>393</v>
      </c>
      <c r="G1870" s="202" t="s">
        <v>688</v>
      </c>
    </row>
    <row r="1871" spans="1:7" hidden="1">
      <c r="A1871" s="202" t="s">
        <v>377</v>
      </c>
      <c r="B1871" s="203">
        <v>110</v>
      </c>
      <c r="C1871" s="203">
        <v>0</v>
      </c>
      <c r="D1871" s="202" t="s">
        <v>283</v>
      </c>
      <c r="E1871" s="202" t="s">
        <v>639</v>
      </c>
      <c r="F1871" s="202" t="s">
        <v>393</v>
      </c>
      <c r="G1871" s="202" t="s">
        <v>688</v>
      </c>
    </row>
    <row r="1872" spans="1:7">
      <c r="A1872" s="202" t="s">
        <v>377</v>
      </c>
      <c r="B1872" s="203">
        <v>110</v>
      </c>
      <c r="C1872" s="203">
        <v>0</v>
      </c>
      <c r="D1872" s="202" t="s">
        <v>282</v>
      </c>
      <c r="E1872" s="202" t="s">
        <v>639</v>
      </c>
      <c r="F1872" s="202" t="s">
        <v>393</v>
      </c>
      <c r="G1872" s="202" t="s">
        <v>688</v>
      </c>
    </row>
    <row r="1873" spans="1:7" hidden="1">
      <c r="A1873" s="202" t="s">
        <v>379</v>
      </c>
      <c r="B1873" s="203">
        <v>439</v>
      </c>
      <c r="C1873" s="203">
        <v>0</v>
      </c>
      <c r="D1873" s="202" t="s">
        <v>283</v>
      </c>
      <c r="E1873" s="202" t="s">
        <v>639</v>
      </c>
      <c r="F1873" s="202" t="s">
        <v>393</v>
      </c>
      <c r="G1873" s="202" t="s">
        <v>688</v>
      </c>
    </row>
    <row r="1874" spans="1:7">
      <c r="A1874" s="202" t="s">
        <v>379</v>
      </c>
      <c r="B1874" s="203">
        <v>439</v>
      </c>
      <c r="C1874" s="203">
        <v>0</v>
      </c>
      <c r="D1874" s="202" t="s">
        <v>282</v>
      </c>
      <c r="E1874" s="202" t="s">
        <v>639</v>
      </c>
      <c r="F1874" s="202" t="s">
        <v>393</v>
      </c>
      <c r="G1874" s="202" t="s">
        <v>688</v>
      </c>
    </row>
    <row r="1875" spans="1:7" hidden="1">
      <c r="A1875" s="202" t="s">
        <v>380</v>
      </c>
      <c r="B1875" s="203">
        <v>450</v>
      </c>
      <c r="C1875" s="203">
        <v>0</v>
      </c>
      <c r="D1875" s="202" t="s">
        <v>283</v>
      </c>
      <c r="E1875" s="202" t="s">
        <v>639</v>
      </c>
      <c r="F1875" s="202" t="s">
        <v>393</v>
      </c>
      <c r="G1875" s="202" t="s">
        <v>688</v>
      </c>
    </row>
    <row r="1876" spans="1:7">
      <c r="A1876" s="202" t="s">
        <v>380</v>
      </c>
      <c r="B1876" s="203">
        <v>450</v>
      </c>
      <c r="C1876" s="203">
        <v>0</v>
      </c>
      <c r="D1876" s="202" t="s">
        <v>282</v>
      </c>
      <c r="E1876" s="202" t="s">
        <v>639</v>
      </c>
      <c r="F1876" s="202" t="s">
        <v>393</v>
      </c>
      <c r="G1876" s="202" t="s">
        <v>688</v>
      </c>
    </row>
    <row r="1877" spans="1:7" hidden="1">
      <c r="A1877" s="202" t="s">
        <v>1108</v>
      </c>
      <c r="B1877" s="203">
        <v>264800</v>
      </c>
      <c r="C1877" s="203">
        <v>0</v>
      </c>
      <c r="D1877" s="202" t="s">
        <v>440</v>
      </c>
      <c r="E1877" s="202" t="s">
        <v>638</v>
      </c>
      <c r="F1877" s="202" t="s">
        <v>652</v>
      </c>
      <c r="G1877" s="202" t="s">
        <v>688</v>
      </c>
    </row>
    <row r="1878" spans="1:7" hidden="1">
      <c r="A1878" s="202" t="s">
        <v>1109</v>
      </c>
      <c r="B1878" s="203">
        <v>28000</v>
      </c>
      <c r="C1878" s="203">
        <v>0</v>
      </c>
      <c r="D1878" s="202" t="s">
        <v>442</v>
      </c>
      <c r="E1878" s="202" t="s">
        <v>638</v>
      </c>
      <c r="F1878" s="202" t="s">
        <v>396</v>
      </c>
      <c r="G1878" s="202" t="s">
        <v>688</v>
      </c>
    </row>
    <row r="1879" spans="1:7" hidden="1">
      <c r="A1879" s="202" t="s">
        <v>1110</v>
      </c>
      <c r="B1879" s="203">
        <v>167000</v>
      </c>
      <c r="C1879" s="203">
        <v>0</v>
      </c>
      <c r="D1879" s="202" t="s">
        <v>440</v>
      </c>
      <c r="E1879" s="202" t="s">
        <v>638</v>
      </c>
      <c r="F1879" s="202" t="s">
        <v>652</v>
      </c>
      <c r="G1879" s="202" t="s">
        <v>688</v>
      </c>
    </row>
    <row r="1880" spans="1:7" hidden="1">
      <c r="A1880" s="202" t="s">
        <v>1111</v>
      </c>
      <c r="B1880" s="203">
        <v>44000</v>
      </c>
      <c r="C1880" s="203">
        <v>0</v>
      </c>
      <c r="D1880" s="202" t="s">
        <v>442</v>
      </c>
      <c r="E1880" s="202" t="s">
        <v>638</v>
      </c>
      <c r="F1880" s="202" t="s">
        <v>396</v>
      </c>
      <c r="G1880" s="202" t="s">
        <v>688</v>
      </c>
    </row>
    <row r="1881" spans="1:7" hidden="1">
      <c r="A1881" s="202" t="s">
        <v>1112</v>
      </c>
      <c r="B1881" s="203">
        <v>61900</v>
      </c>
      <c r="C1881" s="203">
        <v>0</v>
      </c>
      <c r="D1881" s="202" t="s">
        <v>442</v>
      </c>
      <c r="E1881" s="202" t="s">
        <v>638</v>
      </c>
      <c r="F1881" s="202" t="s">
        <v>396</v>
      </c>
      <c r="G1881" s="202" t="s">
        <v>688</v>
      </c>
    </row>
    <row r="1882" spans="1:7" hidden="1">
      <c r="A1882" s="202" t="s">
        <v>1113</v>
      </c>
      <c r="B1882" s="203">
        <v>54900</v>
      </c>
      <c r="C1882" s="203">
        <v>0</v>
      </c>
      <c r="D1882" s="202" t="s">
        <v>442</v>
      </c>
      <c r="E1882" s="202" t="s">
        <v>638</v>
      </c>
      <c r="F1882" s="202" t="s">
        <v>396</v>
      </c>
      <c r="G1882" s="202" t="s">
        <v>688</v>
      </c>
    </row>
    <row r="1883" spans="1:7" hidden="1">
      <c r="A1883" s="202" t="s">
        <v>1114</v>
      </c>
      <c r="B1883" s="203">
        <v>27700</v>
      </c>
      <c r="C1883" s="203">
        <v>0</v>
      </c>
      <c r="D1883" s="202" t="s">
        <v>442</v>
      </c>
      <c r="E1883" s="202" t="s">
        <v>638</v>
      </c>
      <c r="F1883" s="202" t="s">
        <v>396</v>
      </c>
      <c r="G1883" s="202" t="s">
        <v>688</v>
      </c>
    </row>
    <row r="1884" spans="1:7" hidden="1">
      <c r="A1884" s="202" t="s">
        <v>1115</v>
      </c>
      <c r="B1884" s="203">
        <v>102600</v>
      </c>
      <c r="C1884" s="203">
        <v>0</v>
      </c>
      <c r="D1884" s="202" t="s">
        <v>440</v>
      </c>
      <c r="E1884" s="202" t="s">
        <v>638</v>
      </c>
      <c r="F1884" s="202" t="s">
        <v>652</v>
      </c>
      <c r="G1884" s="202" t="s">
        <v>688</v>
      </c>
    </row>
    <row r="1885" spans="1:7" hidden="1">
      <c r="A1885" s="202" t="s">
        <v>1116</v>
      </c>
      <c r="B1885" s="203">
        <v>43000</v>
      </c>
      <c r="C1885" s="203">
        <v>0</v>
      </c>
      <c r="D1885" s="202" t="s">
        <v>442</v>
      </c>
      <c r="E1885" s="202" t="s">
        <v>638</v>
      </c>
      <c r="F1885" s="202" t="s">
        <v>396</v>
      </c>
      <c r="G1885" s="202" t="s">
        <v>688</v>
      </c>
    </row>
    <row r="1886" spans="1:7" hidden="1">
      <c r="A1886" s="202" t="s">
        <v>1117</v>
      </c>
      <c r="B1886" s="203">
        <v>55200</v>
      </c>
      <c r="C1886" s="203">
        <v>0</v>
      </c>
      <c r="D1886" s="202" t="s">
        <v>440</v>
      </c>
      <c r="E1886" s="202" t="s">
        <v>638</v>
      </c>
      <c r="F1886" s="202" t="s">
        <v>652</v>
      </c>
      <c r="G1886" s="202" t="s">
        <v>688</v>
      </c>
    </row>
    <row r="1887" spans="1:7" hidden="1">
      <c r="A1887" s="202" t="s">
        <v>1118</v>
      </c>
      <c r="B1887" s="203">
        <v>19200</v>
      </c>
      <c r="C1887" s="203">
        <v>0</v>
      </c>
      <c r="D1887" s="202" t="s">
        <v>442</v>
      </c>
      <c r="E1887" s="202" t="s">
        <v>638</v>
      </c>
      <c r="F1887" s="202" t="s">
        <v>396</v>
      </c>
      <c r="G1887" s="202" t="s">
        <v>688</v>
      </c>
    </row>
    <row r="1888" spans="1:7" hidden="1">
      <c r="A1888" s="202" t="s">
        <v>1119</v>
      </c>
      <c r="B1888" s="203">
        <v>37400</v>
      </c>
      <c r="C1888" s="203">
        <v>0</v>
      </c>
      <c r="D1888" s="202" t="s">
        <v>440</v>
      </c>
      <c r="E1888" s="202" t="s">
        <v>638</v>
      </c>
      <c r="F1888" s="202" t="s">
        <v>652</v>
      </c>
      <c r="G1888" s="202" t="s">
        <v>688</v>
      </c>
    </row>
    <row r="1889" spans="1:7" hidden="1">
      <c r="A1889" s="202" t="s">
        <v>1120</v>
      </c>
      <c r="B1889" s="203">
        <v>9400</v>
      </c>
      <c r="C1889" s="203">
        <v>0</v>
      </c>
      <c r="D1889" s="202" t="s">
        <v>440</v>
      </c>
      <c r="E1889" s="202" t="s">
        <v>638</v>
      </c>
      <c r="F1889" s="202" t="s">
        <v>652</v>
      </c>
      <c r="G1889" s="202" t="s">
        <v>688</v>
      </c>
    </row>
    <row r="1890" spans="1:7" hidden="1">
      <c r="A1890" s="202" t="s">
        <v>1121</v>
      </c>
      <c r="B1890" s="203">
        <v>17700</v>
      </c>
      <c r="C1890" s="203">
        <v>0</v>
      </c>
      <c r="D1890" s="202" t="s">
        <v>440</v>
      </c>
      <c r="E1890" s="202" t="s">
        <v>638</v>
      </c>
      <c r="F1890" s="202" t="s">
        <v>652</v>
      </c>
      <c r="G1890" s="202" t="s">
        <v>688</v>
      </c>
    </row>
    <row r="1891" spans="1:7" hidden="1">
      <c r="A1891" s="202" t="s">
        <v>1122</v>
      </c>
      <c r="B1891" s="203">
        <v>30100</v>
      </c>
      <c r="C1891" s="203">
        <v>0</v>
      </c>
      <c r="D1891" s="202" t="s">
        <v>440</v>
      </c>
      <c r="E1891" s="202" t="s">
        <v>638</v>
      </c>
      <c r="F1891" s="202" t="s">
        <v>652</v>
      </c>
      <c r="G1891" s="202" t="s">
        <v>688</v>
      </c>
    </row>
    <row r="1892" spans="1:7" hidden="1">
      <c r="A1892" s="202" t="s">
        <v>1123</v>
      </c>
      <c r="B1892" s="203">
        <v>29300</v>
      </c>
      <c r="C1892" s="203">
        <v>0</v>
      </c>
      <c r="D1892" s="202" t="s">
        <v>440</v>
      </c>
      <c r="E1892" s="202" t="s">
        <v>638</v>
      </c>
      <c r="F1892" s="202" t="s">
        <v>652</v>
      </c>
      <c r="G1892" s="202" t="s">
        <v>688</v>
      </c>
    </row>
    <row r="1893" spans="1:7" hidden="1">
      <c r="A1893" s="202" t="s">
        <v>1124</v>
      </c>
      <c r="B1893" s="203">
        <v>-2600</v>
      </c>
      <c r="C1893" s="203">
        <v>0</v>
      </c>
      <c r="D1893" s="202" t="s">
        <v>442</v>
      </c>
      <c r="E1893" s="202" t="s">
        <v>638</v>
      </c>
      <c r="F1893" s="202" t="s">
        <v>396</v>
      </c>
      <c r="G1893" s="202" t="s">
        <v>688</v>
      </c>
    </row>
    <row r="1894" spans="1:7" hidden="1">
      <c r="A1894" s="202" t="s">
        <v>1125</v>
      </c>
      <c r="B1894" s="203">
        <v>16700</v>
      </c>
      <c r="C1894" s="203">
        <v>0</v>
      </c>
      <c r="D1894" s="202" t="s">
        <v>440</v>
      </c>
      <c r="E1894" s="202" t="s">
        <v>638</v>
      </c>
      <c r="F1894" s="202" t="s">
        <v>652</v>
      </c>
      <c r="G1894" s="202" t="s">
        <v>688</v>
      </c>
    </row>
    <row r="1895" spans="1:7" hidden="1">
      <c r="A1895" s="202" t="s">
        <v>1126</v>
      </c>
      <c r="B1895" s="203">
        <v>44000</v>
      </c>
      <c r="C1895" s="203">
        <v>0</v>
      </c>
      <c r="D1895" s="202" t="s">
        <v>440</v>
      </c>
      <c r="E1895" s="202" t="s">
        <v>638</v>
      </c>
      <c r="F1895" s="202" t="s">
        <v>652</v>
      </c>
      <c r="G1895" s="202" t="s">
        <v>688</v>
      </c>
    </row>
    <row r="1896" spans="1:7" hidden="1">
      <c r="A1896" s="202" t="s">
        <v>1127</v>
      </c>
      <c r="B1896" s="203">
        <v>57400</v>
      </c>
      <c r="C1896" s="203">
        <v>0</v>
      </c>
      <c r="D1896" s="202" t="s">
        <v>440</v>
      </c>
      <c r="E1896" s="202" t="s">
        <v>638</v>
      </c>
      <c r="F1896" s="202" t="s">
        <v>652</v>
      </c>
      <c r="G1896" s="202" t="s">
        <v>688</v>
      </c>
    </row>
    <row r="1897" spans="1:7" hidden="1">
      <c r="A1897" s="202" t="s">
        <v>1128</v>
      </c>
      <c r="B1897" s="203">
        <v>9200</v>
      </c>
      <c r="C1897" s="203">
        <v>0</v>
      </c>
      <c r="D1897" s="202" t="s">
        <v>440</v>
      </c>
      <c r="E1897" s="202" t="s">
        <v>638</v>
      </c>
      <c r="F1897" s="202" t="s">
        <v>652</v>
      </c>
      <c r="G1897" s="202" t="s">
        <v>688</v>
      </c>
    </row>
    <row r="1898" spans="1:7" hidden="1">
      <c r="A1898" s="202" t="s">
        <v>1129</v>
      </c>
      <c r="B1898" s="203">
        <v>16400</v>
      </c>
      <c r="C1898" s="203">
        <v>0</v>
      </c>
      <c r="D1898" s="202" t="s">
        <v>440</v>
      </c>
      <c r="E1898" s="202" t="s">
        <v>638</v>
      </c>
      <c r="F1898" s="202" t="s">
        <v>652</v>
      </c>
      <c r="G1898" s="202" t="s">
        <v>688</v>
      </c>
    </row>
    <row r="1899" spans="1:7" hidden="1">
      <c r="A1899" s="202" t="s">
        <v>1130</v>
      </c>
      <c r="B1899" s="203">
        <v>16300</v>
      </c>
      <c r="C1899" s="203">
        <v>0</v>
      </c>
      <c r="D1899" s="202" t="s">
        <v>440</v>
      </c>
      <c r="E1899" s="202" t="s">
        <v>638</v>
      </c>
      <c r="F1899" s="202" t="s">
        <v>652</v>
      </c>
      <c r="G1899" s="202" t="s">
        <v>688</v>
      </c>
    </row>
    <row r="1900" spans="1:7" hidden="1">
      <c r="A1900" s="202" t="s">
        <v>1131</v>
      </c>
      <c r="B1900" s="203">
        <v>33500</v>
      </c>
      <c r="C1900" s="203">
        <v>0</v>
      </c>
      <c r="D1900" s="202" t="s">
        <v>440</v>
      </c>
      <c r="E1900" s="202" t="s">
        <v>638</v>
      </c>
      <c r="F1900" s="202" t="s">
        <v>652</v>
      </c>
      <c r="G1900" s="202" t="s">
        <v>688</v>
      </c>
    </row>
    <row r="1901" spans="1:7" hidden="1">
      <c r="A1901" s="202" t="s">
        <v>1132</v>
      </c>
      <c r="B1901" s="203">
        <v>25300</v>
      </c>
      <c r="C1901" s="203">
        <v>0</v>
      </c>
      <c r="D1901" s="202" t="s">
        <v>440</v>
      </c>
      <c r="E1901" s="202" t="s">
        <v>638</v>
      </c>
      <c r="F1901" s="202" t="s">
        <v>652</v>
      </c>
      <c r="G1901" s="202" t="s">
        <v>688</v>
      </c>
    </row>
    <row r="1902" spans="1:7" hidden="1">
      <c r="A1902" s="202" t="s">
        <v>1133</v>
      </c>
      <c r="B1902" s="203">
        <v>15600</v>
      </c>
      <c r="C1902" s="203">
        <v>0</v>
      </c>
      <c r="D1902" s="202" t="s">
        <v>440</v>
      </c>
      <c r="E1902" s="202" t="s">
        <v>638</v>
      </c>
      <c r="F1902" s="202" t="s">
        <v>652</v>
      </c>
      <c r="G1902" s="202" t="s">
        <v>688</v>
      </c>
    </row>
    <row r="1903" spans="1:7" hidden="1">
      <c r="A1903" s="202" t="s">
        <v>1134</v>
      </c>
      <c r="B1903" s="203">
        <v>7100</v>
      </c>
      <c r="C1903" s="203">
        <v>0</v>
      </c>
      <c r="D1903" s="202" t="s">
        <v>440</v>
      </c>
      <c r="E1903" s="202" t="s">
        <v>638</v>
      </c>
      <c r="F1903" s="202" t="s">
        <v>409</v>
      </c>
      <c r="G1903" s="202" t="s">
        <v>688</v>
      </c>
    </row>
    <row r="1904" spans="1:7" hidden="1">
      <c r="A1904" s="202" t="s">
        <v>1135</v>
      </c>
      <c r="B1904" s="203">
        <v>15000</v>
      </c>
      <c r="C1904" s="203">
        <v>0</v>
      </c>
      <c r="D1904" s="202" t="s">
        <v>440</v>
      </c>
      <c r="E1904" s="202" t="s">
        <v>638</v>
      </c>
      <c r="F1904" s="202" t="s">
        <v>652</v>
      </c>
      <c r="G1904" s="202" t="s">
        <v>688</v>
      </c>
    </row>
    <row r="1905" spans="1:7" hidden="1">
      <c r="A1905" s="202" t="s">
        <v>1136</v>
      </c>
      <c r="B1905" s="203">
        <v>20400</v>
      </c>
      <c r="C1905" s="203">
        <v>0</v>
      </c>
      <c r="D1905" s="202" t="s">
        <v>440</v>
      </c>
      <c r="E1905" s="202" t="s">
        <v>638</v>
      </c>
      <c r="F1905" s="202" t="s">
        <v>409</v>
      </c>
      <c r="G1905" s="202" t="s">
        <v>688</v>
      </c>
    </row>
    <row r="1906" spans="1:7" hidden="1">
      <c r="A1906" s="202" t="s">
        <v>1137</v>
      </c>
      <c r="B1906" s="203">
        <v>53900</v>
      </c>
      <c r="C1906" s="203">
        <v>0</v>
      </c>
      <c r="D1906" s="202" t="s">
        <v>440</v>
      </c>
      <c r="E1906" s="202" t="s">
        <v>638</v>
      </c>
      <c r="F1906" s="202" t="s">
        <v>652</v>
      </c>
      <c r="G1906" s="202" t="s">
        <v>688</v>
      </c>
    </row>
    <row r="1907" spans="1:7" hidden="1">
      <c r="A1907" s="202" t="s">
        <v>1138</v>
      </c>
      <c r="B1907" s="203">
        <v>55000</v>
      </c>
      <c r="C1907" s="203">
        <v>0</v>
      </c>
      <c r="D1907" s="202" t="s">
        <v>440</v>
      </c>
      <c r="E1907" s="202" t="s">
        <v>638</v>
      </c>
      <c r="F1907" s="202" t="s">
        <v>652</v>
      </c>
      <c r="G1907" s="202" t="s">
        <v>688</v>
      </c>
    </row>
    <row r="1908" spans="1:7" hidden="1">
      <c r="A1908" s="202" t="s">
        <v>1139</v>
      </c>
      <c r="B1908" s="203">
        <v>900</v>
      </c>
      <c r="C1908" s="203">
        <v>0</v>
      </c>
      <c r="D1908" s="202" t="s">
        <v>440</v>
      </c>
      <c r="E1908" s="202" t="s">
        <v>638</v>
      </c>
      <c r="F1908" s="202" t="s">
        <v>652</v>
      </c>
      <c r="G1908" s="202" t="s">
        <v>688</v>
      </c>
    </row>
    <row r="1909" spans="1:7" hidden="1">
      <c r="A1909" s="202" t="s">
        <v>1140</v>
      </c>
      <c r="B1909" s="203">
        <v>2090</v>
      </c>
      <c r="C1909" s="203">
        <v>0</v>
      </c>
      <c r="D1909" s="202" t="s">
        <v>442</v>
      </c>
      <c r="E1909" s="202" t="s">
        <v>638</v>
      </c>
      <c r="F1909" s="202" t="s">
        <v>396</v>
      </c>
      <c r="G1909" s="202" t="s">
        <v>688</v>
      </c>
    </row>
    <row r="1910" spans="1:7" hidden="1">
      <c r="A1910" s="202" t="s">
        <v>1141</v>
      </c>
      <c r="B1910" s="203">
        <v>4364</v>
      </c>
      <c r="C1910" s="203">
        <v>0</v>
      </c>
      <c r="D1910" s="202" t="s">
        <v>442</v>
      </c>
      <c r="E1910" s="202" t="s">
        <v>638</v>
      </c>
      <c r="F1910" s="202" t="s">
        <v>396</v>
      </c>
      <c r="G1910" s="202" t="s">
        <v>688</v>
      </c>
    </row>
    <row r="1911" spans="1:7" hidden="1">
      <c r="A1911" s="202" t="s">
        <v>1142</v>
      </c>
      <c r="B1911" s="203">
        <v>31800</v>
      </c>
      <c r="C1911" s="203">
        <v>0</v>
      </c>
      <c r="D1911" s="202" t="s">
        <v>440</v>
      </c>
      <c r="E1911" s="202" t="s">
        <v>638</v>
      </c>
      <c r="F1911" s="202" t="s">
        <v>652</v>
      </c>
      <c r="G1911" s="202" t="s">
        <v>688</v>
      </c>
    </row>
    <row r="1912" spans="1:7" hidden="1">
      <c r="A1912" s="202" t="s">
        <v>1143</v>
      </c>
      <c r="B1912" s="203">
        <v>2100</v>
      </c>
      <c r="C1912" s="203">
        <v>0</v>
      </c>
      <c r="D1912" s="202" t="s">
        <v>442</v>
      </c>
      <c r="E1912" s="202" t="s">
        <v>638</v>
      </c>
      <c r="F1912" s="202" t="s">
        <v>396</v>
      </c>
      <c r="G1912" s="202" t="s">
        <v>688</v>
      </c>
    </row>
    <row r="1913" spans="1:7" hidden="1">
      <c r="A1913" s="202" t="s">
        <v>1144</v>
      </c>
      <c r="B1913" s="203">
        <v>17500</v>
      </c>
      <c r="C1913" s="203">
        <v>0</v>
      </c>
      <c r="D1913" s="202" t="s">
        <v>440</v>
      </c>
      <c r="E1913" s="202" t="s">
        <v>638</v>
      </c>
      <c r="F1913" s="202" t="s">
        <v>652</v>
      </c>
      <c r="G1913" s="202" t="s">
        <v>688</v>
      </c>
    </row>
    <row r="1914" spans="1:7" hidden="1">
      <c r="A1914" s="202" t="s">
        <v>1145</v>
      </c>
      <c r="B1914" s="203">
        <v>2000</v>
      </c>
      <c r="C1914" s="203">
        <v>0</v>
      </c>
      <c r="D1914" s="202" t="s">
        <v>442</v>
      </c>
      <c r="E1914" s="202" t="s">
        <v>638</v>
      </c>
      <c r="F1914" s="202" t="s">
        <v>396</v>
      </c>
      <c r="G1914" s="202" t="s">
        <v>688</v>
      </c>
    </row>
    <row r="1915" spans="1:7" hidden="1">
      <c r="A1915" s="202" t="s">
        <v>1146</v>
      </c>
      <c r="B1915" s="203">
        <v>10500</v>
      </c>
      <c r="C1915" s="203">
        <v>0</v>
      </c>
      <c r="D1915" s="202" t="s">
        <v>440</v>
      </c>
      <c r="E1915" s="202" t="s">
        <v>638</v>
      </c>
      <c r="F1915" s="202" t="s">
        <v>652</v>
      </c>
      <c r="G1915" s="202" t="s">
        <v>688</v>
      </c>
    </row>
    <row r="1916" spans="1:7" hidden="1">
      <c r="A1916" s="202" t="s">
        <v>1147</v>
      </c>
      <c r="B1916" s="203">
        <v>10000</v>
      </c>
      <c r="C1916" s="203">
        <v>0</v>
      </c>
      <c r="D1916" s="202" t="s">
        <v>440</v>
      </c>
      <c r="E1916" s="202" t="s">
        <v>638</v>
      </c>
      <c r="F1916" s="202" t="s">
        <v>652</v>
      </c>
      <c r="G1916" s="202" t="s">
        <v>688</v>
      </c>
    </row>
    <row r="1917" spans="1:7" hidden="1">
      <c r="A1917" s="202" t="s">
        <v>1148</v>
      </c>
      <c r="B1917" s="203">
        <v>3400</v>
      </c>
      <c r="C1917" s="203">
        <v>0</v>
      </c>
      <c r="D1917" s="202" t="s">
        <v>442</v>
      </c>
      <c r="E1917" s="202" t="s">
        <v>638</v>
      </c>
      <c r="F1917" s="202" t="s">
        <v>396</v>
      </c>
      <c r="G1917" s="202" t="s">
        <v>688</v>
      </c>
    </row>
    <row r="1918" spans="1:7" hidden="1">
      <c r="A1918" s="202" t="s">
        <v>1149</v>
      </c>
      <c r="B1918" s="203">
        <v>10000</v>
      </c>
      <c r="C1918" s="203">
        <v>0</v>
      </c>
      <c r="D1918" s="202" t="s">
        <v>440</v>
      </c>
      <c r="E1918" s="202" t="s">
        <v>638</v>
      </c>
      <c r="F1918" s="202" t="s">
        <v>652</v>
      </c>
      <c r="G1918" s="202" t="s">
        <v>688</v>
      </c>
    </row>
    <row r="1919" spans="1:7" hidden="1">
      <c r="A1919" s="202" t="s">
        <v>1150</v>
      </c>
      <c r="B1919" s="203">
        <v>2400</v>
      </c>
      <c r="C1919" s="203">
        <v>0</v>
      </c>
      <c r="D1919" s="202" t="s">
        <v>442</v>
      </c>
      <c r="E1919" s="202" t="s">
        <v>638</v>
      </c>
      <c r="F1919" s="202" t="s">
        <v>396</v>
      </c>
      <c r="G1919" s="202" t="s">
        <v>688</v>
      </c>
    </row>
    <row r="1920" spans="1:7" hidden="1">
      <c r="A1920" s="202" t="s">
        <v>1151</v>
      </c>
      <c r="B1920" s="203">
        <v>5880</v>
      </c>
      <c r="C1920" s="203">
        <v>0</v>
      </c>
      <c r="D1920" s="202" t="s">
        <v>442</v>
      </c>
      <c r="E1920" s="202" t="s">
        <v>638</v>
      </c>
      <c r="F1920" s="202" t="s">
        <v>396</v>
      </c>
      <c r="G1920" s="202" t="s">
        <v>688</v>
      </c>
    </row>
    <row r="1921" spans="1:7" hidden="1">
      <c r="A1921" s="202" t="s">
        <v>1152</v>
      </c>
      <c r="B1921" s="203">
        <v>2900</v>
      </c>
      <c r="C1921" s="203">
        <v>0</v>
      </c>
      <c r="D1921" s="202" t="s">
        <v>442</v>
      </c>
      <c r="E1921" s="202" t="s">
        <v>638</v>
      </c>
      <c r="F1921" s="202" t="s">
        <v>396</v>
      </c>
      <c r="G1921" s="202" t="s">
        <v>688</v>
      </c>
    </row>
    <row r="1922" spans="1:7" hidden="1">
      <c r="A1922" s="202" t="s">
        <v>1153</v>
      </c>
      <c r="B1922" s="203">
        <v>5600</v>
      </c>
      <c r="C1922" s="203">
        <v>0</v>
      </c>
      <c r="D1922" s="202" t="s">
        <v>440</v>
      </c>
      <c r="E1922" s="202" t="s">
        <v>638</v>
      </c>
      <c r="F1922" s="202" t="s">
        <v>652</v>
      </c>
      <c r="G1922" s="202" t="s">
        <v>688</v>
      </c>
    </row>
    <row r="1923" spans="1:7" hidden="1">
      <c r="A1923" s="202" t="s">
        <v>1154</v>
      </c>
      <c r="B1923" s="203">
        <v>-40</v>
      </c>
      <c r="C1923" s="203">
        <v>0</v>
      </c>
      <c r="D1923" s="202" t="s">
        <v>440</v>
      </c>
      <c r="E1923" s="202" t="s">
        <v>639</v>
      </c>
      <c r="F1923" s="202" t="s">
        <v>409</v>
      </c>
      <c r="G1923" s="202" t="s">
        <v>688</v>
      </c>
    </row>
    <row r="1924" spans="1:7" hidden="1">
      <c r="A1924" s="202" t="s">
        <v>1155</v>
      </c>
      <c r="B1924" s="203">
        <v>-340</v>
      </c>
      <c r="C1924" s="203">
        <v>0</v>
      </c>
      <c r="D1924" s="202" t="s">
        <v>440</v>
      </c>
      <c r="E1924" s="202" t="s">
        <v>639</v>
      </c>
      <c r="F1924" s="202" t="s">
        <v>396</v>
      </c>
      <c r="G1924" s="202" t="s">
        <v>688</v>
      </c>
    </row>
    <row r="1925" spans="1:7" hidden="1">
      <c r="A1925" s="202" t="s">
        <v>1156</v>
      </c>
      <c r="B1925" s="203">
        <v>-417</v>
      </c>
      <c r="C1925" s="203">
        <v>0</v>
      </c>
      <c r="D1925" s="202" t="s">
        <v>440</v>
      </c>
      <c r="E1925" s="202" t="s">
        <v>639</v>
      </c>
      <c r="F1925" s="202" t="s">
        <v>409</v>
      </c>
      <c r="G1925" s="202" t="s">
        <v>688</v>
      </c>
    </row>
    <row r="1926" spans="1:7" hidden="1">
      <c r="A1926" s="202" t="s">
        <v>1156</v>
      </c>
      <c r="B1926" s="203">
        <v>-500</v>
      </c>
      <c r="C1926" s="203">
        <v>0</v>
      </c>
      <c r="D1926" s="202" t="s">
        <v>440</v>
      </c>
      <c r="E1926" s="202" t="s">
        <v>639</v>
      </c>
      <c r="F1926" s="202" t="s">
        <v>652</v>
      </c>
      <c r="G1926" s="202" t="s">
        <v>688</v>
      </c>
    </row>
    <row r="1927" spans="1:7" hidden="1">
      <c r="A1927" s="202" t="s">
        <v>1157</v>
      </c>
      <c r="B1927" s="203">
        <v>-410</v>
      </c>
      <c r="C1927" s="203">
        <v>0</v>
      </c>
      <c r="D1927" s="202" t="s">
        <v>440</v>
      </c>
      <c r="E1927" s="202" t="s">
        <v>639</v>
      </c>
      <c r="F1927" s="202" t="s">
        <v>396</v>
      </c>
      <c r="G1927" s="202" t="s">
        <v>688</v>
      </c>
    </row>
    <row r="1928" spans="1:7" hidden="1">
      <c r="A1928" s="202" t="s">
        <v>1158</v>
      </c>
      <c r="B1928" s="203">
        <v>-286</v>
      </c>
      <c r="C1928" s="203">
        <v>0</v>
      </c>
      <c r="D1928" s="202" t="s">
        <v>440</v>
      </c>
      <c r="E1928" s="202" t="s">
        <v>639</v>
      </c>
      <c r="F1928" s="202" t="s">
        <v>409</v>
      </c>
      <c r="G1928" s="202" t="s">
        <v>688</v>
      </c>
    </row>
    <row r="1929" spans="1:7" hidden="1">
      <c r="A1929" s="202" t="s">
        <v>1159</v>
      </c>
      <c r="B1929" s="203">
        <v>-410</v>
      </c>
      <c r="C1929" s="203">
        <v>0</v>
      </c>
      <c r="D1929" s="202" t="s">
        <v>440</v>
      </c>
      <c r="E1929" s="202" t="s">
        <v>639</v>
      </c>
      <c r="F1929" s="202" t="s">
        <v>396</v>
      </c>
      <c r="G1929" s="202" t="s">
        <v>688</v>
      </c>
    </row>
    <row r="1930" spans="1:7" hidden="1">
      <c r="A1930" s="202" t="s">
        <v>1160</v>
      </c>
      <c r="B1930" s="203">
        <v>-68</v>
      </c>
      <c r="C1930" s="203">
        <v>0</v>
      </c>
      <c r="D1930" s="202" t="s">
        <v>440</v>
      </c>
      <c r="E1930" s="202" t="s">
        <v>639</v>
      </c>
      <c r="F1930" s="202" t="s">
        <v>409</v>
      </c>
      <c r="G1930" s="202" t="s">
        <v>688</v>
      </c>
    </row>
    <row r="1931" spans="1:7" hidden="1">
      <c r="A1931" s="202" t="s">
        <v>1161</v>
      </c>
      <c r="B1931" s="203">
        <v>-20</v>
      </c>
      <c r="C1931" s="203">
        <v>0</v>
      </c>
      <c r="D1931" s="202" t="s">
        <v>440</v>
      </c>
      <c r="E1931" s="202" t="s">
        <v>639</v>
      </c>
      <c r="F1931" s="202" t="s">
        <v>409</v>
      </c>
      <c r="G1931" s="202" t="s">
        <v>688</v>
      </c>
    </row>
    <row r="1932" spans="1:7" hidden="1">
      <c r="A1932" s="202" t="s">
        <v>1162</v>
      </c>
      <c r="B1932" s="203">
        <v>-39</v>
      </c>
      <c r="C1932" s="203">
        <v>0</v>
      </c>
      <c r="D1932" s="202" t="s">
        <v>440</v>
      </c>
      <c r="E1932" s="202" t="s">
        <v>639</v>
      </c>
      <c r="F1932" s="202" t="s">
        <v>409</v>
      </c>
      <c r="G1932" s="202" t="s">
        <v>688</v>
      </c>
    </row>
    <row r="1933" spans="1:7" hidden="1">
      <c r="A1933" s="202" t="s">
        <v>1163</v>
      </c>
      <c r="B1933" s="203">
        <v>-103</v>
      </c>
      <c r="C1933" s="203">
        <v>0</v>
      </c>
      <c r="D1933" s="202" t="s">
        <v>440</v>
      </c>
      <c r="E1933" s="202" t="s">
        <v>639</v>
      </c>
      <c r="F1933" s="202" t="s">
        <v>409</v>
      </c>
      <c r="G1933" s="202" t="s">
        <v>688</v>
      </c>
    </row>
    <row r="1934" spans="1:7" hidden="1">
      <c r="A1934" s="202" t="s">
        <v>1164</v>
      </c>
      <c r="B1934" s="203">
        <v>-35</v>
      </c>
      <c r="C1934" s="203">
        <v>0</v>
      </c>
      <c r="D1934" s="202" t="s">
        <v>440</v>
      </c>
      <c r="E1934" s="202" t="s">
        <v>639</v>
      </c>
      <c r="F1934" s="202" t="s">
        <v>409</v>
      </c>
      <c r="G1934" s="202" t="s">
        <v>688</v>
      </c>
    </row>
    <row r="1935" spans="1:7" hidden="1">
      <c r="A1935" s="202" t="s">
        <v>1165</v>
      </c>
      <c r="B1935" s="203">
        <v>-95</v>
      </c>
      <c r="C1935" s="203">
        <v>0</v>
      </c>
      <c r="D1935" s="202" t="s">
        <v>440</v>
      </c>
      <c r="E1935" s="202" t="s">
        <v>639</v>
      </c>
      <c r="F1935" s="202" t="s">
        <v>409</v>
      </c>
      <c r="G1935" s="202" t="s">
        <v>688</v>
      </c>
    </row>
    <row r="1936" spans="1:7" hidden="1">
      <c r="A1936" s="202" t="s">
        <v>1166</v>
      </c>
      <c r="B1936" s="203">
        <v>-47</v>
      </c>
      <c r="C1936" s="203">
        <v>0</v>
      </c>
      <c r="D1936" s="202" t="s">
        <v>440</v>
      </c>
      <c r="E1936" s="202" t="s">
        <v>639</v>
      </c>
      <c r="F1936" s="202" t="s">
        <v>409</v>
      </c>
      <c r="G1936" s="202" t="s">
        <v>688</v>
      </c>
    </row>
    <row r="1937" spans="1:7" hidden="1">
      <c r="A1937" s="202" t="s">
        <v>1167</v>
      </c>
      <c r="B1937" s="203">
        <v>4100</v>
      </c>
      <c r="C1937" s="203">
        <v>0</v>
      </c>
      <c r="D1937" s="202" t="s">
        <v>442</v>
      </c>
      <c r="E1937" s="202" t="s">
        <v>638</v>
      </c>
      <c r="F1937" s="202" t="s">
        <v>396</v>
      </c>
      <c r="G1937" s="202" t="s">
        <v>688</v>
      </c>
    </row>
    <row r="1938" spans="1:7" hidden="1">
      <c r="A1938" s="202" t="s">
        <v>1168</v>
      </c>
      <c r="B1938" s="203">
        <v>4500</v>
      </c>
      <c r="C1938" s="203">
        <v>0</v>
      </c>
      <c r="D1938" s="202" t="s">
        <v>442</v>
      </c>
      <c r="E1938" s="202" t="s">
        <v>638</v>
      </c>
      <c r="F1938" s="202" t="s">
        <v>396</v>
      </c>
      <c r="G1938" s="202" t="s">
        <v>688</v>
      </c>
    </row>
    <row r="1939" spans="1:7" hidden="1">
      <c r="A1939" s="202" t="s">
        <v>1169</v>
      </c>
      <c r="B1939" s="203">
        <v>4800</v>
      </c>
      <c r="C1939" s="203">
        <v>0</v>
      </c>
      <c r="D1939" s="202" t="s">
        <v>442</v>
      </c>
      <c r="E1939" s="202" t="s">
        <v>638</v>
      </c>
      <c r="F1939" s="202" t="s">
        <v>396</v>
      </c>
      <c r="G1939" s="202" t="s">
        <v>688</v>
      </c>
    </row>
    <row r="1940" spans="1:7" hidden="1">
      <c r="A1940" s="202" t="s">
        <v>1170</v>
      </c>
      <c r="B1940" s="203">
        <v>12600</v>
      </c>
      <c r="C1940" s="203">
        <v>0</v>
      </c>
      <c r="D1940" s="202" t="s">
        <v>440</v>
      </c>
      <c r="E1940" s="202" t="s">
        <v>638</v>
      </c>
      <c r="F1940" s="202" t="s">
        <v>652</v>
      </c>
      <c r="G1940" s="202" t="s">
        <v>688</v>
      </c>
    </row>
    <row r="1941" spans="1:7" hidden="1">
      <c r="A1941" s="202" t="s">
        <v>1171</v>
      </c>
      <c r="B1941" s="203">
        <v>2600</v>
      </c>
      <c r="C1941" s="203">
        <v>0</v>
      </c>
      <c r="D1941" s="202" t="s">
        <v>442</v>
      </c>
      <c r="E1941" s="202" t="s">
        <v>638</v>
      </c>
      <c r="F1941" s="202" t="s">
        <v>396</v>
      </c>
      <c r="G1941" s="202" t="s">
        <v>688</v>
      </c>
    </row>
    <row r="1942" spans="1:7" hidden="1">
      <c r="A1942" s="202" t="s">
        <v>1172</v>
      </c>
      <c r="B1942" s="203">
        <v>5800</v>
      </c>
      <c r="C1942" s="203">
        <v>0</v>
      </c>
      <c r="D1942" s="202" t="s">
        <v>442</v>
      </c>
      <c r="E1942" s="202" t="s">
        <v>638</v>
      </c>
      <c r="F1942" s="202" t="s">
        <v>396</v>
      </c>
      <c r="G1942" s="202" t="s">
        <v>688</v>
      </c>
    </row>
    <row r="1943" spans="1:7" hidden="1">
      <c r="A1943" s="202" t="s">
        <v>1173</v>
      </c>
      <c r="B1943" s="203">
        <v>14800</v>
      </c>
      <c r="C1943" s="203">
        <v>0</v>
      </c>
      <c r="D1943" s="202" t="s">
        <v>440</v>
      </c>
      <c r="E1943" s="202" t="s">
        <v>638</v>
      </c>
      <c r="F1943" s="202" t="s">
        <v>652</v>
      </c>
      <c r="G1943" s="202" t="s">
        <v>688</v>
      </c>
    </row>
    <row r="1944" spans="1:7" hidden="1">
      <c r="A1944" s="202" t="s">
        <v>1174</v>
      </c>
      <c r="B1944" s="203">
        <v>1200</v>
      </c>
      <c r="C1944" s="203">
        <v>0</v>
      </c>
      <c r="D1944" s="202" t="s">
        <v>440</v>
      </c>
      <c r="E1944" s="202" t="s">
        <v>638</v>
      </c>
      <c r="F1944" s="202" t="s">
        <v>652</v>
      </c>
      <c r="G1944" s="202" t="s">
        <v>688</v>
      </c>
    </row>
    <row r="1945" spans="1:7" hidden="1">
      <c r="A1945" s="202" t="s">
        <v>1175</v>
      </c>
      <c r="B1945" s="203">
        <v>26900</v>
      </c>
      <c r="C1945" s="203">
        <v>0</v>
      </c>
      <c r="D1945" s="202" t="s">
        <v>440</v>
      </c>
      <c r="E1945" s="202" t="s">
        <v>638</v>
      </c>
      <c r="F1945" s="202" t="s">
        <v>652</v>
      </c>
      <c r="G1945" s="202" t="s">
        <v>688</v>
      </c>
    </row>
    <row r="1946" spans="1:7" hidden="1">
      <c r="A1946" s="202" t="s">
        <v>1176</v>
      </c>
      <c r="B1946" s="203">
        <v>1500</v>
      </c>
      <c r="C1946" s="203">
        <v>0</v>
      </c>
      <c r="D1946" s="202" t="s">
        <v>442</v>
      </c>
      <c r="E1946" s="202" t="s">
        <v>638</v>
      </c>
      <c r="F1946" s="202" t="s">
        <v>396</v>
      </c>
      <c r="G1946" s="202" t="s">
        <v>688</v>
      </c>
    </row>
    <row r="1947" spans="1:7" hidden="1">
      <c r="A1947" s="202" t="s">
        <v>1177</v>
      </c>
      <c r="B1947" s="203">
        <v>44500</v>
      </c>
      <c r="C1947" s="203">
        <v>0</v>
      </c>
      <c r="D1947" s="202" t="s">
        <v>440</v>
      </c>
      <c r="E1947" s="202" t="s">
        <v>638</v>
      </c>
      <c r="F1947" s="202" t="s">
        <v>652</v>
      </c>
      <c r="G1947" s="202" t="s">
        <v>688</v>
      </c>
    </row>
    <row r="1948" spans="1:7" hidden="1">
      <c r="A1948" s="202" t="s">
        <v>1178</v>
      </c>
      <c r="B1948" s="203">
        <v>10900</v>
      </c>
      <c r="C1948" s="203">
        <v>0</v>
      </c>
      <c r="D1948" s="202" t="s">
        <v>442</v>
      </c>
      <c r="E1948" s="202" t="s">
        <v>638</v>
      </c>
      <c r="F1948" s="202" t="s">
        <v>396</v>
      </c>
      <c r="G1948" s="202" t="s">
        <v>688</v>
      </c>
    </row>
    <row r="1949" spans="1:7" hidden="1">
      <c r="A1949" s="202" t="s">
        <v>1179</v>
      </c>
      <c r="B1949" s="203">
        <v>21122</v>
      </c>
      <c r="C1949" s="203">
        <v>0</v>
      </c>
      <c r="D1949" s="202" t="s">
        <v>440</v>
      </c>
      <c r="E1949" s="202" t="s">
        <v>638</v>
      </c>
      <c r="F1949" s="202" t="s">
        <v>652</v>
      </c>
      <c r="G1949" s="202" t="s">
        <v>688</v>
      </c>
    </row>
    <row r="1950" spans="1:7" hidden="1">
      <c r="A1950" s="202" t="s">
        <v>1180</v>
      </c>
      <c r="B1950" s="203">
        <v>56975</v>
      </c>
      <c r="C1950" s="203">
        <v>0</v>
      </c>
      <c r="D1950" s="202" t="s">
        <v>440</v>
      </c>
      <c r="E1950" s="202" t="s">
        <v>638</v>
      </c>
      <c r="F1950" s="202" t="s">
        <v>652</v>
      </c>
      <c r="G1950" s="202" t="s">
        <v>688</v>
      </c>
    </row>
    <row r="1951" spans="1:7" hidden="1">
      <c r="A1951" s="202" t="s">
        <v>1181</v>
      </c>
      <c r="B1951" s="203">
        <v>791910</v>
      </c>
      <c r="C1951" s="203">
        <v>0</v>
      </c>
      <c r="D1951" s="202" t="s">
        <v>440</v>
      </c>
      <c r="E1951" s="202" t="s">
        <v>638</v>
      </c>
      <c r="F1951" s="202" t="s">
        <v>652</v>
      </c>
      <c r="G1951" s="202" t="s">
        <v>688</v>
      </c>
    </row>
    <row r="1952" spans="1:7" hidden="1">
      <c r="A1952" s="202" t="s">
        <v>1182</v>
      </c>
      <c r="B1952" s="203">
        <v>29700</v>
      </c>
      <c r="C1952" s="203">
        <v>0</v>
      </c>
      <c r="D1952" s="202" t="s">
        <v>440</v>
      </c>
      <c r="E1952" s="202" t="s">
        <v>638</v>
      </c>
      <c r="F1952" s="202" t="s">
        <v>652</v>
      </c>
      <c r="G1952" s="202" t="s">
        <v>688</v>
      </c>
    </row>
    <row r="1953" spans="1:7" hidden="1">
      <c r="A1953" s="202" t="s">
        <v>1183</v>
      </c>
      <c r="B1953" s="203">
        <v>31900</v>
      </c>
      <c r="C1953" s="203">
        <v>0</v>
      </c>
      <c r="D1953" s="202" t="s">
        <v>440</v>
      </c>
      <c r="E1953" s="202" t="s">
        <v>638</v>
      </c>
      <c r="F1953" s="202" t="s">
        <v>652</v>
      </c>
      <c r="G1953" s="202" t="s">
        <v>688</v>
      </c>
    </row>
    <row r="1954" spans="1:7" hidden="1">
      <c r="A1954" s="202" t="s">
        <v>1184</v>
      </c>
      <c r="B1954" s="203">
        <v>106600</v>
      </c>
      <c r="C1954" s="203">
        <v>0</v>
      </c>
      <c r="D1954" s="202" t="s">
        <v>440</v>
      </c>
      <c r="E1954" s="202" t="s">
        <v>638</v>
      </c>
      <c r="F1954" s="202" t="s">
        <v>652</v>
      </c>
      <c r="G1954" s="202" t="s">
        <v>688</v>
      </c>
    </row>
    <row r="1955" spans="1:7" hidden="1">
      <c r="A1955" s="202" t="s">
        <v>1185</v>
      </c>
      <c r="B1955" s="203">
        <v>56700</v>
      </c>
      <c r="C1955" s="203">
        <v>0</v>
      </c>
      <c r="D1955" s="202" t="s">
        <v>440</v>
      </c>
      <c r="E1955" s="202" t="s">
        <v>638</v>
      </c>
      <c r="F1955" s="202" t="s">
        <v>652</v>
      </c>
      <c r="G1955" s="202" t="s">
        <v>688</v>
      </c>
    </row>
    <row r="1956" spans="1:7" hidden="1">
      <c r="A1956" s="202" t="s">
        <v>1186</v>
      </c>
      <c r="B1956" s="203">
        <v>143100</v>
      </c>
      <c r="C1956" s="203">
        <v>0</v>
      </c>
      <c r="D1956" s="202" t="s">
        <v>440</v>
      </c>
      <c r="E1956" s="202" t="s">
        <v>638</v>
      </c>
      <c r="F1956" s="202" t="s">
        <v>652</v>
      </c>
      <c r="G1956" s="202" t="s">
        <v>688</v>
      </c>
    </row>
    <row r="1957" spans="1:7" hidden="1">
      <c r="A1957" s="202" t="s">
        <v>1187</v>
      </c>
      <c r="B1957" s="203">
        <v>26400</v>
      </c>
      <c r="C1957" s="203">
        <v>0</v>
      </c>
      <c r="D1957" s="202" t="s">
        <v>440</v>
      </c>
      <c r="E1957" s="202" t="s">
        <v>638</v>
      </c>
      <c r="F1957" s="202" t="s">
        <v>652</v>
      </c>
      <c r="G1957" s="202" t="s">
        <v>688</v>
      </c>
    </row>
    <row r="1958" spans="1:7" hidden="1">
      <c r="A1958" s="202" t="s">
        <v>1188</v>
      </c>
      <c r="B1958" s="203">
        <v>259600</v>
      </c>
      <c r="C1958" s="203">
        <v>0</v>
      </c>
      <c r="D1958" s="202" t="s">
        <v>440</v>
      </c>
      <c r="E1958" s="202" t="s">
        <v>638</v>
      </c>
      <c r="F1958" s="202" t="s">
        <v>652</v>
      </c>
      <c r="G1958" s="202" t="s">
        <v>688</v>
      </c>
    </row>
    <row r="1959" spans="1:7" hidden="1">
      <c r="A1959" s="202" t="s">
        <v>1189</v>
      </c>
      <c r="B1959" s="203">
        <v>31400</v>
      </c>
      <c r="C1959" s="203">
        <v>0</v>
      </c>
      <c r="D1959" s="202" t="s">
        <v>440</v>
      </c>
      <c r="E1959" s="202" t="s">
        <v>638</v>
      </c>
      <c r="F1959" s="202" t="s">
        <v>652</v>
      </c>
      <c r="G1959" s="202" t="s">
        <v>688</v>
      </c>
    </row>
    <row r="1960" spans="1:7" hidden="1">
      <c r="A1960" s="202" t="s">
        <v>1190</v>
      </c>
      <c r="B1960" s="203">
        <v>25900</v>
      </c>
      <c r="C1960" s="203">
        <v>0</v>
      </c>
      <c r="D1960" s="202" t="s">
        <v>440</v>
      </c>
      <c r="E1960" s="202" t="s">
        <v>638</v>
      </c>
      <c r="F1960" s="202" t="s">
        <v>652</v>
      </c>
      <c r="G1960" s="202" t="s">
        <v>688</v>
      </c>
    </row>
    <row r="1961" spans="1:7" hidden="1">
      <c r="A1961" s="202" t="s">
        <v>1191</v>
      </c>
      <c r="B1961" s="203">
        <v>109200</v>
      </c>
      <c r="C1961" s="203">
        <v>0</v>
      </c>
      <c r="D1961" s="202" t="s">
        <v>440</v>
      </c>
      <c r="E1961" s="202" t="s">
        <v>638</v>
      </c>
      <c r="F1961" s="202" t="s">
        <v>652</v>
      </c>
      <c r="G1961" s="202" t="s">
        <v>688</v>
      </c>
    </row>
    <row r="1962" spans="1:7" hidden="1">
      <c r="A1962" s="202" t="s">
        <v>1192</v>
      </c>
      <c r="B1962" s="203">
        <v>50100</v>
      </c>
      <c r="C1962" s="203">
        <v>0</v>
      </c>
      <c r="D1962" s="202" t="s">
        <v>440</v>
      </c>
      <c r="E1962" s="202" t="s">
        <v>638</v>
      </c>
      <c r="F1962" s="202" t="s">
        <v>652</v>
      </c>
      <c r="G1962" s="202" t="s">
        <v>688</v>
      </c>
    </row>
    <row r="1963" spans="1:7" hidden="1">
      <c r="A1963" s="202" t="s">
        <v>1193</v>
      </c>
      <c r="B1963" s="203">
        <v>183800</v>
      </c>
      <c r="C1963" s="203">
        <v>0</v>
      </c>
      <c r="D1963" s="202" t="s">
        <v>440</v>
      </c>
      <c r="E1963" s="202" t="s">
        <v>638</v>
      </c>
      <c r="F1963" s="202" t="s">
        <v>652</v>
      </c>
      <c r="G1963" s="202" t="s">
        <v>688</v>
      </c>
    </row>
    <row r="1964" spans="1:7" hidden="1">
      <c r="A1964" s="202" t="s">
        <v>1194</v>
      </c>
      <c r="B1964" s="203">
        <v>24000</v>
      </c>
      <c r="C1964" s="203">
        <v>0</v>
      </c>
      <c r="D1964" s="202" t="s">
        <v>440</v>
      </c>
      <c r="E1964" s="202" t="s">
        <v>638</v>
      </c>
      <c r="F1964" s="202" t="s">
        <v>652</v>
      </c>
      <c r="G1964" s="202" t="s">
        <v>688</v>
      </c>
    </row>
    <row r="1965" spans="1:7" hidden="1">
      <c r="A1965" s="202" t="s">
        <v>1195</v>
      </c>
      <c r="B1965" s="203">
        <v>37700</v>
      </c>
      <c r="C1965" s="203">
        <v>0</v>
      </c>
      <c r="D1965" s="202" t="s">
        <v>440</v>
      </c>
      <c r="E1965" s="202" t="s">
        <v>638</v>
      </c>
      <c r="F1965" s="202" t="s">
        <v>652</v>
      </c>
      <c r="G1965" s="202" t="s">
        <v>688</v>
      </c>
    </row>
    <row r="1966" spans="1:7" hidden="1">
      <c r="A1966" s="202" t="s">
        <v>1196</v>
      </c>
      <c r="B1966" s="203">
        <v>50500</v>
      </c>
      <c r="C1966" s="203">
        <v>0</v>
      </c>
      <c r="D1966" s="202" t="s">
        <v>440</v>
      </c>
      <c r="E1966" s="202" t="s">
        <v>638</v>
      </c>
      <c r="F1966" s="202" t="s">
        <v>652</v>
      </c>
      <c r="G1966" s="202" t="s">
        <v>688</v>
      </c>
    </row>
    <row r="1967" spans="1:7" hidden="1">
      <c r="A1967" s="202" t="s">
        <v>1197</v>
      </c>
      <c r="B1967" s="203">
        <v>17400</v>
      </c>
      <c r="C1967" s="203">
        <v>0</v>
      </c>
      <c r="D1967" s="202" t="s">
        <v>440</v>
      </c>
      <c r="E1967" s="202" t="s">
        <v>638</v>
      </c>
      <c r="F1967" s="202" t="s">
        <v>652</v>
      </c>
      <c r="G1967" s="202" t="s">
        <v>688</v>
      </c>
    </row>
    <row r="1968" spans="1:7" hidden="1">
      <c r="A1968" s="202" t="s">
        <v>1198</v>
      </c>
      <c r="B1968" s="203">
        <v>3000</v>
      </c>
      <c r="C1968" s="203">
        <v>0</v>
      </c>
      <c r="D1968" s="202" t="s">
        <v>442</v>
      </c>
      <c r="E1968" s="202" t="s">
        <v>638</v>
      </c>
      <c r="F1968" s="202" t="s">
        <v>396</v>
      </c>
      <c r="G1968" s="202" t="s">
        <v>688</v>
      </c>
    </row>
    <row r="1969" spans="1:7" hidden="1">
      <c r="A1969" s="202" t="s">
        <v>1199</v>
      </c>
      <c r="B1969" s="203">
        <v>61600</v>
      </c>
      <c r="C1969" s="203">
        <v>0</v>
      </c>
      <c r="D1969" s="202" t="s">
        <v>440</v>
      </c>
      <c r="E1969" s="202" t="s">
        <v>638</v>
      </c>
      <c r="F1969" s="202" t="s">
        <v>652</v>
      </c>
      <c r="G1969" s="202" t="s">
        <v>688</v>
      </c>
    </row>
    <row r="1970" spans="1:7" hidden="1">
      <c r="A1970" s="202" t="s">
        <v>1200</v>
      </c>
      <c r="B1970" s="203">
        <v>25200</v>
      </c>
      <c r="C1970" s="203">
        <v>0</v>
      </c>
      <c r="D1970" s="202" t="s">
        <v>440</v>
      </c>
      <c r="E1970" s="202" t="s">
        <v>638</v>
      </c>
      <c r="F1970" s="202" t="s">
        <v>652</v>
      </c>
      <c r="G1970" s="202" t="s">
        <v>688</v>
      </c>
    </row>
    <row r="1971" spans="1:7" hidden="1">
      <c r="A1971" s="202" t="s">
        <v>1201</v>
      </c>
      <c r="B1971" s="203">
        <v>47000</v>
      </c>
      <c r="C1971" s="203">
        <v>0</v>
      </c>
      <c r="D1971" s="202" t="s">
        <v>440</v>
      </c>
      <c r="E1971" s="202" t="s">
        <v>638</v>
      </c>
      <c r="F1971" s="202" t="s">
        <v>652</v>
      </c>
      <c r="G1971" s="202" t="s">
        <v>688</v>
      </c>
    </row>
    <row r="1972" spans="1:7" hidden="1">
      <c r="A1972" s="202" t="s">
        <v>1202</v>
      </c>
      <c r="B1972" s="203">
        <v>3200</v>
      </c>
      <c r="C1972" s="203">
        <v>0</v>
      </c>
      <c r="D1972" s="202" t="s">
        <v>442</v>
      </c>
      <c r="E1972" s="202" t="s">
        <v>638</v>
      </c>
      <c r="F1972" s="202" t="s">
        <v>396</v>
      </c>
      <c r="G1972" s="202" t="s">
        <v>688</v>
      </c>
    </row>
    <row r="1973" spans="1:7" hidden="1">
      <c r="A1973" s="202" t="s">
        <v>1203</v>
      </c>
      <c r="B1973" s="203">
        <v>8400</v>
      </c>
      <c r="C1973" s="203">
        <v>0</v>
      </c>
      <c r="D1973" s="202" t="s">
        <v>442</v>
      </c>
      <c r="E1973" s="202" t="s">
        <v>638</v>
      </c>
      <c r="F1973" s="202" t="s">
        <v>396</v>
      </c>
      <c r="G1973" s="202" t="s">
        <v>688</v>
      </c>
    </row>
    <row r="1974" spans="1:7" hidden="1">
      <c r="A1974" s="202" t="s">
        <v>1204</v>
      </c>
      <c r="B1974" s="203">
        <v>13400</v>
      </c>
      <c r="C1974" s="203">
        <v>0</v>
      </c>
      <c r="D1974" s="202" t="s">
        <v>440</v>
      </c>
      <c r="E1974" s="202" t="s">
        <v>638</v>
      </c>
      <c r="F1974" s="202" t="s">
        <v>652</v>
      </c>
      <c r="G1974" s="202" t="s">
        <v>688</v>
      </c>
    </row>
    <row r="1975" spans="1:7" hidden="1">
      <c r="A1975" s="202" t="s">
        <v>1205</v>
      </c>
      <c r="B1975" s="203">
        <v>30000</v>
      </c>
      <c r="C1975" s="203">
        <v>0</v>
      </c>
      <c r="D1975" s="202" t="s">
        <v>440</v>
      </c>
      <c r="E1975" s="202" t="s">
        <v>638</v>
      </c>
      <c r="F1975" s="202" t="s">
        <v>652</v>
      </c>
      <c r="G1975" s="202" t="s">
        <v>688</v>
      </c>
    </row>
    <row r="1976" spans="1:7" hidden="1">
      <c r="A1976" s="202" t="s">
        <v>1206</v>
      </c>
      <c r="B1976" s="203">
        <v>25700</v>
      </c>
      <c r="C1976" s="203">
        <v>0</v>
      </c>
      <c r="D1976" s="202" t="s">
        <v>440</v>
      </c>
      <c r="E1976" s="202" t="s">
        <v>638</v>
      </c>
      <c r="F1976" s="202" t="s">
        <v>652</v>
      </c>
      <c r="G1976" s="202" t="s">
        <v>688</v>
      </c>
    </row>
    <row r="1977" spans="1:7" hidden="1">
      <c r="A1977" s="202" t="s">
        <v>1207</v>
      </c>
      <c r="B1977" s="203">
        <v>31000</v>
      </c>
      <c r="C1977" s="203">
        <v>0</v>
      </c>
      <c r="D1977" s="202" t="s">
        <v>440</v>
      </c>
      <c r="E1977" s="202" t="s">
        <v>638</v>
      </c>
      <c r="F1977" s="202" t="s">
        <v>409</v>
      </c>
      <c r="G1977" s="202" t="s">
        <v>688</v>
      </c>
    </row>
    <row r="1978" spans="1:7" hidden="1">
      <c r="A1978" s="202" t="s">
        <v>1208</v>
      </c>
      <c r="B1978" s="203">
        <v>25500</v>
      </c>
      <c r="C1978" s="203">
        <v>0</v>
      </c>
      <c r="D1978" s="202" t="s">
        <v>440</v>
      </c>
      <c r="E1978" s="202" t="s">
        <v>638</v>
      </c>
      <c r="F1978" s="202" t="s">
        <v>652</v>
      </c>
      <c r="G1978" s="202" t="s">
        <v>688</v>
      </c>
    </row>
    <row r="1979" spans="1:7" hidden="1">
      <c r="A1979" s="202" t="s">
        <v>1209</v>
      </c>
      <c r="B1979" s="203">
        <v>24300</v>
      </c>
      <c r="C1979" s="203">
        <v>0</v>
      </c>
      <c r="D1979" s="202" t="s">
        <v>440</v>
      </c>
      <c r="E1979" s="202" t="s">
        <v>638</v>
      </c>
      <c r="F1979" s="202" t="s">
        <v>652</v>
      </c>
      <c r="G1979" s="202" t="s">
        <v>688</v>
      </c>
    </row>
    <row r="1980" spans="1:7" hidden="1">
      <c r="A1980" s="202" t="s">
        <v>1210</v>
      </c>
      <c r="B1980" s="203">
        <v>2500</v>
      </c>
      <c r="C1980" s="203">
        <v>0</v>
      </c>
      <c r="D1980" s="202" t="s">
        <v>442</v>
      </c>
      <c r="E1980" s="202" t="s">
        <v>638</v>
      </c>
      <c r="F1980" s="202" t="s">
        <v>396</v>
      </c>
      <c r="G1980" s="202" t="s">
        <v>688</v>
      </c>
    </row>
    <row r="1981" spans="1:7" hidden="1">
      <c r="A1981" s="202" t="s">
        <v>1211</v>
      </c>
      <c r="B1981" s="203">
        <v>81400</v>
      </c>
      <c r="C1981" s="203">
        <v>0</v>
      </c>
      <c r="D1981" s="202" t="s">
        <v>440</v>
      </c>
      <c r="E1981" s="202" t="s">
        <v>638</v>
      </c>
      <c r="F1981" s="202" t="s">
        <v>652</v>
      </c>
      <c r="G1981" s="202" t="s">
        <v>688</v>
      </c>
    </row>
    <row r="1982" spans="1:7" hidden="1">
      <c r="A1982" s="202" t="s">
        <v>1212</v>
      </c>
      <c r="B1982" s="203">
        <v>26800</v>
      </c>
      <c r="C1982" s="203">
        <v>0</v>
      </c>
      <c r="D1982" s="202" t="s">
        <v>440</v>
      </c>
      <c r="E1982" s="202" t="s">
        <v>638</v>
      </c>
      <c r="F1982" s="202" t="s">
        <v>652</v>
      </c>
      <c r="G1982" s="202" t="s">
        <v>688</v>
      </c>
    </row>
    <row r="1983" spans="1:7" hidden="1">
      <c r="A1983" s="202" t="s">
        <v>1213</v>
      </c>
      <c r="B1983" s="203">
        <v>113600</v>
      </c>
      <c r="C1983" s="203">
        <v>0</v>
      </c>
      <c r="D1983" s="202" t="s">
        <v>440</v>
      </c>
      <c r="E1983" s="202" t="s">
        <v>638</v>
      </c>
      <c r="F1983" s="202" t="s">
        <v>409</v>
      </c>
      <c r="G1983" s="202" t="s">
        <v>688</v>
      </c>
    </row>
    <row r="1984" spans="1:7" hidden="1">
      <c r="A1984" s="202" t="s">
        <v>1214</v>
      </c>
      <c r="B1984" s="203">
        <v>5800</v>
      </c>
      <c r="C1984" s="203">
        <v>0</v>
      </c>
      <c r="D1984" s="202" t="s">
        <v>440</v>
      </c>
      <c r="E1984" s="202" t="s">
        <v>638</v>
      </c>
      <c r="F1984" s="202" t="s">
        <v>652</v>
      </c>
      <c r="G1984" s="202" t="s">
        <v>688</v>
      </c>
    </row>
    <row r="1985" spans="1:7" hidden="1">
      <c r="A1985" s="202" t="s">
        <v>1215</v>
      </c>
      <c r="B1985" s="203">
        <v>9300</v>
      </c>
      <c r="C1985" s="203">
        <v>0</v>
      </c>
      <c r="D1985" s="202" t="s">
        <v>442</v>
      </c>
      <c r="E1985" s="202" t="s">
        <v>638</v>
      </c>
      <c r="F1985" s="202" t="s">
        <v>396</v>
      </c>
      <c r="G1985" s="202" t="s">
        <v>688</v>
      </c>
    </row>
    <row r="1986" spans="1:7" hidden="1">
      <c r="A1986" s="202" t="s">
        <v>1216</v>
      </c>
      <c r="B1986" s="203">
        <v>74000</v>
      </c>
      <c r="C1986" s="203">
        <v>0</v>
      </c>
      <c r="D1986" s="202" t="s">
        <v>440</v>
      </c>
      <c r="E1986" s="202" t="s">
        <v>638</v>
      </c>
      <c r="F1986" s="202" t="s">
        <v>652</v>
      </c>
      <c r="G1986" s="202" t="s">
        <v>688</v>
      </c>
    </row>
    <row r="1987" spans="1:7" hidden="1">
      <c r="A1987" s="202" t="s">
        <v>1217</v>
      </c>
      <c r="B1987" s="203">
        <v>64000</v>
      </c>
      <c r="C1987" s="203">
        <v>0</v>
      </c>
      <c r="D1987" s="202" t="s">
        <v>440</v>
      </c>
      <c r="E1987" s="202" t="s">
        <v>638</v>
      </c>
      <c r="F1987" s="202" t="s">
        <v>652</v>
      </c>
      <c r="G1987" s="202" t="s">
        <v>688</v>
      </c>
    </row>
    <row r="1988" spans="1:7" hidden="1">
      <c r="A1988" s="202" t="s">
        <v>1218</v>
      </c>
      <c r="B1988" s="203">
        <v>153300</v>
      </c>
      <c r="C1988" s="203">
        <v>0</v>
      </c>
      <c r="D1988" s="202" t="s">
        <v>440</v>
      </c>
      <c r="E1988" s="202" t="s">
        <v>638</v>
      </c>
      <c r="F1988" s="202" t="s">
        <v>652</v>
      </c>
      <c r="G1988" s="202" t="s">
        <v>688</v>
      </c>
    </row>
    <row r="1989" spans="1:7" hidden="1">
      <c r="A1989" s="202" t="s">
        <v>1219</v>
      </c>
      <c r="B1989" s="203">
        <v>119000</v>
      </c>
      <c r="C1989" s="203">
        <v>0</v>
      </c>
      <c r="D1989" s="202" t="s">
        <v>440</v>
      </c>
      <c r="E1989" s="202" t="s">
        <v>638</v>
      </c>
      <c r="F1989" s="202" t="s">
        <v>652</v>
      </c>
      <c r="G1989" s="202" t="s">
        <v>688</v>
      </c>
    </row>
    <row r="1990" spans="1:7" hidden="1">
      <c r="A1990" s="202" t="s">
        <v>1220</v>
      </c>
      <c r="B1990" s="203">
        <v>58900</v>
      </c>
      <c r="C1990" s="203">
        <v>0</v>
      </c>
      <c r="D1990" s="202" t="s">
        <v>440</v>
      </c>
      <c r="E1990" s="202" t="s">
        <v>638</v>
      </c>
      <c r="F1990" s="202" t="s">
        <v>652</v>
      </c>
      <c r="G1990" s="202" t="s">
        <v>688</v>
      </c>
    </row>
    <row r="1991" spans="1:7" hidden="1">
      <c r="A1991" s="202" t="s">
        <v>1221</v>
      </c>
      <c r="B1991" s="203">
        <v>64700</v>
      </c>
      <c r="C1991" s="203">
        <v>0</v>
      </c>
      <c r="D1991" s="202" t="s">
        <v>442</v>
      </c>
      <c r="E1991" s="202" t="s">
        <v>638</v>
      </c>
      <c r="F1991" s="202" t="s">
        <v>396</v>
      </c>
      <c r="G1991" s="202" t="s">
        <v>688</v>
      </c>
    </row>
    <row r="1992" spans="1:7" hidden="1">
      <c r="A1992" s="202" t="s">
        <v>1222</v>
      </c>
      <c r="B1992" s="203">
        <v>2900</v>
      </c>
      <c r="C1992" s="203">
        <v>0</v>
      </c>
      <c r="D1992" s="202" t="s">
        <v>442</v>
      </c>
      <c r="E1992" s="202" t="s">
        <v>638</v>
      </c>
      <c r="F1992" s="202" t="s">
        <v>396</v>
      </c>
      <c r="G1992" s="202" t="s">
        <v>688</v>
      </c>
    </row>
    <row r="1993" spans="1:7" hidden="1">
      <c r="A1993" s="202" t="s">
        <v>1223</v>
      </c>
      <c r="B1993" s="203">
        <v>18800</v>
      </c>
      <c r="C1993" s="203">
        <v>0</v>
      </c>
      <c r="D1993" s="202" t="s">
        <v>440</v>
      </c>
      <c r="E1993" s="202" t="s">
        <v>638</v>
      </c>
      <c r="F1993" s="202" t="s">
        <v>652</v>
      </c>
      <c r="G1993" s="202" t="s">
        <v>688</v>
      </c>
    </row>
    <row r="1994" spans="1:7" hidden="1">
      <c r="A1994" s="202" t="s">
        <v>1224</v>
      </c>
      <c r="B1994" s="203">
        <v>7700</v>
      </c>
      <c r="C1994" s="203">
        <v>0</v>
      </c>
      <c r="D1994" s="202" t="s">
        <v>440</v>
      </c>
      <c r="E1994" s="202" t="s">
        <v>638</v>
      </c>
      <c r="F1994" s="202" t="s">
        <v>652</v>
      </c>
      <c r="G1994" s="202" t="s">
        <v>688</v>
      </c>
    </row>
    <row r="1995" spans="1:7" hidden="1">
      <c r="A1995" s="202" t="s">
        <v>1225</v>
      </c>
      <c r="B1995" s="203">
        <v>4000</v>
      </c>
      <c r="C1995" s="203">
        <v>0</v>
      </c>
      <c r="D1995" s="202" t="s">
        <v>442</v>
      </c>
      <c r="E1995" s="202" t="s">
        <v>638</v>
      </c>
      <c r="F1995" s="202" t="s">
        <v>396</v>
      </c>
      <c r="G1995" s="202" t="s">
        <v>688</v>
      </c>
    </row>
    <row r="1996" spans="1:7" hidden="1">
      <c r="A1996" s="202" t="s">
        <v>1226</v>
      </c>
      <c r="B1996" s="203">
        <v>13200</v>
      </c>
      <c r="C1996" s="203">
        <v>0</v>
      </c>
      <c r="D1996" s="202" t="s">
        <v>440</v>
      </c>
      <c r="E1996" s="202" t="s">
        <v>638</v>
      </c>
      <c r="F1996" s="202" t="s">
        <v>652</v>
      </c>
      <c r="G1996" s="202" t="s">
        <v>688</v>
      </c>
    </row>
    <row r="1997" spans="1:7" hidden="1">
      <c r="A1997" s="202" t="s">
        <v>1227</v>
      </c>
      <c r="B1997" s="203">
        <v>44300</v>
      </c>
      <c r="C1997" s="203">
        <v>0</v>
      </c>
      <c r="D1997" s="202" t="s">
        <v>440</v>
      </c>
      <c r="E1997" s="202" t="s">
        <v>638</v>
      </c>
      <c r="F1997" s="202" t="s">
        <v>652</v>
      </c>
      <c r="G1997" s="202" t="s">
        <v>688</v>
      </c>
    </row>
    <row r="1998" spans="1:7" hidden="1">
      <c r="A1998" s="202" t="s">
        <v>644</v>
      </c>
      <c r="B1998" s="203">
        <v>-118</v>
      </c>
      <c r="C1998" s="203">
        <v>0</v>
      </c>
      <c r="D1998" s="202" t="s">
        <v>440</v>
      </c>
      <c r="E1998" s="202" t="s">
        <v>638</v>
      </c>
      <c r="F1998" s="202" t="s">
        <v>409</v>
      </c>
      <c r="G1998" s="202" t="s">
        <v>688</v>
      </c>
    </row>
    <row r="1999" spans="1:7" hidden="1">
      <c r="A1999" s="202" t="s">
        <v>646</v>
      </c>
      <c r="B1999" s="203">
        <v>-619</v>
      </c>
      <c r="C1999" s="203">
        <v>0</v>
      </c>
      <c r="D1999" s="202" t="s">
        <v>440</v>
      </c>
      <c r="E1999" s="202" t="s">
        <v>638</v>
      </c>
      <c r="F1999" s="202" t="s">
        <v>409</v>
      </c>
      <c r="G1999" s="202" t="s">
        <v>688</v>
      </c>
    </row>
    <row r="2000" spans="1:7" hidden="1">
      <c r="A2000" s="202" t="s">
        <v>647</v>
      </c>
      <c r="B2000" s="203">
        <v>-157</v>
      </c>
      <c r="C2000" s="203">
        <v>0</v>
      </c>
      <c r="D2000" s="202" t="s">
        <v>440</v>
      </c>
      <c r="E2000" s="202" t="s">
        <v>638</v>
      </c>
      <c r="F2000" s="202" t="s">
        <v>409</v>
      </c>
      <c r="G2000" s="202" t="s">
        <v>688</v>
      </c>
    </row>
    <row r="2001" spans="1:7" hidden="1">
      <c r="A2001" s="202" t="s">
        <v>648</v>
      </c>
      <c r="B2001" s="203">
        <v>-169</v>
      </c>
      <c r="C2001" s="203">
        <v>0</v>
      </c>
      <c r="D2001" s="202" t="s">
        <v>440</v>
      </c>
      <c r="E2001" s="202" t="s">
        <v>638</v>
      </c>
      <c r="F2001" s="202" t="s">
        <v>409</v>
      </c>
      <c r="G2001" s="202" t="s">
        <v>688</v>
      </c>
    </row>
    <row r="2002" spans="1:7" hidden="1">
      <c r="A2002" s="202" t="s">
        <v>649</v>
      </c>
      <c r="B2002" s="203">
        <v>-168</v>
      </c>
      <c r="C2002" s="203">
        <v>0</v>
      </c>
      <c r="D2002" s="202" t="s">
        <v>440</v>
      </c>
      <c r="E2002" s="202" t="s">
        <v>638</v>
      </c>
      <c r="F2002" s="202" t="s">
        <v>409</v>
      </c>
      <c r="G2002" s="202" t="s">
        <v>688</v>
      </c>
    </row>
    <row r="2003" spans="1:7" hidden="1">
      <c r="A2003" s="202" t="s">
        <v>650</v>
      </c>
      <c r="B2003" s="203">
        <v>-234</v>
      </c>
      <c r="C2003" s="203">
        <v>0</v>
      </c>
      <c r="D2003" s="202" t="s">
        <v>440</v>
      </c>
      <c r="E2003" s="202" t="s">
        <v>638</v>
      </c>
      <c r="F2003" s="202" t="s">
        <v>409</v>
      </c>
      <c r="G2003" s="202" t="s">
        <v>688</v>
      </c>
    </row>
    <row r="2004" spans="1:7" hidden="1">
      <c r="A2004" s="202" t="s">
        <v>651</v>
      </c>
      <c r="B2004" s="203">
        <v>-118</v>
      </c>
      <c r="C2004" s="203">
        <v>0</v>
      </c>
      <c r="D2004" s="202" t="s">
        <v>440</v>
      </c>
      <c r="E2004" s="202" t="s">
        <v>638</v>
      </c>
      <c r="F2004" s="202" t="s">
        <v>409</v>
      </c>
      <c r="G2004" s="202" t="s">
        <v>688</v>
      </c>
    </row>
    <row r="2005" spans="1:7" hidden="1">
      <c r="A2005" s="202" t="s">
        <v>1228</v>
      </c>
      <c r="B2005" s="203">
        <v>93100</v>
      </c>
      <c r="C2005" s="203">
        <v>0</v>
      </c>
      <c r="D2005" s="202" t="s">
        <v>440</v>
      </c>
      <c r="E2005" s="202" t="s">
        <v>638</v>
      </c>
      <c r="F2005" s="202" t="s">
        <v>652</v>
      </c>
      <c r="G2005" s="202" t="s">
        <v>688</v>
      </c>
    </row>
    <row r="2006" spans="1:7" hidden="1">
      <c r="A2006" s="202" t="s">
        <v>1229</v>
      </c>
      <c r="B2006" s="203">
        <v>21000</v>
      </c>
      <c r="C2006" s="203">
        <v>0</v>
      </c>
      <c r="D2006" s="202" t="s">
        <v>440</v>
      </c>
      <c r="E2006" s="202" t="s">
        <v>638</v>
      </c>
      <c r="F2006" s="202" t="s">
        <v>652</v>
      </c>
      <c r="G2006" s="202" t="s">
        <v>688</v>
      </c>
    </row>
    <row r="2007" spans="1:7" hidden="1">
      <c r="A2007" s="202" t="s">
        <v>1230</v>
      </c>
      <c r="B2007" s="203">
        <v>33300</v>
      </c>
      <c r="C2007" s="203">
        <v>0</v>
      </c>
      <c r="D2007" s="202" t="s">
        <v>440</v>
      </c>
      <c r="E2007" s="202" t="s">
        <v>638</v>
      </c>
      <c r="F2007" s="202" t="s">
        <v>652</v>
      </c>
      <c r="G2007" s="202" t="s">
        <v>688</v>
      </c>
    </row>
    <row r="2008" spans="1:7" hidden="1">
      <c r="A2008" s="202" t="s">
        <v>1231</v>
      </c>
      <c r="B2008" s="203">
        <v>3000</v>
      </c>
      <c r="C2008" s="203">
        <v>0</v>
      </c>
      <c r="D2008" s="202" t="s">
        <v>442</v>
      </c>
      <c r="E2008" s="202" t="s">
        <v>638</v>
      </c>
      <c r="F2008" s="202" t="s">
        <v>396</v>
      </c>
      <c r="G2008" s="202" t="s">
        <v>688</v>
      </c>
    </row>
    <row r="2009" spans="1:7" hidden="1">
      <c r="A2009" s="202" t="s">
        <v>1232</v>
      </c>
      <c r="B2009" s="203">
        <v>900</v>
      </c>
      <c r="C2009" s="203">
        <v>0</v>
      </c>
      <c r="D2009" s="202" t="s">
        <v>442</v>
      </c>
      <c r="E2009" s="202" t="s">
        <v>638</v>
      </c>
      <c r="F2009" s="202" t="s">
        <v>396</v>
      </c>
      <c r="G2009" s="202" t="s">
        <v>688</v>
      </c>
    </row>
    <row r="2010" spans="1:7" hidden="1">
      <c r="A2010" s="202" t="s">
        <v>1233</v>
      </c>
      <c r="B2010" s="203">
        <v>16500</v>
      </c>
      <c r="C2010" s="203">
        <v>0</v>
      </c>
      <c r="D2010" s="202" t="s">
        <v>474</v>
      </c>
      <c r="E2010" s="202" t="s">
        <v>638</v>
      </c>
      <c r="F2010" s="202" t="s">
        <v>396</v>
      </c>
      <c r="G2010" s="202" t="s">
        <v>688</v>
      </c>
    </row>
    <row r="2011" spans="1:7" hidden="1">
      <c r="A2011" s="202" t="s">
        <v>1234</v>
      </c>
      <c r="B2011" s="203">
        <v>12800</v>
      </c>
      <c r="C2011" s="203">
        <v>0</v>
      </c>
      <c r="D2011" s="202" t="s">
        <v>440</v>
      </c>
      <c r="E2011" s="202" t="s">
        <v>638</v>
      </c>
      <c r="F2011" s="202" t="s">
        <v>652</v>
      </c>
      <c r="G2011" s="202" t="s">
        <v>688</v>
      </c>
    </row>
    <row r="2012" spans="1:7" hidden="1">
      <c r="A2012" s="202" t="s">
        <v>1235</v>
      </c>
      <c r="B2012" s="203">
        <v>4500</v>
      </c>
      <c r="C2012" s="203">
        <v>0</v>
      </c>
      <c r="D2012" s="202" t="s">
        <v>442</v>
      </c>
      <c r="E2012" s="202" t="s">
        <v>638</v>
      </c>
      <c r="F2012" s="202" t="s">
        <v>396</v>
      </c>
      <c r="G2012" s="202" t="s">
        <v>688</v>
      </c>
    </row>
    <row r="2013" spans="1:7" hidden="1">
      <c r="A2013" s="202" t="s">
        <v>1236</v>
      </c>
      <c r="B2013" s="203">
        <v>12400</v>
      </c>
      <c r="C2013" s="203">
        <v>0</v>
      </c>
      <c r="D2013" s="202" t="s">
        <v>440</v>
      </c>
      <c r="E2013" s="202" t="s">
        <v>638</v>
      </c>
      <c r="F2013" s="202" t="s">
        <v>652</v>
      </c>
      <c r="G2013" s="202" t="s">
        <v>688</v>
      </c>
    </row>
    <row r="2014" spans="1:7" hidden="1">
      <c r="A2014" s="202" t="s">
        <v>1237</v>
      </c>
      <c r="B2014" s="203">
        <v>12700</v>
      </c>
      <c r="C2014" s="203">
        <v>0</v>
      </c>
      <c r="D2014" s="202" t="s">
        <v>440</v>
      </c>
      <c r="E2014" s="202" t="s">
        <v>638</v>
      </c>
      <c r="F2014" s="202" t="s">
        <v>652</v>
      </c>
      <c r="G2014" s="202" t="s">
        <v>688</v>
      </c>
    </row>
    <row r="2015" spans="1:7" hidden="1">
      <c r="A2015" s="202" t="s">
        <v>1238</v>
      </c>
      <c r="B2015" s="203">
        <v>12500</v>
      </c>
      <c r="C2015" s="203">
        <v>0</v>
      </c>
      <c r="D2015" s="202" t="s">
        <v>440</v>
      </c>
      <c r="E2015" s="202" t="s">
        <v>638</v>
      </c>
      <c r="F2015" s="202" t="s">
        <v>652</v>
      </c>
      <c r="G2015" s="202" t="s">
        <v>688</v>
      </c>
    </row>
    <row r="2016" spans="1:7" hidden="1">
      <c r="A2016" s="202" t="s">
        <v>1239</v>
      </c>
      <c r="B2016" s="203">
        <v>12400</v>
      </c>
      <c r="C2016" s="203">
        <v>0</v>
      </c>
      <c r="D2016" s="202" t="s">
        <v>440</v>
      </c>
      <c r="E2016" s="202" t="s">
        <v>638</v>
      </c>
      <c r="F2016" s="202" t="s">
        <v>652</v>
      </c>
      <c r="G2016" s="202" t="s">
        <v>688</v>
      </c>
    </row>
    <row r="2017" spans="1:7" hidden="1">
      <c r="A2017" s="202" t="s">
        <v>1240</v>
      </c>
      <c r="B2017" s="203">
        <v>19000</v>
      </c>
      <c r="C2017" s="203">
        <v>0</v>
      </c>
      <c r="D2017" s="202" t="s">
        <v>474</v>
      </c>
      <c r="E2017" s="202" t="s">
        <v>638</v>
      </c>
      <c r="F2017" s="202" t="s">
        <v>396</v>
      </c>
      <c r="G2017" s="202" t="s">
        <v>688</v>
      </c>
    </row>
    <row r="2018" spans="1:7" hidden="1">
      <c r="A2018" s="202" t="s">
        <v>1241</v>
      </c>
      <c r="B2018" s="203">
        <v>2900</v>
      </c>
      <c r="C2018" s="203">
        <v>0</v>
      </c>
      <c r="D2018" s="202" t="s">
        <v>442</v>
      </c>
      <c r="E2018" s="202" t="s">
        <v>638</v>
      </c>
      <c r="F2018" s="202" t="s">
        <v>396</v>
      </c>
      <c r="G2018" s="202" t="s">
        <v>688</v>
      </c>
    </row>
    <row r="2019" spans="1:7" hidden="1">
      <c r="A2019" s="202" t="s">
        <v>1242</v>
      </c>
      <c r="B2019" s="203">
        <v>15000</v>
      </c>
      <c r="C2019" s="203">
        <v>0</v>
      </c>
      <c r="D2019" s="202" t="s">
        <v>440</v>
      </c>
      <c r="E2019" s="202" t="s">
        <v>638</v>
      </c>
      <c r="F2019" s="202" t="s">
        <v>652</v>
      </c>
      <c r="G2019" s="202" t="s">
        <v>688</v>
      </c>
    </row>
    <row r="2020" spans="1:7" hidden="1">
      <c r="A2020" s="202" t="s">
        <v>1243</v>
      </c>
      <c r="B2020" s="203">
        <v>49355</v>
      </c>
      <c r="C2020" s="203">
        <v>0</v>
      </c>
      <c r="D2020" s="202" t="s">
        <v>440</v>
      </c>
      <c r="E2020" s="202" t="s">
        <v>638</v>
      </c>
      <c r="F2020" s="202" t="s">
        <v>652</v>
      </c>
      <c r="G2020" s="202" t="s">
        <v>688</v>
      </c>
    </row>
    <row r="2021" spans="1:7" hidden="1">
      <c r="A2021" s="202" t="s">
        <v>1244</v>
      </c>
      <c r="B2021" s="203">
        <v>24000</v>
      </c>
      <c r="C2021" s="203">
        <v>0</v>
      </c>
      <c r="D2021" s="202" t="s">
        <v>440</v>
      </c>
      <c r="E2021" s="202" t="s">
        <v>638</v>
      </c>
      <c r="F2021" s="202" t="s">
        <v>652</v>
      </c>
      <c r="G2021" s="202" t="s">
        <v>688</v>
      </c>
    </row>
    <row r="2022" spans="1:7" hidden="1">
      <c r="A2022" s="202" t="s">
        <v>1245</v>
      </c>
      <c r="B2022" s="203">
        <v>21000</v>
      </c>
      <c r="C2022" s="203">
        <v>0</v>
      </c>
      <c r="D2022" s="202" t="s">
        <v>440</v>
      </c>
      <c r="E2022" s="202" t="s">
        <v>638</v>
      </c>
      <c r="F2022" s="202" t="s">
        <v>652</v>
      </c>
      <c r="G2022" s="202" t="s">
        <v>688</v>
      </c>
    </row>
    <row r="2023" spans="1:7" hidden="1">
      <c r="A2023" s="202" t="s">
        <v>1246</v>
      </c>
      <c r="B2023" s="203">
        <v>43000</v>
      </c>
      <c r="C2023" s="203">
        <v>0</v>
      </c>
      <c r="D2023" s="202" t="s">
        <v>440</v>
      </c>
      <c r="E2023" s="202" t="s">
        <v>638</v>
      </c>
      <c r="F2023" s="202" t="s">
        <v>652</v>
      </c>
      <c r="G2023" s="202" t="s">
        <v>688</v>
      </c>
    </row>
    <row r="2024" spans="1:7" hidden="1">
      <c r="A2024" s="202" t="s">
        <v>1247</v>
      </c>
      <c r="B2024" s="203">
        <v>7200</v>
      </c>
      <c r="C2024" s="203">
        <v>0</v>
      </c>
      <c r="D2024" s="202" t="s">
        <v>442</v>
      </c>
      <c r="E2024" s="202" t="s">
        <v>638</v>
      </c>
      <c r="F2024" s="202" t="s">
        <v>396</v>
      </c>
      <c r="G2024" s="202" t="s">
        <v>688</v>
      </c>
    </row>
    <row r="2025" spans="1:7" hidden="1">
      <c r="A2025" s="202" t="s">
        <v>1248</v>
      </c>
      <c r="B2025" s="203">
        <v>-1700</v>
      </c>
      <c r="C2025" s="203">
        <v>0</v>
      </c>
      <c r="D2025" s="202" t="s">
        <v>442</v>
      </c>
      <c r="E2025" s="202" t="s">
        <v>638</v>
      </c>
      <c r="F2025" s="202" t="s">
        <v>396</v>
      </c>
      <c r="G2025" s="202" t="s">
        <v>688</v>
      </c>
    </row>
    <row r="2026" spans="1:7" hidden="1">
      <c r="A2026" s="202" t="s">
        <v>1249</v>
      </c>
      <c r="B2026" s="203">
        <v>12100</v>
      </c>
      <c r="C2026" s="203">
        <v>0</v>
      </c>
      <c r="D2026" s="202" t="s">
        <v>442</v>
      </c>
      <c r="E2026" s="202" t="s">
        <v>638</v>
      </c>
      <c r="F2026" s="202" t="s">
        <v>396</v>
      </c>
      <c r="G2026" s="202" t="s">
        <v>688</v>
      </c>
    </row>
    <row r="2027" spans="1:7" hidden="1">
      <c r="A2027" s="202" t="s">
        <v>1250</v>
      </c>
      <c r="B2027" s="203">
        <v>42600</v>
      </c>
      <c r="C2027" s="203">
        <v>0</v>
      </c>
      <c r="D2027" s="202" t="s">
        <v>442</v>
      </c>
      <c r="E2027" s="202" t="s">
        <v>638</v>
      </c>
      <c r="F2027" s="202" t="s">
        <v>396</v>
      </c>
      <c r="G2027" s="202" t="s">
        <v>688</v>
      </c>
    </row>
    <row r="2028" spans="1:7" hidden="1">
      <c r="A2028" s="202" t="s">
        <v>1251</v>
      </c>
      <c r="B2028" s="203">
        <v>-8000</v>
      </c>
      <c r="C2028" s="203">
        <v>0</v>
      </c>
      <c r="D2028" s="202" t="s">
        <v>442</v>
      </c>
      <c r="E2028" s="202" t="s">
        <v>638</v>
      </c>
      <c r="F2028" s="202" t="s">
        <v>396</v>
      </c>
      <c r="G2028" s="202" t="s">
        <v>688</v>
      </c>
    </row>
    <row r="2029" spans="1:7" hidden="1">
      <c r="A2029" s="202" t="s">
        <v>1252</v>
      </c>
      <c r="B2029" s="203">
        <v>-5400</v>
      </c>
      <c r="C2029" s="203">
        <v>0</v>
      </c>
      <c r="D2029" s="202" t="s">
        <v>442</v>
      </c>
      <c r="E2029" s="202" t="s">
        <v>638</v>
      </c>
      <c r="F2029" s="202" t="s">
        <v>396</v>
      </c>
      <c r="G2029" s="202" t="s">
        <v>688</v>
      </c>
    </row>
    <row r="2030" spans="1:7" hidden="1">
      <c r="A2030" s="202" t="s">
        <v>1253</v>
      </c>
      <c r="B2030" s="203">
        <v>13500</v>
      </c>
      <c r="C2030" s="203">
        <v>0</v>
      </c>
      <c r="D2030" s="202" t="s">
        <v>440</v>
      </c>
      <c r="E2030" s="202" t="s">
        <v>638</v>
      </c>
      <c r="F2030" s="202" t="s">
        <v>652</v>
      </c>
      <c r="G2030" s="202" t="s">
        <v>688</v>
      </c>
    </row>
    <row r="2031" spans="1:7" hidden="1">
      <c r="A2031" s="202" t="s">
        <v>1254</v>
      </c>
      <c r="B2031" s="203">
        <v>30000</v>
      </c>
      <c r="C2031" s="203">
        <v>0</v>
      </c>
      <c r="D2031" s="202" t="s">
        <v>440</v>
      </c>
      <c r="E2031" s="202" t="s">
        <v>638</v>
      </c>
      <c r="F2031" s="202" t="s">
        <v>652</v>
      </c>
      <c r="G2031" s="202" t="s">
        <v>688</v>
      </c>
    </row>
    <row r="2032" spans="1:7" hidden="1">
      <c r="A2032" s="202" t="s">
        <v>1255</v>
      </c>
      <c r="B2032" s="203">
        <v>28900</v>
      </c>
      <c r="C2032" s="203">
        <v>0</v>
      </c>
      <c r="D2032" s="202" t="s">
        <v>440</v>
      </c>
      <c r="E2032" s="202" t="s">
        <v>638</v>
      </c>
      <c r="F2032" s="202" t="s">
        <v>652</v>
      </c>
      <c r="G2032" s="202" t="s">
        <v>688</v>
      </c>
    </row>
    <row r="2033" spans="1:7" hidden="1">
      <c r="A2033" s="202" t="s">
        <v>1256</v>
      </c>
      <c r="B2033" s="203">
        <v>-61800</v>
      </c>
      <c r="C2033" s="203">
        <v>0</v>
      </c>
      <c r="D2033" s="202" t="s">
        <v>440</v>
      </c>
      <c r="E2033" s="202" t="s">
        <v>638</v>
      </c>
      <c r="F2033" s="202" t="s">
        <v>409</v>
      </c>
      <c r="G2033" s="202" t="s">
        <v>688</v>
      </c>
    </row>
    <row r="2034" spans="1:7" hidden="1">
      <c r="A2034" s="202" t="s">
        <v>1257</v>
      </c>
      <c r="B2034" s="203">
        <v>-3300</v>
      </c>
      <c r="C2034" s="203">
        <v>0</v>
      </c>
      <c r="D2034" s="202" t="s">
        <v>442</v>
      </c>
      <c r="E2034" s="202" t="s">
        <v>638</v>
      </c>
      <c r="F2034" s="202" t="s">
        <v>396</v>
      </c>
      <c r="G2034" s="202" t="s">
        <v>688</v>
      </c>
    </row>
    <row r="2035" spans="1:7" hidden="1">
      <c r="A2035" s="202" t="s">
        <v>1258</v>
      </c>
      <c r="B2035" s="203">
        <v>-16400</v>
      </c>
      <c r="C2035" s="203">
        <v>0</v>
      </c>
      <c r="D2035" s="202" t="s">
        <v>440</v>
      </c>
      <c r="E2035" s="202" t="s">
        <v>638</v>
      </c>
      <c r="F2035" s="202" t="s">
        <v>652</v>
      </c>
      <c r="G2035" s="202" t="s">
        <v>688</v>
      </c>
    </row>
    <row r="2036" spans="1:7" hidden="1">
      <c r="A2036" s="202" t="s">
        <v>1259</v>
      </c>
      <c r="B2036" s="203">
        <v>-54900</v>
      </c>
      <c r="C2036" s="203">
        <v>0</v>
      </c>
      <c r="D2036" s="202" t="s">
        <v>442</v>
      </c>
      <c r="E2036" s="202" t="s">
        <v>638</v>
      </c>
      <c r="F2036" s="202" t="s">
        <v>396</v>
      </c>
      <c r="G2036" s="202" t="s">
        <v>688</v>
      </c>
    </row>
    <row r="2037" spans="1:7" hidden="1">
      <c r="A2037" s="202" t="s">
        <v>1259</v>
      </c>
      <c r="B2037" s="203">
        <v>-44500</v>
      </c>
      <c r="C2037" s="203">
        <v>0</v>
      </c>
      <c r="D2037" s="202" t="s">
        <v>474</v>
      </c>
      <c r="E2037" s="202" t="s">
        <v>638</v>
      </c>
      <c r="F2037" s="202" t="s">
        <v>396</v>
      </c>
      <c r="G2037" s="202" t="s">
        <v>688</v>
      </c>
    </row>
    <row r="2038" spans="1:7" hidden="1">
      <c r="A2038" s="202" t="s">
        <v>1260</v>
      </c>
      <c r="B2038" s="203">
        <v>-148400</v>
      </c>
      <c r="C2038" s="203">
        <v>0</v>
      </c>
      <c r="D2038" s="202" t="s">
        <v>440</v>
      </c>
      <c r="E2038" s="202" t="s">
        <v>638</v>
      </c>
      <c r="F2038" s="202" t="s">
        <v>409</v>
      </c>
      <c r="G2038" s="202" t="s">
        <v>688</v>
      </c>
    </row>
    <row r="2039" spans="1:7" hidden="1">
      <c r="A2039" s="202" t="s">
        <v>1261</v>
      </c>
      <c r="B2039" s="203">
        <v>3692</v>
      </c>
      <c r="C2039" s="203">
        <v>0</v>
      </c>
      <c r="D2039" s="202" t="s">
        <v>440</v>
      </c>
      <c r="E2039" s="202" t="s">
        <v>638</v>
      </c>
      <c r="F2039" s="202" t="s">
        <v>652</v>
      </c>
      <c r="G2039" s="202" t="s">
        <v>688</v>
      </c>
    </row>
    <row r="2040" spans="1:7" hidden="1">
      <c r="A2040" s="202" t="s">
        <v>1262</v>
      </c>
      <c r="B2040" s="203">
        <v>14800</v>
      </c>
      <c r="C2040" s="203">
        <v>0</v>
      </c>
      <c r="D2040" s="202" t="s">
        <v>440</v>
      </c>
      <c r="E2040" s="202" t="s">
        <v>638</v>
      </c>
      <c r="F2040" s="202" t="s">
        <v>652</v>
      </c>
      <c r="G2040" s="202" t="s">
        <v>688</v>
      </c>
    </row>
    <row r="2041" spans="1:7" hidden="1">
      <c r="A2041" s="202" t="s">
        <v>1263</v>
      </c>
      <c r="B2041" s="203">
        <v>36300</v>
      </c>
      <c r="C2041" s="203">
        <v>0</v>
      </c>
      <c r="D2041" s="202" t="s">
        <v>440</v>
      </c>
      <c r="E2041" s="202" t="s">
        <v>638</v>
      </c>
      <c r="F2041" s="202" t="s">
        <v>652</v>
      </c>
      <c r="G2041" s="202" t="s">
        <v>688</v>
      </c>
    </row>
    <row r="2042" spans="1:7" hidden="1">
      <c r="A2042" s="202" t="s">
        <v>1264</v>
      </c>
      <c r="B2042" s="203">
        <v>-40300</v>
      </c>
      <c r="C2042" s="203">
        <v>0</v>
      </c>
      <c r="D2042" s="202" t="s">
        <v>440</v>
      </c>
      <c r="E2042" s="202" t="s">
        <v>638</v>
      </c>
      <c r="F2042" s="202" t="s">
        <v>652</v>
      </c>
      <c r="G2042" s="202" t="s">
        <v>688</v>
      </c>
    </row>
    <row r="2043" spans="1:7" hidden="1">
      <c r="A2043" s="202" t="s">
        <v>1265</v>
      </c>
      <c r="B2043" s="203">
        <v>-6000</v>
      </c>
      <c r="C2043" s="203">
        <v>0</v>
      </c>
      <c r="D2043" s="202" t="s">
        <v>442</v>
      </c>
      <c r="E2043" s="202" t="s">
        <v>638</v>
      </c>
      <c r="F2043" s="202" t="s">
        <v>396</v>
      </c>
      <c r="G2043" s="202" t="s">
        <v>688</v>
      </c>
    </row>
    <row r="2044" spans="1:7" hidden="1">
      <c r="A2044" s="202" t="s">
        <v>370</v>
      </c>
      <c r="B2044" s="203">
        <v>7</v>
      </c>
      <c r="C2044" s="203">
        <v>0</v>
      </c>
      <c r="D2044" s="202" t="s">
        <v>283</v>
      </c>
      <c r="E2044" s="202" t="s">
        <v>639</v>
      </c>
      <c r="F2044" s="202" t="s">
        <v>652</v>
      </c>
      <c r="G2044" s="202" t="s">
        <v>688</v>
      </c>
    </row>
    <row r="2045" spans="1:7">
      <c r="A2045" s="202" t="s">
        <v>370</v>
      </c>
      <c r="B2045" s="203">
        <v>7</v>
      </c>
      <c r="C2045" s="203">
        <v>0</v>
      </c>
      <c r="D2045" s="202" t="s">
        <v>282</v>
      </c>
      <c r="E2045" s="202" t="s">
        <v>639</v>
      </c>
      <c r="F2045" s="202" t="s">
        <v>652</v>
      </c>
      <c r="G2045" s="202" t="s">
        <v>688</v>
      </c>
    </row>
    <row r="2046" spans="1:7" hidden="1">
      <c r="A2046" s="202" t="s">
        <v>374</v>
      </c>
      <c r="B2046" s="203">
        <v>14</v>
      </c>
      <c r="C2046" s="203">
        <v>0</v>
      </c>
      <c r="D2046" s="202" t="s">
        <v>283</v>
      </c>
      <c r="E2046" s="202" t="s">
        <v>639</v>
      </c>
      <c r="F2046" s="202" t="s">
        <v>652</v>
      </c>
      <c r="G2046" s="202" t="s">
        <v>688</v>
      </c>
    </row>
    <row r="2047" spans="1:7">
      <c r="A2047" s="202" t="s">
        <v>374</v>
      </c>
      <c r="B2047" s="203">
        <v>15</v>
      </c>
      <c r="C2047" s="203">
        <v>0</v>
      </c>
      <c r="D2047" s="202" t="s">
        <v>282</v>
      </c>
      <c r="E2047" s="202" t="s">
        <v>639</v>
      </c>
      <c r="F2047" s="202" t="s">
        <v>652</v>
      </c>
      <c r="G2047" s="202" t="s">
        <v>688</v>
      </c>
    </row>
    <row r="2048" spans="1:7" hidden="1">
      <c r="A2048" s="202" t="s">
        <v>372</v>
      </c>
      <c r="B2048" s="203">
        <v>182</v>
      </c>
      <c r="C2048" s="203">
        <v>0</v>
      </c>
      <c r="D2048" s="202" t="s">
        <v>283</v>
      </c>
      <c r="E2048" s="202" t="s">
        <v>639</v>
      </c>
      <c r="F2048" s="202" t="s">
        <v>652</v>
      </c>
      <c r="G2048" s="202" t="s">
        <v>688</v>
      </c>
    </row>
    <row r="2049" spans="1:7">
      <c r="A2049" s="202" t="s">
        <v>372</v>
      </c>
      <c r="B2049" s="203">
        <v>182</v>
      </c>
      <c r="C2049" s="203">
        <v>0</v>
      </c>
      <c r="D2049" s="202" t="s">
        <v>282</v>
      </c>
      <c r="E2049" s="202" t="s">
        <v>639</v>
      </c>
      <c r="F2049" s="202" t="s">
        <v>652</v>
      </c>
      <c r="G2049" s="202" t="s">
        <v>688</v>
      </c>
    </row>
    <row r="2050" spans="1:7" hidden="1">
      <c r="A2050" s="202" t="s">
        <v>375</v>
      </c>
      <c r="B2050" s="203">
        <v>89</v>
      </c>
      <c r="C2050" s="203">
        <v>0</v>
      </c>
      <c r="D2050" s="202" t="s">
        <v>283</v>
      </c>
      <c r="E2050" s="202" t="s">
        <v>639</v>
      </c>
      <c r="F2050" s="202" t="s">
        <v>652</v>
      </c>
      <c r="G2050" s="202" t="s">
        <v>688</v>
      </c>
    </row>
    <row r="2051" spans="1:7">
      <c r="A2051" s="202" t="s">
        <v>375</v>
      </c>
      <c r="B2051" s="203">
        <v>89</v>
      </c>
      <c r="C2051" s="203">
        <v>0</v>
      </c>
      <c r="D2051" s="202" t="s">
        <v>282</v>
      </c>
      <c r="E2051" s="202" t="s">
        <v>639</v>
      </c>
      <c r="F2051" s="202" t="s">
        <v>652</v>
      </c>
      <c r="G2051" s="202" t="s">
        <v>688</v>
      </c>
    </row>
    <row r="2052" spans="1:7" hidden="1">
      <c r="A2052" s="202" t="s">
        <v>653</v>
      </c>
      <c r="B2052" s="203">
        <v>-694</v>
      </c>
      <c r="C2052" s="203">
        <v>0</v>
      </c>
      <c r="D2052" s="202" t="s">
        <v>442</v>
      </c>
      <c r="E2052" s="202" t="s">
        <v>638</v>
      </c>
      <c r="F2052" s="202" t="s">
        <v>652</v>
      </c>
      <c r="G2052" s="202" t="s">
        <v>688</v>
      </c>
    </row>
    <row r="2053" spans="1:7" hidden="1">
      <c r="A2053" s="202" t="s">
        <v>654</v>
      </c>
      <c r="B2053" s="203">
        <v>-54407</v>
      </c>
      <c r="C2053" s="203">
        <v>0</v>
      </c>
      <c r="D2053" s="202" t="s">
        <v>442</v>
      </c>
      <c r="E2053" s="202" t="s">
        <v>638</v>
      </c>
      <c r="F2053" s="202" t="s">
        <v>652</v>
      </c>
      <c r="G2053" s="202" t="s">
        <v>688</v>
      </c>
    </row>
    <row r="2054" spans="1:7" hidden="1">
      <c r="A2054" s="202" t="s">
        <v>1266</v>
      </c>
      <c r="B2054" s="203">
        <v>7400</v>
      </c>
      <c r="C2054" s="203">
        <v>0</v>
      </c>
      <c r="D2054" s="202" t="s">
        <v>440</v>
      </c>
      <c r="E2054" s="202" t="s">
        <v>638</v>
      </c>
      <c r="F2054" s="202" t="s">
        <v>409</v>
      </c>
      <c r="G2054" s="202" t="s">
        <v>688</v>
      </c>
    </row>
    <row r="2055" spans="1:7" hidden="1">
      <c r="A2055" s="202" t="s">
        <v>1267</v>
      </c>
      <c r="B2055" s="203">
        <v>7400</v>
      </c>
      <c r="C2055" s="203">
        <v>0</v>
      </c>
      <c r="D2055" s="202" t="s">
        <v>442</v>
      </c>
      <c r="E2055" s="202" t="s">
        <v>638</v>
      </c>
      <c r="F2055" s="202" t="s">
        <v>396</v>
      </c>
      <c r="G2055" s="202" t="s">
        <v>688</v>
      </c>
    </row>
    <row r="2056" spans="1:7" hidden="1">
      <c r="A2056" s="202" t="s">
        <v>1268</v>
      </c>
      <c r="B2056" s="203">
        <v>3900</v>
      </c>
      <c r="C2056" s="203">
        <v>0</v>
      </c>
      <c r="D2056" s="202" t="s">
        <v>442</v>
      </c>
      <c r="E2056" s="202" t="s">
        <v>638</v>
      </c>
      <c r="F2056" s="202" t="s">
        <v>396</v>
      </c>
      <c r="G2056" s="202" t="s">
        <v>688</v>
      </c>
    </row>
    <row r="2057" spans="1:7" hidden="1">
      <c r="A2057" s="202" t="s">
        <v>1269</v>
      </c>
      <c r="B2057" s="203">
        <v>2300</v>
      </c>
      <c r="C2057" s="203">
        <v>0</v>
      </c>
      <c r="D2057" s="202" t="s">
        <v>442</v>
      </c>
      <c r="E2057" s="202" t="s">
        <v>638</v>
      </c>
      <c r="F2057" s="202" t="s">
        <v>396</v>
      </c>
      <c r="G2057" s="202" t="s">
        <v>688</v>
      </c>
    </row>
    <row r="2058" spans="1:7" hidden="1">
      <c r="A2058" s="202" t="s">
        <v>1270</v>
      </c>
      <c r="B2058" s="203">
        <v>5700</v>
      </c>
      <c r="C2058" s="203">
        <v>0</v>
      </c>
      <c r="D2058" s="202" t="s">
        <v>442</v>
      </c>
      <c r="E2058" s="202" t="s">
        <v>638</v>
      </c>
      <c r="F2058" s="202" t="s">
        <v>396</v>
      </c>
      <c r="G2058" s="202" t="s">
        <v>688</v>
      </c>
    </row>
    <row r="2059" spans="1:7" hidden="1">
      <c r="A2059" s="202" t="s">
        <v>1271</v>
      </c>
      <c r="B2059" s="203">
        <v>3100</v>
      </c>
      <c r="C2059" s="203">
        <v>0</v>
      </c>
      <c r="D2059" s="202" t="s">
        <v>442</v>
      </c>
      <c r="E2059" s="202" t="s">
        <v>638</v>
      </c>
      <c r="F2059" s="202" t="s">
        <v>396</v>
      </c>
      <c r="G2059" s="202" t="s">
        <v>688</v>
      </c>
    </row>
    <row r="2060" spans="1:7" hidden="1">
      <c r="A2060" s="202" t="s">
        <v>1272</v>
      </c>
      <c r="B2060" s="203">
        <v>23000</v>
      </c>
      <c r="C2060" s="203">
        <v>0</v>
      </c>
      <c r="D2060" s="202" t="s">
        <v>440</v>
      </c>
      <c r="E2060" s="202" t="s">
        <v>638</v>
      </c>
      <c r="F2060" s="202" t="s">
        <v>652</v>
      </c>
      <c r="G2060" s="202" t="s">
        <v>688</v>
      </c>
    </row>
    <row r="2061" spans="1:7" hidden="1">
      <c r="A2061" s="202" t="s">
        <v>1273</v>
      </c>
      <c r="B2061" s="203">
        <v>2800</v>
      </c>
      <c r="C2061" s="203">
        <v>0</v>
      </c>
      <c r="D2061" s="202" t="s">
        <v>442</v>
      </c>
      <c r="E2061" s="202" t="s">
        <v>638</v>
      </c>
      <c r="F2061" s="202" t="s">
        <v>396</v>
      </c>
      <c r="G2061" s="202" t="s">
        <v>688</v>
      </c>
    </row>
    <row r="2062" spans="1:7" hidden="1">
      <c r="A2062" s="202" t="s">
        <v>1274</v>
      </c>
      <c r="B2062" s="203">
        <v>3200</v>
      </c>
      <c r="C2062" s="203">
        <v>0</v>
      </c>
      <c r="D2062" s="202" t="s">
        <v>442</v>
      </c>
      <c r="E2062" s="202" t="s">
        <v>638</v>
      </c>
      <c r="F2062" s="202" t="s">
        <v>396</v>
      </c>
      <c r="G2062" s="202" t="s">
        <v>688</v>
      </c>
    </row>
    <row r="2063" spans="1:7" hidden="1">
      <c r="A2063" s="202" t="s">
        <v>1275</v>
      </c>
      <c r="B2063" s="203">
        <v>13300</v>
      </c>
      <c r="C2063" s="203">
        <v>0</v>
      </c>
      <c r="D2063" s="202" t="s">
        <v>440</v>
      </c>
      <c r="E2063" s="202" t="s">
        <v>638</v>
      </c>
      <c r="F2063" s="202" t="s">
        <v>652</v>
      </c>
      <c r="G2063" s="202" t="s">
        <v>688</v>
      </c>
    </row>
    <row r="2064" spans="1:7" hidden="1">
      <c r="A2064" s="202" t="s">
        <v>1276</v>
      </c>
      <c r="B2064" s="203">
        <v>36100</v>
      </c>
      <c r="C2064" s="203">
        <v>0</v>
      </c>
      <c r="D2064" s="202" t="s">
        <v>440</v>
      </c>
      <c r="E2064" s="202" t="s">
        <v>638</v>
      </c>
      <c r="F2064" s="202" t="s">
        <v>652</v>
      </c>
      <c r="G2064" s="202" t="s">
        <v>688</v>
      </c>
    </row>
    <row r="2065" spans="1:7" hidden="1">
      <c r="A2065" s="202" t="s">
        <v>1277</v>
      </c>
      <c r="B2065" s="203">
        <v>53200</v>
      </c>
      <c r="C2065" s="203">
        <v>0</v>
      </c>
      <c r="D2065" s="202" t="s">
        <v>440</v>
      </c>
      <c r="E2065" s="202" t="s">
        <v>638</v>
      </c>
      <c r="F2065" s="202" t="s">
        <v>652</v>
      </c>
      <c r="G2065" s="202" t="s">
        <v>688</v>
      </c>
    </row>
    <row r="2066" spans="1:7" hidden="1">
      <c r="A2066" s="202" t="s">
        <v>1278</v>
      </c>
      <c r="B2066" s="203">
        <v>2900</v>
      </c>
      <c r="C2066" s="203">
        <v>0</v>
      </c>
      <c r="D2066" s="202" t="s">
        <v>442</v>
      </c>
      <c r="E2066" s="202" t="s">
        <v>638</v>
      </c>
      <c r="F2066" s="202" t="s">
        <v>396</v>
      </c>
      <c r="G2066" s="202" t="s">
        <v>688</v>
      </c>
    </row>
    <row r="2067" spans="1:7" hidden="1">
      <c r="A2067" s="202" t="s">
        <v>1279</v>
      </c>
      <c r="B2067" s="203">
        <v>22200</v>
      </c>
      <c r="C2067" s="203">
        <v>0</v>
      </c>
      <c r="D2067" s="202" t="s">
        <v>440</v>
      </c>
      <c r="E2067" s="202" t="s">
        <v>638</v>
      </c>
      <c r="F2067" s="202" t="s">
        <v>652</v>
      </c>
      <c r="G2067" s="202" t="s">
        <v>688</v>
      </c>
    </row>
    <row r="2068" spans="1:7" hidden="1">
      <c r="A2068" s="202" t="s">
        <v>1280</v>
      </c>
      <c r="B2068" s="203">
        <v>14000</v>
      </c>
      <c r="C2068" s="203">
        <v>0</v>
      </c>
      <c r="D2068" s="202" t="s">
        <v>440</v>
      </c>
      <c r="E2068" s="202" t="s">
        <v>638</v>
      </c>
      <c r="F2068" s="202" t="s">
        <v>652</v>
      </c>
      <c r="G2068" s="202" t="s">
        <v>688</v>
      </c>
    </row>
    <row r="2069" spans="1:7" hidden="1">
      <c r="A2069" s="202" t="s">
        <v>1281</v>
      </c>
      <c r="B2069" s="203">
        <v>4000</v>
      </c>
      <c r="C2069" s="203">
        <v>0</v>
      </c>
      <c r="D2069" s="202" t="s">
        <v>442</v>
      </c>
      <c r="E2069" s="202" t="s">
        <v>638</v>
      </c>
      <c r="F2069" s="202" t="s">
        <v>396</v>
      </c>
      <c r="G2069" s="202" t="s">
        <v>688</v>
      </c>
    </row>
    <row r="2070" spans="1:7" hidden="1">
      <c r="A2070" s="202" t="s">
        <v>1282</v>
      </c>
      <c r="B2070" s="203">
        <v>16000</v>
      </c>
      <c r="C2070" s="203">
        <v>0</v>
      </c>
      <c r="D2070" s="202" t="s">
        <v>440</v>
      </c>
      <c r="E2070" s="202" t="s">
        <v>638</v>
      </c>
      <c r="F2070" s="202" t="s">
        <v>652</v>
      </c>
      <c r="G2070" s="202" t="s">
        <v>688</v>
      </c>
    </row>
    <row r="2071" spans="1:7" hidden="1">
      <c r="A2071" s="202" t="s">
        <v>1283</v>
      </c>
      <c r="B2071" s="203">
        <v>25000</v>
      </c>
      <c r="C2071" s="203">
        <v>0</v>
      </c>
      <c r="D2071" s="202" t="s">
        <v>440</v>
      </c>
      <c r="E2071" s="202" t="s">
        <v>638</v>
      </c>
      <c r="F2071" s="202" t="s">
        <v>409</v>
      </c>
      <c r="G2071" s="202" t="s">
        <v>688</v>
      </c>
    </row>
    <row r="2072" spans="1:7" hidden="1">
      <c r="A2072" s="202" t="s">
        <v>1284</v>
      </c>
      <c r="B2072" s="203">
        <v>10800</v>
      </c>
      <c r="C2072" s="203">
        <v>0</v>
      </c>
      <c r="D2072" s="202" t="s">
        <v>442</v>
      </c>
      <c r="E2072" s="202" t="s">
        <v>638</v>
      </c>
      <c r="F2072" s="202" t="s">
        <v>396</v>
      </c>
      <c r="G2072" s="202" t="s">
        <v>688</v>
      </c>
    </row>
    <row r="2073" spans="1:7" hidden="1">
      <c r="A2073" s="202" t="s">
        <v>1284</v>
      </c>
      <c r="B2073" s="203">
        <v>79600</v>
      </c>
      <c r="C2073" s="203">
        <v>0</v>
      </c>
      <c r="D2073" s="202" t="s">
        <v>474</v>
      </c>
      <c r="E2073" s="202" t="s">
        <v>638</v>
      </c>
      <c r="F2073" s="202" t="s">
        <v>396</v>
      </c>
      <c r="G2073" s="202" t="s">
        <v>688</v>
      </c>
    </row>
    <row r="2074" spans="1:7" hidden="1">
      <c r="A2074" s="202" t="s">
        <v>1285</v>
      </c>
      <c r="B2074" s="203">
        <v>6000</v>
      </c>
      <c r="C2074" s="203">
        <v>0</v>
      </c>
      <c r="D2074" s="202" t="s">
        <v>442</v>
      </c>
      <c r="E2074" s="202" t="s">
        <v>638</v>
      </c>
      <c r="F2074" s="202" t="s">
        <v>396</v>
      </c>
      <c r="G2074" s="202" t="s">
        <v>688</v>
      </c>
    </row>
    <row r="2075" spans="1:7" hidden="1">
      <c r="A2075" s="202" t="s">
        <v>1286</v>
      </c>
      <c r="B2075" s="203">
        <v>87000</v>
      </c>
      <c r="C2075" s="203">
        <v>0</v>
      </c>
      <c r="D2075" s="202" t="s">
        <v>440</v>
      </c>
      <c r="E2075" s="202" t="s">
        <v>638</v>
      </c>
      <c r="F2075" s="202" t="s">
        <v>652</v>
      </c>
      <c r="G2075" s="202" t="s">
        <v>688</v>
      </c>
    </row>
    <row r="2076" spans="1:7" hidden="1">
      <c r="A2076" s="202" t="s">
        <v>1287</v>
      </c>
      <c r="B2076" s="203">
        <v>3200</v>
      </c>
      <c r="C2076" s="203">
        <v>0</v>
      </c>
      <c r="D2076" s="202" t="s">
        <v>442</v>
      </c>
      <c r="E2076" s="202" t="s">
        <v>638</v>
      </c>
      <c r="F2076" s="202" t="s">
        <v>396</v>
      </c>
      <c r="G2076" s="202" t="s">
        <v>688</v>
      </c>
    </row>
    <row r="2077" spans="1:7" hidden="1">
      <c r="A2077" s="202" t="s">
        <v>1288</v>
      </c>
      <c r="B2077" s="203">
        <v>5100</v>
      </c>
      <c r="C2077" s="203">
        <v>0</v>
      </c>
      <c r="D2077" s="202" t="s">
        <v>442</v>
      </c>
      <c r="E2077" s="202" t="s">
        <v>638</v>
      </c>
      <c r="F2077" s="202" t="s">
        <v>396</v>
      </c>
      <c r="G2077" s="202" t="s">
        <v>688</v>
      </c>
    </row>
    <row r="2078" spans="1:7" hidden="1">
      <c r="A2078" s="202" t="s">
        <v>1289</v>
      </c>
      <c r="B2078" s="203">
        <v>7700</v>
      </c>
      <c r="C2078" s="203">
        <v>0</v>
      </c>
      <c r="D2078" s="202" t="s">
        <v>442</v>
      </c>
      <c r="E2078" s="202" t="s">
        <v>638</v>
      </c>
      <c r="F2078" s="202" t="s">
        <v>396</v>
      </c>
      <c r="G2078" s="202" t="s">
        <v>688</v>
      </c>
    </row>
    <row r="2079" spans="1:7" hidden="1">
      <c r="A2079" s="202" t="s">
        <v>1290</v>
      </c>
      <c r="B2079" s="203">
        <v>7300</v>
      </c>
      <c r="C2079" s="203">
        <v>0</v>
      </c>
      <c r="D2079" s="202" t="s">
        <v>442</v>
      </c>
      <c r="E2079" s="202" t="s">
        <v>638</v>
      </c>
      <c r="F2079" s="202" t="s">
        <v>396</v>
      </c>
      <c r="G2079" s="202" t="s">
        <v>688</v>
      </c>
    </row>
    <row r="2080" spans="1:7" hidden="1">
      <c r="A2080" s="202" t="s">
        <v>1291</v>
      </c>
      <c r="B2080" s="203">
        <v>22900</v>
      </c>
      <c r="C2080" s="203">
        <v>0</v>
      </c>
      <c r="D2080" s="202" t="s">
        <v>440</v>
      </c>
      <c r="E2080" s="202" t="s">
        <v>638</v>
      </c>
      <c r="F2080" s="202" t="s">
        <v>652</v>
      </c>
      <c r="G2080" s="202" t="s">
        <v>688</v>
      </c>
    </row>
    <row r="2081" spans="1:7" hidden="1">
      <c r="A2081" s="202" t="s">
        <v>1292</v>
      </c>
      <c r="B2081" s="203">
        <v>6000</v>
      </c>
      <c r="C2081" s="203">
        <v>0</v>
      </c>
      <c r="D2081" s="202" t="s">
        <v>442</v>
      </c>
      <c r="E2081" s="202" t="s">
        <v>638</v>
      </c>
      <c r="F2081" s="202" t="s">
        <v>396</v>
      </c>
      <c r="G2081" s="202" t="s">
        <v>688</v>
      </c>
    </row>
    <row r="2082" spans="1:7" hidden="1">
      <c r="A2082" s="202" t="s">
        <v>1293</v>
      </c>
      <c r="B2082" s="203">
        <v>6200</v>
      </c>
      <c r="C2082" s="203">
        <v>0</v>
      </c>
      <c r="D2082" s="202" t="s">
        <v>442</v>
      </c>
      <c r="E2082" s="202" t="s">
        <v>638</v>
      </c>
      <c r="F2082" s="202" t="s">
        <v>396</v>
      </c>
      <c r="G2082" s="202" t="s">
        <v>688</v>
      </c>
    </row>
    <row r="2083" spans="1:7" hidden="1">
      <c r="A2083" s="202" t="s">
        <v>1294</v>
      </c>
      <c r="B2083" s="203">
        <v>5100</v>
      </c>
      <c r="C2083" s="203">
        <v>0</v>
      </c>
      <c r="D2083" s="202" t="s">
        <v>442</v>
      </c>
      <c r="E2083" s="202" t="s">
        <v>638</v>
      </c>
      <c r="F2083" s="202" t="s">
        <v>396</v>
      </c>
      <c r="G2083" s="202" t="s">
        <v>688</v>
      </c>
    </row>
    <row r="2084" spans="1:7" hidden="1">
      <c r="A2084" s="202" t="s">
        <v>1295</v>
      </c>
      <c r="B2084" s="203">
        <v>6400</v>
      </c>
      <c r="C2084" s="203">
        <v>0</v>
      </c>
      <c r="D2084" s="202" t="s">
        <v>442</v>
      </c>
      <c r="E2084" s="202" t="s">
        <v>638</v>
      </c>
      <c r="F2084" s="202" t="s">
        <v>396</v>
      </c>
      <c r="G2084" s="202" t="s">
        <v>688</v>
      </c>
    </row>
    <row r="2085" spans="1:7" hidden="1">
      <c r="A2085" s="202" t="s">
        <v>1296</v>
      </c>
      <c r="B2085" s="203">
        <v>1127</v>
      </c>
      <c r="C2085" s="203">
        <v>0</v>
      </c>
      <c r="D2085" s="202" t="s">
        <v>440</v>
      </c>
      <c r="E2085" s="202" t="s">
        <v>638</v>
      </c>
      <c r="F2085" s="202" t="s">
        <v>652</v>
      </c>
      <c r="G2085" s="202" t="s">
        <v>688</v>
      </c>
    </row>
    <row r="2086" spans="1:7" hidden="1">
      <c r="A2086" s="202" t="s">
        <v>1297</v>
      </c>
      <c r="B2086" s="203">
        <v>23200</v>
      </c>
      <c r="C2086" s="203">
        <v>0</v>
      </c>
      <c r="D2086" s="202" t="s">
        <v>440</v>
      </c>
      <c r="E2086" s="202" t="s">
        <v>638</v>
      </c>
      <c r="F2086" s="202" t="s">
        <v>652</v>
      </c>
      <c r="G2086" s="202" t="s">
        <v>688</v>
      </c>
    </row>
    <row r="2087" spans="1:7" hidden="1">
      <c r="A2087" s="202" t="s">
        <v>1298</v>
      </c>
      <c r="B2087" s="203">
        <v>3800</v>
      </c>
      <c r="C2087" s="203">
        <v>0</v>
      </c>
      <c r="D2087" s="202" t="s">
        <v>442</v>
      </c>
      <c r="E2087" s="202" t="s">
        <v>638</v>
      </c>
      <c r="F2087" s="202" t="s">
        <v>396</v>
      </c>
      <c r="G2087" s="202" t="s">
        <v>688</v>
      </c>
    </row>
    <row r="2088" spans="1:7" hidden="1">
      <c r="A2088" s="202" t="s">
        <v>1299</v>
      </c>
      <c r="B2088" s="203">
        <v>6400</v>
      </c>
      <c r="C2088" s="203">
        <v>0</v>
      </c>
      <c r="D2088" s="202" t="s">
        <v>442</v>
      </c>
      <c r="E2088" s="202" t="s">
        <v>638</v>
      </c>
      <c r="F2088" s="202" t="s">
        <v>396</v>
      </c>
      <c r="G2088" s="202" t="s">
        <v>688</v>
      </c>
    </row>
    <row r="2089" spans="1:7" hidden="1">
      <c r="A2089" s="202" t="s">
        <v>1300</v>
      </c>
      <c r="B2089" s="203">
        <v>5000</v>
      </c>
      <c r="C2089" s="203">
        <v>0</v>
      </c>
      <c r="D2089" s="202" t="s">
        <v>442</v>
      </c>
      <c r="E2089" s="202" t="s">
        <v>638</v>
      </c>
      <c r="F2089" s="202" t="s">
        <v>396</v>
      </c>
      <c r="G2089" s="202" t="s">
        <v>688</v>
      </c>
    </row>
    <row r="2090" spans="1:7" hidden="1">
      <c r="A2090" s="202" t="s">
        <v>1301</v>
      </c>
      <c r="B2090" s="203">
        <v>9000</v>
      </c>
      <c r="C2090" s="203">
        <v>0</v>
      </c>
      <c r="D2090" s="202" t="s">
        <v>442</v>
      </c>
      <c r="E2090" s="202" t="s">
        <v>638</v>
      </c>
      <c r="F2090" s="202" t="s">
        <v>396</v>
      </c>
      <c r="G2090" s="202" t="s">
        <v>688</v>
      </c>
    </row>
    <row r="2091" spans="1:7" hidden="1">
      <c r="A2091" s="202" t="s">
        <v>1302</v>
      </c>
      <c r="B2091" s="203">
        <v>6300</v>
      </c>
      <c r="C2091" s="203">
        <v>0</v>
      </c>
      <c r="D2091" s="202" t="s">
        <v>442</v>
      </c>
      <c r="E2091" s="202" t="s">
        <v>638</v>
      </c>
      <c r="F2091" s="202" t="s">
        <v>396</v>
      </c>
      <c r="G2091" s="202" t="s">
        <v>688</v>
      </c>
    </row>
    <row r="2092" spans="1:7" hidden="1">
      <c r="A2092" s="202" t="s">
        <v>1303</v>
      </c>
      <c r="B2092" s="203">
        <v>100000</v>
      </c>
      <c r="C2092" s="203">
        <v>0</v>
      </c>
      <c r="D2092" s="202" t="s">
        <v>440</v>
      </c>
      <c r="E2092" s="202" t="s">
        <v>638</v>
      </c>
      <c r="F2092" s="202" t="s">
        <v>409</v>
      </c>
      <c r="G2092" s="202" t="s">
        <v>688</v>
      </c>
    </row>
    <row r="2093" spans="1:7" hidden="1">
      <c r="A2093" s="202" t="s">
        <v>1304</v>
      </c>
      <c r="B2093" s="203">
        <v>-16300</v>
      </c>
      <c r="C2093" s="203">
        <v>0</v>
      </c>
      <c r="D2093" s="202" t="s">
        <v>440</v>
      </c>
      <c r="E2093" s="202" t="s">
        <v>638</v>
      </c>
      <c r="F2093" s="202" t="s">
        <v>652</v>
      </c>
      <c r="G2093" s="202" t="s">
        <v>688</v>
      </c>
    </row>
    <row r="2094" spans="1:7" hidden="1">
      <c r="A2094" s="202" t="s">
        <v>1305</v>
      </c>
      <c r="B2094" s="203">
        <v>-16100</v>
      </c>
      <c r="C2094" s="203">
        <v>0</v>
      </c>
      <c r="D2094" s="202" t="s">
        <v>440</v>
      </c>
      <c r="E2094" s="202" t="s">
        <v>638</v>
      </c>
      <c r="F2094" s="202" t="s">
        <v>409</v>
      </c>
      <c r="G2094" s="202" t="s">
        <v>688</v>
      </c>
    </row>
    <row r="2095" spans="1:7" hidden="1">
      <c r="A2095" s="202" t="s">
        <v>1306</v>
      </c>
      <c r="B2095" s="203">
        <v>600</v>
      </c>
      <c r="C2095" s="203">
        <v>0</v>
      </c>
      <c r="D2095" s="202" t="s">
        <v>442</v>
      </c>
      <c r="E2095" s="202" t="s">
        <v>638</v>
      </c>
      <c r="F2095" s="202" t="s">
        <v>396</v>
      </c>
      <c r="G2095" s="202" t="s">
        <v>688</v>
      </c>
    </row>
    <row r="2096" spans="1:7" hidden="1">
      <c r="A2096" s="202" t="s">
        <v>1307</v>
      </c>
      <c r="B2096" s="203">
        <v>1900</v>
      </c>
      <c r="C2096" s="203">
        <v>0</v>
      </c>
      <c r="D2096" s="202" t="s">
        <v>442</v>
      </c>
      <c r="E2096" s="202" t="s">
        <v>638</v>
      </c>
      <c r="F2096" s="202" t="s">
        <v>396</v>
      </c>
      <c r="G2096" s="202" t="s">
        <v>688</v>
      </c>
    </row>
    <row r="2097" spans="1:7" hidden="1">
      <c r="A2097" s="202" t="s">
        <v>1308</v>
      </c>
      <c r="B2097" s="203">
        <v>48500</v>
      </c>
      <c r="C2097" s="203">
        <v>0</v>
      </c>
      <c r="D2097" s="202" t="s">
        <v>440</v>
      </c>
      <c r="E2097" s="202" t="s">
        <v>638</v>
      </c>
      <c r="F2097" s="202" t="s">
        <v>409</v>
      </c>
      <c r="G2097" s="202" t="s">
        <v>688</v>
      </c>
    </row>
    <row r="2098" spans="1:7" hidden="1">
      <c r="A2098" s="202" t="s">
        <v>1309</v>
      </c>
      <c r="B2098" s="203">
        <v>80900</v>
      </c>
      <c r="C2098" s="203">
        <v>0</v>
      </c>
      <c r="D2098" s="202" t="s">
        <v>440</v>
      </c>
      <c r="E2098" s="202" t="s">
        <v>638</v>
      </c>
      <c r="F2098" s="202" t="s">
        <v>652</v>
      </c>
      <c r="G2098" s="202" t="s">
        <v>688</v>
      </c>
    </row>
    <row r="2099" spans="1:7" hidden="1">
      <c r="A2099" s="202" t="s">
        <v>1310</v>
      </c>
      <c r="B2099" s="203">
        <v>154900</v>
      </c>
      <c r="C2099" s="203">
        <v>0</v>
      </c>
      <c r="D2099" s="202" t="s">
        <v>440</v>
      </c>
      <c r="E2099" s="202" t="s">
        <v>638</v>
      </c>
      <c r="F2099" s="202" t="s">
        <v>652</v>
      </c>
      <c r="G2099" s="202" t="s">
        <v>688</v>
      </c>
    </row>
    <row r="2100" spans="1:7" hidden="1">
      <c r="A2100" s="202" t="s">
        <v>1311</v>
      </c>
      <c r="B2100" s="203">
        <v>4000</v>
      </c>
      <c r="C2100" s="203">
        <v>0</v>
      </c>
      <c r="D2100" s="202" t="s">
        <v>442</v>
      </c>
      <c r="E2100" s="202" t="s">
        <v>638</v>
      </c>
      <c r="F2100" s="202" t="s">
        <v>396</v>
      </c>
      <c r="G2100" s="202" t="s">
        <v>688</v>
      </c>
    </row>
    <row r="2101" spans="1:7" hidden="1">
      <c r="A2101" s="202" t="s">
        <v>1312</v>
      </c>
      <c r="B2101" s="203">
        <v>59800</v>
      </c>
      <c r="C2101" s="203">
        <v>0</v>
      </c>
      <c r="D2101" s="202" t="s">
        <v>440</v>
      </c>
      <c r="E2101" s="202" t="s">
        <v>638</v>
      </c>
      <c r="F2101" s="202" t="s">
        <v>652</v>
      </c>
      <c r="G2101" s="202" t="s">
        <v>688</v>
      </c>
    </row>
    <row r="2102" spans="1:7" hidden="1">
      <c r="A2102" s="202" t="s">
        <v>1313</v>
      </c>
      <c r="B2102" s="203">
        <v>71500</v>
      </c>
      <c r="C2102" s="203">
        <v>0</v>
      </c>
      <c r="D2102" s="202" t="s">
        <v>440</v>
      </c>
      <c r="E2102" s="202" t="s">
        <v>638</v>
      </c>
      <c r="F2102" s="202" t="s">
        <v>652</v>
      </c>
      <c r="G2102" s="202" t="s">
        <v>688</v>
      </c>
    </row>
    <row r="2103" spans="1:7" hidden="1">
      <c r="A2103" s="202" t="s">
        <v>1314</v>
      </c>
      <c r="B2103" s="203">
        <v>4300</v>
      </c>
      <c r="C2103" s="203">
        <v>0</v>
      </c>
      <c r="D2103" s="202" t="s">
        <v>442</v>
      </c>
      <c r="E2103" s="202" t="s">
        <v>638</v>
      </c>
      <c r="F2103" s="202" t="s">
        <v>396</v>
      </c>
      <c r="G2103" s="202" t="s">
        <v>688</v>
      </c>
    </row>
    <row r="2104" spans="1:7" hidden="1">
      <c r="A2104" s="202" t="s">
        <v>1315</v>
      </c>
      <c r="B2104" s="203">
        <v>1200</v>
      </c>
      <c r="C2104" s="203">
        <v>0</v>
      </c>
      <c r="D2104" s="202" t="s">
        <v>440</v>
      </c>
      <c r="E2104" s="202" t="s">
        <v>638</v>
      </c>
      <c r="F2104" s="202" t="s">
        <v>652</v>
      </c>
      <c r="G2104" s="202" t="s">
        <v>688</v>
      </c>
    </row>
    <row r="2105" spans="1:7" hidden="1">
      <c r="A2105" s="202" t="s">
        <v>1316</v>
      </c>
      <c r="B2105" s="203">
        <v>4200</v>
      </c>
      <c r="C2105" s="203">
        <v>0</v>
      </c>
      <c r="D2105" s="202" t="s">
        <v>442</v>
      </c>
      <c r="E2105" s="202" t="s">
        <v>638</v>
      </c>
      <c r="F2105" s="202" t="s">
        <v>396</v>
      </c>
      <c r="G2105" s="202" t="s">
        <v>688</v>
      </c>
    </row>
    <row r="2106" spans="1:7" hidden="1">
      <c r="A2106" s="202" t="s">
        <v>1317</v>
      </c>
      <c r="B2106" s="203">
        <v>4200</v>
      </c>
      <c r="C2106" s="203">
        <v>0</v>
      </c>
      <c r="D2106" s="202" t="s">
        <v>442</v>
      </c>
      <c r="E2106" s="202" t="s">
        <v>638</v>
      </c>
      <c r="F2106" s="202" t="s">
        <v>396</v>
      </c>
      <c r="G2106" s="202" t="s">
        <v>688</v>
      </c>
    </row>
    <row r="2107" spans="1:7" hidden="1">
      <c r="A2107" s="202" t="s">
        <v>1318</v>
      </c>
      <c r="B2107" s="203">
        <v>105000</v>
      </c>
      <c r="C2107" s="203">
        <v>0</v>
      </c>
      <c r="D2107" s="202" t="s">
        <v>440</v>
      </c>
      <c r="E2107" s="202" t="s">
        <v>638</v>
      </c>
      <c r="F2107" s="202" t="s">
        <v>652</v>
      </c>
      <c r="G2107" s="202" t="s">
        <v>688</v>
      </c>
    </row>
    <row r="2108" spans="1:7" hidden="1">
      <c r="A2108" s="202" t="s">
        <v>1319</v>
      </c>
      <c r="B2108" s="203">
        <v>8200</v>
      </c>
      <c r="C2108" s="203">
        <v>0</v>
      </c>
      <c r="D2108" s="202" t="s">
        <v>442</v>
      </c>
      <c r="E2108" s="202" t="s">
        <v>638</v>
      </c>
      <c r="F2108" s="202" t="s">
        <v>396</v>
      </c>
      <c r="G2108" s="202" t="s">
        <v>688</v>
      </c>
    </row>
    <row r="2109" spans="1:7" hidden="1">
      <c r="A2109" s="202" t="s">
        <v>1320</v>
      </c>
      <c r="B2109" s="203">
        <v>-30700</v>
      </c>
      <c r="C2109" s="203">
        <v>0</v>
      </c>
      <c r="D2109" s="202" t="s">
        <v>440</v>
      </c>
      <c r="E2109" s="202" t="s">
        <v>638</v>
      </c>
      <c r="F2109" s="202" t="s">
        <v>409</v>
      </c>
      <c r="G2109" s="202" t="s">
        <v>688</v>
      </c>
    </row>
    <row r="2110" spans="1:7" hidden="1">
      <c r="A2110" s="202" t="s">
        <v>1321</v>
      </c>
      <c r="B2110" s="203">
        <v>43000</v>
      </c>
      <c r="C2110" s="203">
        <v>0</v>
      </c>
      <c r="D2110" s="202" t="s">
        <v>440</v>
      </c>
      <c r="E2110" s="202" t="s">
        <v>638</v>
      </c>
      <c r="F2110" s="202" t="s">
        <v>652</v>
      </c>
      <c r="G2110" s="202" t="s">
        <v>688</v>
      </c>
    </row>
    <row r="2111" spans="1:7" hidden="1">
      <c r="A2111" s="202" t="s">
        <v>1322</v>
      </c>
      <c r="B2111" s="203">
        <v>20000</v>
      </c>
      <c r="C2111" s="203">
        <v>0</v>
      </c>
      <c r="D2111" s="202" t="s">
        <v>440</v>
      </c>
      <c r="E2111" s="202" t="s">
        <v>638</v>
      </c>
      <c r="F2111" s="202" t="s">
        <v>652</v>
      </c>
      <c r="G2111" s="202" t="s">
        <v>688</v>
      </c>
    </row>
    <row r="2112" spans="1:7" hidden="1">
      <c r="A2112" s="202" t="s">
        <v>1323</v>
      </c>
      <c r="B2112" s="203">
        <v>4200</v>
      </c>
      <c r="C2112" s="203">
        <v>0</v>
      </c>
      <c r="D2112" s="202" t="s">
        <v>442</v>
      </c>
      <c r="E2112" s="202" t="s">
        <v>638</v>
      </c>
      <c r="F2112" s="202" t="s">
        <v>396</v>
      </c>
      <c r="G2112" s="202" t="s">
        <v>688</v>
      </c>
    </row>
    <row r="2113" spans="1:7" hidden="1">
      <c r="A2113" s="202" t="s">
        <v>1324</v>
      </c>
      <c r="B2113" s="203">
        <v>31400</v>
      </c>
      <c r="C2113" s="203">
        <v>0</v>
      </c>
      <c r="D2113" s="202" t="s">
        <v>440</v>
      </c>
      <c r="E2113" s="202" t="s">
        <v>638</v>
      </c>
      <c r="F2113" s="202" t="s">
        <v>652</v>
      </c>
      <c r="G2113" s="202" t="s">
        <v>688</v>
      </c>
    </row>
    <row r="2114" spans="1:7" hidden="1">
      <c r="A2114" s="202" t="s">
        <v>1325</v>
      </c>
      <c r="B2114" s="203">
        <v>4000</v>
      </c>
      <c r="C2114" s="203">
        <v>0</v>
      </c>
      <c r="D2114" s="202" t="s">
        <v>442</v>
      </c>
      <c r="E2114" s="202" t="s">
        <v>638</v>
      </c>
      <c r="F2114" s="202" t="s">
        <v>396</v>
      </c>
      <c r="G2114" s="202" t="s">
        <v>688</v>
      </c>
    </row>
    <row r="2115" spans="1:7" hidden="1">
      <c r="A2115" s="202" t="s">
        <v>1326</v>
      </c>
      <c r="B2115" s="203">
        <v>2700</v>
      </c>
      <c r="C2115" s="203">
        <v>0</v>
      </c>
      <c r="D2115" s="202" t="s">
        <v>442</v>
      </c>
      <c r="E2115" s="202" t="s">
        <v>638</v>
      </c>
      <c r="F2115" s="202" t="s">
        <v>396</v>
      </c>
      <c r="G2115" s="202" t="s">
        <v>688</v>
      </c>
    </row>
    <row r="2116" spans="1:7" hidden="1">
      <c r="A2116" s="202" t="s">
        <v>1327</v>
      </c>
      <c r="B2116" s="203">
        <v>2900</v>
      </c>
      <c r="C2116" s="203">
        <v>0</v>
      </c>
      <c r="D2116" s="202" t="s">
        <v>442</v>
      </c>
      <c r="E2116" s="202" t="s">
        <v>638</v>
      </c>
      <c r="F2116" s="202" t="s">
        <v>396</v>
      </c>
      <c r="G2116" s="202" t="s">
        <v>688</v>
      </c>
    </row>
    <row r="2117" spans="1:7" hidden="1">
      <c r="A2117" s="202" t="s">
        <v>1328</v>
      </c>
      <c r="B2117" s="203">
        <v>106400</v>
      </c>
      <c r="C2117" s="203">
        <v>0</v>
      </c>
      <c r="D2117" s="202" t="s">
        <v>440</v>
      </c>
      <c r="E2117" s="202" t="s">
        <v>638</v>
      </c>
      <c r="F2117" s="202" t="s">
        <v>652</v>
      </c>
      <c r="G2117" s="202" t="s">
        <v>688</v>
      </c>
    </row>
    <row r="2118" spans="1:7" hidden="1">
      <c r="A2118" s="202" t="s">
        <v>1329</v>
      </c>
      <c r="B2118" s="203">
        <v>6100</v>
      </c>
      <c r="C2118" s="203">
        <v>0</v>
      </c>
      <c r="D2118" s="202" t="s">
        <v>440</v>
      </c>
      <c r="E2118" s="202" t="s">
        <v>638</v>
      </c>
      <c r="F2118" s="202" t="s">
        <v>652</v>
      </c>
      <c r="G2118" s="202" t="s">
        <v>688</v>
      </c>
    </row>
    <row r="2119" spans="1:7" hidden="1">
      <c r="A2119" s="202" t="s">
        <v>1330</v>
      </c>
      <c r="B2119" s="203">
        <v>40600</v>
      </c>
      <c r="C2119" s="203">
        <v>0</v>
      </c>
      <c r="D2119" s="202" t="s">
        <v>440</v>
      </c>
      <c r="E2119" s="202" t="s">
        <v>638</v>
      </c>
      <c r="F2119" s="202" t="s">
        <v>652</v>
      </c>
      <c r="G2119" s="202" t="s">
        <v>688</v>
      </c>
    </row>
    <row r="2120" spans="1:7" hidden="1">
      <c r="A2120" s="202" t="s">
        <v>1331</v>
      </c>
      <c r="B2120" s="203">
        <v>100600</v>
      </c>
      <c r="C2120" s="203">
        <v>0</v>
      </c>
      <c r="D2120" s="202" t="s">
        <v>440</v>
      </c>
      <c r="E2120" s="202" t="s">
        <v>638</v>
      </c>
      <c r="F2120" s="202" t="s">
        <v>652</v>
      </c>
      <c r="G2120" s="202" t="s">
        <v>688</v>
      </c>
    </row>
    <row r="2121" spans="1:7" hidden="1">
      <c r="A2121" s="202" t="s">
        <v>1332</v>
      </c>
      <c r="B2121" s="203">
        <v>15000</v>
      </c>
      <c r="C2121" s="203">
        <v>0</v>
      </c>
      <c r="D2121" s="202" t="s">
        <v>440</v>
      </c>
      <c r="E2121" s="202" t="s">
        <v>638</v>
      </c>
      <c r="F2121" s="202" t="s">
        <v>652</v>
      </c>
      <c r="G2121" s="202" t="s">
        <v>688</v>
      </c>
    </row>
    <row r="2122" spans="1:7" hidden="1">
      <c r="A2122" s="202" t="s">
        <v>1333</v>
      </c>
      <c r="B2122" s="203">
        <v>92100</v>
      </c>
      <c r="C2122" s="203">
        <v>0</v>
      </c>
      <c r="D2122" s="202" t="s">
        <v>440</v>
      </c>
      <c r="E2122" s="202" t="s">
        <v>638</v>
      </c>
      <c r="F2122" s="202" t="s">
        <v>652</v>
      </c>
      <c r="G2122" s="202" t="s">
        <v>688</v>
      </c>
    </row>
    <row r="2123" spans="1:7" hidden="1">
      <c r="A2123" s="202" t="s">
        <v>1334</v>
      </c>
      <c r="B2123" s="203">
        <v>110000</v>
      </c>
      <c r="C2123" s="203">
        <v>0</v>
      </c>
      <c r="D2123" s="202" t="s">
        <v>440</v>
      </c>
      <c r="E2123" s="202" t="s">
        <v>638</v>
      </c>
      <c r="F2123" s="202" t="s">
        <v>652</v>
      </c>
      <c r="G2123" s="202" t="s">
        <v>688</v>
      </c>
    </row>
    <row r="2124" spans="1:7" hidden="1">
      <c r="A2124" s="202" t="s">
        <v>1335</v>
      </c>
      <c r="B2124" s="203">
        <v>33200</v>
      </c>
      <c r="C2124" s="203">
        <v>0</v>
      </c>
      <c r="D2124" s="202" t="s">
        <v>440</v>
      </c>
      <c r="E2124" s="202" t="s">
        <v>638</v>
      </c>
      <c r="F2124" s="202" t="s">
        <v>652</v>
      </c>
      <c r="G2124" s="202" t="s">
        <v>688</v>
      </c>
    </row>
    <row r="2125" spans="1:7" hidden="1">
      <c r="A2125" s="202" t="s">
        <v>1336</v>
      </c>
      <c r="B2125" s="203">
        <v>40000</v>
      </c>
      <c r="C2125" s="203">
        <v>0</v>
      </c>
      <c r="D2125" s="202" t="s">
        <v>440</v>
      </c>
      <c r="E2125" s="202" t="s">
        <v>638</v>
      </c>
      <c r="F2125" s="202" t="s">
        <v>652</v>
      </c>
      <c r="G2125" s="202" t="s">
        <v>688</v>
      </c>
    </row>
    <row r="2126" spans="1:7" hidden="1">
      <c r="A2126" s="202" t="s">
        <v>1337</v>
      </c>
      <c r="B2126" s="203">
        <v>112351</v>
      </c>
      <c r="C2126" s="203">
        <v>0</v>
      </c>
      <c r="D2126" s="202" t="s">
        <v>440</v>
      </c>
      <c r="E2126" s="202" t="s">
        <v>638</v>
      </c>
      <c r="F2126" s="202" t="s">
        <v>652</v>
      </c>
      <c r="G2126" s="202" t="s">
        <v>688</v>
      </c>
    </row>
    <row r="2127" spans="1:7" hidden="1">
      <c r="A2127" s="202" t="s">
        <v>1338</v>
      </c>
      <c r="B2127" s="203">
        <v>33100</v>
      </c>
      <c r="C2127" s="203">
        <v>0</v>
      </c>
      <c r="D2127" s="202" t="s">
        <v>440</v>
      </c>
      <c r="E2127" s="202" t="s">
        <v>638</v>
      </c>
      <c r="F2127" s="202" t="s">
        <v>652</v>
      </c>
      <c r="G2127" s="202" t="s">
        <v>688</v>
      </c>
    </row>
    <row r="2128" spans="1:7" hidden="1">
      <c r="A2128" s="202" t="s">
        <v>1339</v>
      </c>
      <c r="B2128" s="203">
        <v>11700</v>
      </c>
      <c r="C2128" s="203">
        <v>0</v>
      </c>
      <c r="D2128" s="202" t="s">
        <v>440</v>
      </c>
      <c r="E2128" s="202" t="s">
        <v>638</v>
      </c>
      <c r="F2128" s="202" t="s">
        <v>652</v>
      </c>
      <c r="G2128" s="202" t="s">
        <v>688</v>
      </c>
    </row>
    <row r="2129" spans="1:7" hidden="1">
      <c r="A2129" s="202" t="s">
        <v>1340</v>
      </c>
      <c r="B2129" s="203">
        <v>70000</v>
      </c>
      <c r="C2129" s="203">
        <v>0</v>
      </c>
      <c r="D2129" s="202" t="s">
        <v>440</v>
      </c>
      <c r="E2129" s="202" t="s">
        <v>638</v>
      </c>
      <c r="F2129" s="202" t="s">
        <v>652</v>
      </c>
      <c r="G2129" s="202" t="s">
        <v>688</v>
      </c>
    </row>
    <row r="2130" spans="1:7" hidden="1">
      <c r="A2130" s="202" t="s">
        <v>1341</v>
      </c>
      <c r="B2130" s="203">
        <v>55300</v>
      </c>
      <c r="C2130" s="203">
        <v>0</v>
      </c>
      <c r="D2130" s="202" t="s">
        <v>440</v>
      </c>
      <c r="E2130" s="202" t="s">
        <v>638</v>
      </c>
      <c r="F2130" s="202" t="s">
        <v>652</v>
      </c>
      <c r="G2130" s="202" t="s">
        <v>688</v>
      </c>
    </row>
    <row r="2131" spans="1:7" hidden="1">
      <c r="A2131" s="202" t="s">
        <v>1342</v>
      </c>
      <c r="B2131" s="203">
        <v>13900</v>
      </c>
      <c r="C2131" s="203">
        <v>0</v>
      </c>
      <c r="D2131" s="202" t="s">
        <v>442</v>
      </c>
      <c r="E2131" s="202" t="s">
        <v>638</v>
      </c>
      <c r="F2131" s="202" t="s">
        <v>396</v>
      </c>
      <c r="G2131" s="202" t="s">
        <v>688</v>
      </c>
    </row>
    <row r="2132" spans="1:7" hidden="1">
      <c r="A2132" s="202" t="s">
        <v>1343</v>
      </c>
      <c r="B2132" s="203">
        <v>10800</v>
      </c>
      <c r="C2132" s="203">
        <v>0</v>
      </c>
      <c r="D2132" s="202" t="s">
        <v>440</v>
      </c>
      <c r="E2132" s="202" t="s">
        <v>638</v>
      </c>
      <c r="F2132" s="202" t="s">
        <v>652</v>
      </c>
      <c r="G2132" s="202" t="s">
        <v>688</v>
      </c>
    </row>
    <row r="2133" spans="1:7" hidden="1">
      <c r="A2133" s="202" t="s">
        <v>1344</v>
      </c>
      <c r="B2133" s="203">
        <v>17898</v>
      </c>
      <c r="C2133" s="203">
        <v>0</v>
      </c>
      <c r="D2133" s="202" t="s">
        <v>440</v>
      </c>
      <c r="E2133" s="202" t="s">
        <v>638</v>
      </c>
      <c r="F2133" s="202" t="s">
        <v>652</v>
      </c>
      <c r="G2133" s="202" t="s">
        <v>688</v>
      </c>
    </row>
    <row r="2134" spans="1:7" hidden="1">
      <c r="A2134" s="202" t="s">
        <v>1345</v>
      </c>
      <c r="B2134" s="203">
        <v>4300</v>
      </c>
      <c r="C2134" s="203">
        <v>0</v>
      </c>
      <c r="D2134" s="202" t="s">
        <v>442</v>
      </c>
      <c r="E2134" s="202" t="s">
        <v>638</v>
      </c>
      <c r="F2134" s="202" t="s">
        <v>396</v>
      </c>
      <c r="G2134" s="202" t="s">
        <v>688</v>
      </c>
    </row>
    <row r="2135" spans="1:7" hidden="1">
      <c r="A2135" s="202" t="s">
        <v>1346</v>
      </c>
      <c r="B2135" s="203">
        <v>17800</v>
      </c>
      <c r="C2135" s="203">
        <v>0</v>
      </c>
      <c r="D2135" s="202" t="s">
        <v>440</v>
      </c>
      <c r="E2135" s="202" t="s">
        <v>638</v>
      </c>
      <c r="F2135" s="202" t="s">
        <v>652</v>
      </c>
      <c r="G2135" s="202" t="s">
        <v>688</v>
      </c>
    </row>
    <row r="2136" spans="1:7" hidden="1">
      <c r="A2136" s="202" t="s">
        <v>1347</v>
      </c>
      <c r="B2136" s="203">
        <v>-64000</v>
      </c>
      <c r="C2136" s="203">
        <v>0</v>
      </c>
      <c r="D2136" s="202" t="s">
        <v>440</v>
      </c>
      <c r="E2136" s="202" t="s">
        <v>638</v>
      </c>
      <c r="F2136" s="202" t="s">
        <v>652</v>
      </c>
      <c r="G2136" s="202" t="s">
        <v>688</v>
      </c>
    </row>
    <row r="2137" spans="1:7" hidden="1">
      <c r="A2137" s="202" t="s">
        <v>1348</v>
      </c>
      <c r="B2137" s="203">
        <v>-9900</v>
      </c>
      <c r="C2137" s="203">
        <v>0</v>
      </c>
      <c r="D2137" s="202" t="s">
        <v>442</v>
      </c>
      <c r="E2137" s="202" t="s">
        <v>638</v>
      </c>
      <c r="F2137" s="202" t="s">
        <v>396</v>
      </c>
      <c r="G2137" s="202" t="s">
        <v>688</v>
      </c>
    </row>
    <row r="2138" spans="1:7" hidden="1">
      <c r="A2138" s="202" t="s">
        <v>1349</v>
      </c>
      <c r="B2138" s="203">
        <v>-74000</v>
      </c>
      <c r="C2138" s="203">
        <v>0</v>
      </c>
      <c r="D2138" s="202" t="s">
        <v>440</v>
      </c>
      <c r="E2138" s="202" t="s">
        <v>638</v>
      </c>
      <c r="F2138" s="202" t="s">
        <v>409</v>
      </c>
      <c r="G2138" s="202" t="s">
        <v>688</v>
      </c>
    </row>
    <row r="2139" spans="1:7" hidden="1">
      <c r="A2139" s="202" t="s">
        <v>1350</v>
      </c>
      <c r="B2139" s="203">
        <v>4900</v>
      </c>
      <c r="C2139" s="203">
        <v>0</v>
      </c>
      <c r="D2139" s="202" t="s">
        <v>442</v>
      </c>
      <c r="E2139" s="202" t="s">
        <v>638</v>
      </c>
      <c r="F2139" s="202" t="s">
        <v>396</v>
      </c>
      <c r="G2139" s="202" t="s">
        <v>688</v>
      </c>
    </row>
    <row r="2140" spans="1:7" hidden="1">
      <c r="A2140" s="202" t="s">
        <v>1351</v>
      </c>
      <c r="B2140" s="203">
        <v>122000</v>
      </c>
      <c r="C2140" s="203">
        <v>0</v>
      </c>
      <c r="D2140" s="202" t="s">
        <v>440</v>
      </c>
      <c r="E2140" s="202" t="s">
        <v>638</v>
      </c>
      <c r="F2140" s="202" t="s">
        <v>652</v>
      </c>
      <c r="G2140" s="202" t="s">
        <v>688</v>
      </c>
    </row>
    <row r="2141" spans="1:7" hidden="1">
      <c r="A2141" s="202" t="s">
        <v>1352</v>
      </c>
      <c r="B2141" s="203">
        <v>10900</v>
      </c>
      <c r="C2141" s="203">
        <v>0</v>
      </c>
      <c r="D2141" s="202" t="s">
        <v>440</v>
      </c>
      <c r="E2141" s="202" t="s">
        <v>638</v>
      </c>
      <c r="F2141" s="202" t="s">
        <v>652</v>
      </c>
      <c r="G2141" s="202" t="s">
        <v>688</v>
      </c>
    </row>
    <row r="2142" spans="1:7" hidden="1">
      <c r="A2142" s="202" t="s">
        <v>1353</v>
      </c>
      <c r="B2142" s="203">
        <v>14800</v>
      </c>
      <c r="C2142" s="203">
        <v>0</v>
      </c>
      <c r="D2142" s="202" t="s">
        <v>440</v>
      </c>
      <c r="E2142" s="202" t="s">
        <v>638</v>
      </c>
      <c r="F2142" s="202" t="s">
        <v>652</v>
      </c>
      <c r="G2142" s="202" t="s">
        <v>688</v>
      </c>
    </row>
    <row r="2143" spans="1:7" hidden="1">
      <c r="A2143" s="202" t="s">
        <v>1354</v>
      </c>
      <c r="B2143" s="203">
        <v>27700</v>
      </c>
      <c r="C2143" s="203">
        <v>0</v>
      </c>
      <c r="D2143" s="202" t="s">
        <v>440</v>
      </c>
      <c r="E2143" s="202" t="s">
        <v>638</v>
      </c>
      <c r="F2143" s="202" t="s">
        <v>652</v>
      </c>
      <c r="G2143" s="202" t="s">
        <v>688</v>
      </c>
    </row>
    <row r="2144" spans="1:7" hidden="1">
      <c r="A2144" s="202" t="s">
        <v>1355</v>
      </c>
      <c r="B2144" s="203">
        <v>2600</v>
      </c>
      <c r="C2144" s="203">
        <v>0</v>
      </c>
      <c r="D2144" s="202" t="s">
        <v>440</v>
      </c>
      <c r="E2144" s="202" t="s">
        <v>638</v>
      </c>
      <c r="F2144" s="202" t="s">
        <v>652</v>
      </c>
      <c r="G2144" s="202" t="s">
        <v>688</v>
      </c>
    </row>
    <row r="2145" spans="1:7" hidden="1">
      <c r="A2145" s="202" t="s">
        <v>1356</v>
      </c>
      <c r="B2145" s="203">
        <v>92990</v>
      </c>
      <c r="C2145" s="203">
        <v>0</v>
      </c>
      <c r="D2145" s="202" t="s">
        <v>440</v>
      </c>
      <c r="E2145" s="202" t="s">
        <v>638</v>
      </c>
      <c r="F2145" s="202" t="s">
        <v>652</v>
      </c>
      <c r="G2145" s="202" t="s">
        <v>688</v>
      </c>
    </row>
    <row r="2146" spans="1:7" hidden="1">
      <c r="A2146" s="202" t="s">
        <v>1357</v>
      </c>
      <c r="B2146" s="203">
        <v>31200</v>
      </c>
      <c r="C2146" s="203">
        <v>0</v>
      </c>
      <c r="D2146" s="202" t="s">
        <v>440</v>
      </c>
      <c r="E2146" s="202" t="s">
        <v>638</v>
      </c>
      <c r="F2146" s="202" t="s">
        <v>409</v>
      </c>
      <c r="G2146" s="202" t="s">
        <v>688</v>
      </c>
    </row>
    <row r="2147" spans="1:7" hidden="1">
      <c r="A2147" s="202" t="s">
        <v>1358</v>
      </c>
      <c r="B2147" s="203">
        <v>11200</v>
      </c>
      <c r="C2147" s="203">
        <v>0</v>
      </c>
      <c r="D2147" s="202" t="s">
        <v>440</v>
      </c>
      <c r="E2147" s="202" t="s">
        <v>638</v>
      </c>
      <c r="F2147" s="202" t="s">
        <v>652</v>
      </c>
      <c r="G2147" s="202" t="s">
        <v>688</v>
      </c>
    </row>
    <row r="2148" spans="1:7" hidden="1">
      <c r="A2148" s="202" t="s">
        <v>1359</v>
      </c>
      <c r="B2148" s="203">
        <v>20400</v>
      </c>
      <c r="C2148" s="203">
        <v>0</v>
      </c>
      <c r="D2148" s="202" t="s">
        <v>440</v>
      </c>
      <c r="E2148" s="202" t="s">
        <v>638</v>
      </c>
      <c r="F2148" s="202" t="s">
        <v>652</v>
      </c>
      <c r="G2148" s="202" t="s">
        <v>688</v>
      </c>
    </row>
    <row r="2149" spans="1:7" hidden="1">
      <c r="A2149" s="202" t="s">
        <v>1360</v>
      </c>
      <c r="B2149" s="203">
        <v>23800</v>
      </c>
      <c r="C2149" s="203">
        <v>0</v>
      </c>
      <c r="D2149" s="202" t="s">
        <v>440</v>
      </c>
      <c r="E2149" s="202" t="s">
        <v>638</v>
      </c>
      <c r="F2149" s="202" t="s">
        <v>652</v>
      </c>
      <c r="G2149" s="202" t="s">
        <v>688</v>
      </c>
    </row>
    <row r="2150" spans="1:7" hidden="1">
      <c r="A2150" s="202" t="s">
        <v>1361</v>
      </c>
      <c r="B2150" s="203">
        <v>32800</v>
      </c>
      <c r="C2150" s="203">
        <v>0</v>
      </c>
      <c r="D2150" s="202" t="s">
        <v>440</v>
      </c>
      <c r="E2150" s="202" t="s">
        <v>638</v>
      </c>
      <c r="F2150" s="202" t="s">
        <v>652</v>
      </c>
      <c r="G2150" s="202" t="s">
        <v>688</v>
      </c>
    </row>
    <row r="2151" spans="1:7" hidden="1">
      <c r="A2151" s="202" t="s">
        <v>1362</v>
      </c>
      <c r="B2151" s="203">
        <v>15000</v>
      </c>
      <c r="C2151" s="203">
        <v>0</v>
      </c>
      <c r="D2151" s="202" t="s">
        <v>440</v>
      </c>
      <c r="E2151" s="202" t="s">
        <v>638</v>
      </c>
      <c r="F2151" s="202" t="s">
        <v>652</v>
      </c>
      <c r="G2151" s="202" t="s">
        <v>688</v>
      </c>
    </row>
    <row r="2152" spans="1:7" hidden="1">
      <c r="A2152" s="202" t="s">
        <v>1363</v>
      </c>
      <c r="B2152" s="203">
        <v>13400</v>
      </c>
      <c r="C2152" s="203">
        <v>0</v>
      </c>
      <c r="D2152" s="202" t="s">
        <v>440</v>
      </c>
      <c r="E2152" s="202" t="s">
        <v>638</v>
      </c>
      <c r="F2152" s="202" t="s">
        <v>409</v>
      </c>
      <c r="G2152" s="202" t="s">
        <v>688</v>
      </c>
    </row>
    <row r="2153" spans="1:7" hidden="1">
      <c r="A2153" s="202" t="s">
        <v>1364</v>
      </c>
      <c r="B2153" s="203">
        <v>8300</v>
      </c>
      <c r="C2153" s="203">
        <v>0</v>
      </c>
      <c r="D2153" s="202" t="s">
        <v>440</v>
      </c>
      <c r="E2153" s="202" t="s">
        <v>638</v>
      </c>
      <c r="F2153" s="202" t="s">
        <v>652</v>
      </c>
      <c r="G2153" s="202" t="s">
        <v>688</v>
      </c>
    </row>
    <row r="2154" spans="1:7" hidden="1">
      <c r="A2154" s="202" t="s">
        <v>1365</v>
      </c>
      <c r="B2154" s="203">
        <v>16500</v>
      </c>
      <c r="C2154" s="203">
        <v>0</v>
      </c>
      <c r="D2154" s="202" t="s">
        <v>440</v>
      </c>
      <c r="E2154" s="202" t="s">
        <v>638</v>
      </c>
      <c r="F2154" s="202" t="s">
        <v>652</v>
      </c>
      <c r="G2154" s="202" t="s">
        <v>688</v>
      </c>
    </row>
    <row r="2155" spans="1:7" hidden="1">
      <c r="A2155" s="202" t="s">
        <v>1366</v>
      </c>
      <c r="B2155" s="203">
        <v>5000</v>
      </c>
      <c r="C2155" s="203">
        <v>0</v>
      </c>
      <c r="D2155" s="202" t="s">
        <v>440</v>
      </c>
      <c r="E2155" s="202" t="s">
        <v>638</v>
      </c>
      <c r="F2155" s="202" t="s">
        <v>652</v>
      </c>
      <c r="G2155" s="202" t="s">
        <v>688</v>
      </c>
    </row>
    <row r="2156" spans="1:7" hidden="1">
      <c r="A2156" s="202" t="s">
        <v>1367</v>
      </c>
      <c r="B2156" s="203">
        <v>2800</v>
      </c>
      <c r="C2156" s="203">
        <v>0</v>
      </c>
      <c r="D2156" s="202" t="s">
        <v>442</v>
      </c>
      <c r="E2156" s="202" t="s">
        <v>638</v>
      </c>
      <c r="F2156" s="202" t="s">
        <v>396</v>
      </c>
      <c r="G2156" s="202" t="s">
        <v>688</v>
      </c>
    </row>
    <row r="2157" spans="1:7" hidden="1">
      <c r="A2157" s="202" t="s">
        <v>1368</v>
      </c>
      <c r="B2157" s="203">
        <v>29200</v>
      </c>
      <c r="C2157" s="203">
        <v>0</v>
      </c>
      <c r="D2157" s="202" t="s">
        <v>440</v>
      </c>
      <c r="E2157" s="202" t="s">
        <v>638</v>
      </c>
      <c r="F2157" s="202" t="s">
        <v>652</v>
      </c>
      <c r="G2157" s="202" t="s">
        <v>688</v>
      </c>
    </row>
    <row r="2158" spans="1:7" hidden="1">
      <c r="A2158" s="202" t="s">
        <v>1369</v>
      </c>
      <c r="B2158" s="203">
        <v>26900</v>
      </c>
      <c r="C2158" s="203">
        <v>0</v>
      </c>
      <c r="D2158" s="202" t="s">
        <v>440</v>
      </c>
      <c r="E2158" s="202" t="s">
        <v>638</v>
      </c>
      <c r="F2158" s="202" t="s">
        <v>652</v>
      </c>
      <c r="G2158" s="202" t="s">
        <v>688</v>
      </c>
    </row>
    <row r="2159" spans="1:7" hidden="1">
      <c r="A2159" s="202" t="s">
        <v>1370</v>
      </c>
      <c r="B2159" s="203">
        <v>85700</v>
      </c>
      <c r="C2159" s="203">
        <v>0</v>
      </c>
      <c r="D2159" s="202" t="s">
        <v>440</v>
      </c>
      <c r="E2159" s="202" t="s">
        <v>638</v>
      </c>
      <c r="F2159" s="202" t="s">
        <v>652</v>
      </c>
      <c r="G2159" s="202" t="s">
        <v>688</v>
      </c>
    </row>
    <row r="2160" spans="1:7" hidden="1">
      <c r="A2160" s="202" t="s">
        <v>1371</v>
      </c>
      <c r="B2160" s="203">
        <v>20000</v>
      </c>
      <c r="C2160" s="203">
        <v>0</v>
      </c>
      <c r="D2160" s="202" t="s">
        <v>440</v>
      </c>
      <c r="E2160" s="202" t="s">
        <v>638</v>
      </c>
      <c r="F2160" s="202" t="s">
        <v>652</v>
      </c>
      <c r="G2160" s="202" t="s">
        <v>688</v>
      </c>
    </row>
    <row r="2161" spans="1:7" hidden="1">
      <c r="A2161" s="202" t="s">
        <v>1372</v>
      </c>
      <c r="B2161" s="203">
        <v>10400</v>
      </c>
      <c r="C2161" s="203">
        <v>0</v>
      </c>
      <c r="D2161" s="202" t="s">
        <v>440</v>
      </c>
      <c r="E2161" s="202" t="s">
        <v>638</v>
      </c>
      <c r="F2161" s="202" t="s">
        <v>652</v>
      </c>
      <c r="G2161" s="202" t="s">
        <v>688</v>
      </c>
    </row>
    <row r="2162" spans="1:7" hidden="1">
      <c r="A2162" s="202" t="s">
        <v>1373</v>
      </c>
      <c r="B2162" s="203">
        <v>14700</v>
      </c>
      <c r="C2162" s="203">
        <v>0</v>
      </c>
      <c r="D2162" s="202" t="s">
        <v>440</v>
      </c>
      <c r="E2162" s="202" t="s">
        <v>638</v>
      </c>
      <c r="F2162" s="202" t="s">
        <v>652</v>
      </c>
      <c r="G2162" s="202" t="s">
        <v>688</v>
      </c>
    </row>
    <row r="2163" spans="1:7" hidden="1">
      <c r="A2163" s="202" t="s">
        <v>1374</v>
      </c>
      <c r="B2163" s="203">
        <v>1800</v>
      </c>
      <c r="C2163" s="203">
        <v>0</v>
      </c>
      <c r="D2163" s="202" t="s">
        <v>442</v>
      </c>
      <c r="E2163" s="202" t="s">
        <v>638</v>
      </c>
      <c r="F2163" s="202" t="s">
        <v>396</v>
      </c>
      <c r="G2163" s="202" t="s">
        <v>688</v>
      </c>
    </row>
    <row r="2164" spans="1:7" hidden="1">
      <c r="A2164" s="202" t="s">
        <v>1375</v>
      </c>
      <c r="B2164" s="203">
        <v>28200</v>
      </c>
      <c r="C2164" s="203">
        <v>0</v>
      </c>
      <c r="D2164" s="202" t="s">
        <v>440</v>
      </c>
      <c r="E2164" s="202" t="s">
        <v>638</v>
      </c>
      <c r="F2164" s="202" t="s">
        <v>652</v>
      </c>
      <c r="G2164" s="202" t="s">
        <v>688</v>
      </c>
    </row>
    <row r="2165" spans="1:7" hidden="1">
      <c r="A2165" s="202" t="s">
        <v>1376</v>
      </c>
      <c r="B2165" s="203">
        <v>14100</v>
      </c>
      <c r="C2165" s="203">
        <v>0</v>
      </c>
      <c r="D2165" s="202" t="s">
        <v>440</v>
      </c>
      <c r="E2165" s="202" t="s">
        <v>638</v>
      </c>
      <c r="F2165" s="202" t="s">
        <v>652</v>
      </c>
      <c r="G2165" s="202" t="s">
        <v>688</v>
      </c>
    </row>
    <row r="2166" spans="1:7" hidden="1">
      <c r="A2166" s="202" t="s">
        <v>1377</v>
      </c>
      <c r="B2166" s="203">
        <v>1300</v>
      </c>
      <c r="C2166" s="203">
        <v>0</v>
      </c>
      <c r="D2166" s="202" t="s">
        <v>442</v>
      </c>
      <c r="E2166" s="202" t="s">
        <v>638</v>
      </c>
      <c r="F2166" s="202" t="s">
        <v>396</v>
      </c>
      <c r="G2166" s="202" t="s">
        <v>688</v>
      </c>
    </row>
    <row r="2167" spans="1:7" hidden="1">
      <c r="A2167" s="202" t="s">
        <v>1378</v>
      </c>
      <c r="B2167" s="203">
        <v>13200</v>
      </c>
      <c r="C2167" s="203">
        <v>0</v>
      </c>
      <c r="D2167" s="202" t="s">
        <v>440</v>
      </c>
      <c r="E2167" s="202" t="s">
        <v>638</v>
      </c>
      <c r="F2167" s="202" t="s">
        <v>652</v>
      </c>
      <c r="G2167" s="202" t="s">
        <v>688</v>
      </c>
    </row>
    <row r="2168" spans="1:7" hidden="1">
      <c r="A2168" s="202" t="s">
        <v>1379</v>
      </c>
      <c r="B2168" s="203">
        <v>1300</v>
      </c>
      <c r="C2168" s="203">
        <v>0</v>
      </c>
      <c r="D2168" s="202" t="s">
        <v>442</v>
      </c>
      <c r="E2168" s="202" t="s">
        <v>638</v>
      </c>
      <c r="F2168" s="202" t="s">
        <v>396</v>
      </c>
      <c r="G2168" s="202" t="s">
        <v>688</v>
      </c>
    </row>
    <row r="2169" spans="1:7" hidden="1">
      <c r="A2169" s="202" t="s">
        <v>1380</v>
      </c>
      <c r="B2169" s="203">
        <v>6900</v>
      </c>
      <c r="C2169" s="203">
        <v>0</v>
      </c>
      <c r="D2169" s="202" t="s">
        <v>440</v>
      </c>
      <c r="E2169" s="202" t="s">
        <v>638</v>
      </c>
      <c r="F2169" s="202" t="s">
        <v>652</v>
      </c>
      <c r="G2169" s="202" t="s">
        <v>688</v>
      </c>
    </row>
    <row r="2170" spans="1:7" hidden="1">
      <c r="A2170" s="202" t="s">
        <v>1381</v>
      </c>
      <c r="B2170" s="203">
        <v>14500</v>
      </c>
      <c r="C2170" s="203">
        <v>0</v>
      </c>
      <c r="D2170" s="202" t="s">
        <v>442</v>
      </c>
      <c r="E2170" s="202" t="s">
        <v>638</v>
      </c>
      <c r="F2170" s="202" t="s">
        <v>396</v>
      </c>
      <c r="G2170" s="202" t="s">
        <v>688</v>
      </c>
    </row>
    <row r="2171" spans="1:7" hidden="1">
      <c r="A2171" s="202" t="s">
        <v>1382</v>
      </c>
      <c r="B2171" s="203">
        <v>5500</v>
      </c>
      <c r="C2171" s="203">
        <v>0</v>
      </c>
      <c r="D2171" s="202" t="s">
        <v>440</v>
      </c>
      <c r="E2171" s="202" t="s">
        <v>638</v>
      </c>
      <c r="F2171" s="202" t="s">
        <v>652</v>
      </c>
      <c r="G2171" s="202" t="s">
        <v>688</v>
      </c>
    </row>
    <row r="2172" spans="1:7" hidden="1">
      <c r="A2172" s="202" t="s">
        <v>1383</v>
      </c>
      <c r="B2172" s="203">
        <v>12300</v>
      </c>
      <c r="C2172" s="203">
        <v>0</v>
      </c>
      <c r="D2172" s="202" t="s">
        <v>440</v>
      </c>
      <c r="E2172" s="202" t="s">
        <v>638</v>
      </c>
      <c r="F2172" s="202" t="s">
        <v>652</v>
      </c>
      <c r="G2172" s="202" t="s">
        <v>688</v>
      </c>
    </row>
    <row r="2173" spans="1:7" hidden="1">
      <c r="A2173" s="202" t="s">
        <v>1384</v>
      </c>
      <c r="B2173" s="203">
        <v>8000</v>
      </c>
      <c r="C2173" s="203">
        <v>0</v>
      </c>
      <c r="D2173" s="202" t="s">
        <v>440</v>
      </c>
      <c r="E2173" s="202" t="s">
        <v>638</v>
      </c>
      <c r="F2173" s="202" t="s">
        <v>652</v>
      </c>
      <c r="G2173" s="202" t="s">
        <v>688</v>
      </c>
    </row>
    <row r="2174" spans="1:7" hidden="1">
      <c r="A2174" s="202" t="s">
        <v>1385</v>
      </c>
      <c r="B2174" s="203">
        <v>8500</v>
      </c>
      <c r="C2174" s="203">
        <v>0</v>
      </c>
      <c r="D2174" s="202" t="s">
        <v>440</v>
      </c>
      <c r="E2174" s="202" t="s">
        <v>638</v>
      </c>
      <c r="F2174" s="202" t="s">
        <v>652</v>
      </c>
      <c r="G2174" s="202" t="s">
        <v>688</v>
      </c>
    </row>
    <row r="2175" spans="1:7" hidden="1">
      <c r="A2175" s="202" t="s">
        <v>1386</v>
      </c>
      <c r="B2175" s="203">
        <v>8400</v>
      </c>
      <c r="C2175" s="203">
        <v>0</v>
      </c>
      <c r="D2175" s="202" t="s">
        <v>442</v>
      </c>
      <c r="E2175" s="202" t="s">
        <v>638</v>
      </c>
      <c r="F2175" s="202" t="s">
        <v>396</v>
      </c>
      <c r="G2175" s="202" t="s">
        <v>688</v>
      </c>
    </row>
    <row r="2176" spans="1:7" hidden="1">
      <c r="A2176" s="202" t="s">
        <v>1387</v>
      </c>
      <c r="B2176" s="203">
        <v>82700</v>
      </c>
      <c r="C2176" s="203">
        <v>0</v>
      </c>
      <c r="D2176" s="202" t="s">
        <v>440</v>
      </c>
      <c r="E2176" s="202" t="s">
        <v>638</v>
      </c>
      <c r="F2176" s="202" t="s">
        <v>409</v>
      </c>
      <c r="G2176" s="202" t="s">
        <v>688</v>
      </c>
    </row>
    <row r="2177" spans="1:7" hidden="1">
      <c r="A2177" s="202" t="s">
        <v>1388</v>
      </c>
      <c r="B2177" s="203">
        <v>16200</v>
      </c>
      <c r="C2177" s="203">
        <v>0</v>
      </c>
      <c r="D2177" s="202" t="s">
        <v>442</v>
      </c>
      <c r="E2177" s="202" t="s">
        <v>638</v>
      </c>
      <c r="F2177" s="202" t="s">
        <v>396</v>
      </c>
      <c r="G2177" s="202" t="s">
        <v>688</v>
      </c>
    </row>
    <row r="2178" spans="1:7" hidden="1">
      <c r="A2178" s="202" t="s">
        <v>1389</v>
      </c>
      <c r="B2178" s="203">
        <v>1600</v>
      </c>
      <c r="C2178" s="203">
        <v>0</v>
      </c>
      <c r="D2178" s="202" t="s">
        <v>442</v>
      </c>
      <c r="E2178" s="202" t="s">
        <v>638</v>
      </c>
      <c r="F2178" s="202" t="s">
        <v>396</v>
      </c>
      <c r="G2178" s="202" t="s">
        <v>688</v>
      </c>
    </row>
    <row r="2179" spans="1:7" hidden="1">
      <c r="A2179" s="202" t="s">
        <v>1390</v>
      </c>
      <c r="B2179" s="203">
        <v>1250</v>
      </c>
      <c r="C2179" s="203">
        <v>0</v>
      </c>
      <c r="D2179" s="202" t="s">
        <v>440</v>
      </c>
      <c r="E2179" s="202" t="s">
        <v>638</v>
      </c>
      <c r="F2179" s="202" t="s">
        <v>652</v>
      </c>
      <c r="G2179" s="202" t="s">
        <v>688</v>
      </c>
    </row>
    <row r="2180" spans="1:7" hidden="1">
      <c r="A2180" s="202" t="s">
        <v>1391</v>
      </c>
      <c r="B2180" s="203">
        <v>2513</v>
      </c>
      <c r="C2180" s="203">
        <v>0</v>
      </c>
      <c r="D2180" s="202" t="s">
        <v>440</v>
      </c>
      <c r="E2180" s="202" t="s">
        <v>638</v>
      </c>
      <c r="F2180" s="202" t="s">
        <v>652</v>
      </c>
      <c r="G2180" s="202" t="s">
        <v>688</v>
      </c>
    </row>
    <row r="2181" spans="1:7" hidden="1">
      <c r="A2181" s="202" t="s">
        <v>1392</v>
      </c>
      <c r="B2181" s="203">
        <v>16800</v>
      </c>
      <c r="C2181" s="203">
        <v>0</v>
      </c>
      <c r="D2181" s="202" t="s">
        <v>440</v>
      </c>
      <c r="E2181" s="202" t="s">
        <v>638</v>
      </c>
      <c r="F2181" s="202" t="s">
        <v>652</v>
      </c>
      <c r="G2181" s="202" t="s">
        <v>688</v>
      </c>
    </row>
    <row r="2182" spans="1:7" hidden="1">
      <c r="A2182" s="202" t="s">
        <v>1393</v>
      </c>
      <c r="B2182" s="203">
        <v>1600</v>
      </c>
      <c r="C2182" s="203">
        <v>0</v>
      </c>
      <c r="D2182" s="202" t="s">
        <v>442</v>
      </c>
      <c r="E2182" s="202" t="s">
        <v>638</v>
      </c>
      <c r="F2182" s="202" t="s">
        <v>396</v>
      </c>
      <c r="G2182" s="202" t="s">
        <v>688</v>
      </c>
    </row>
    <row r="2183" spans="1:7" hidden="1">
      <c r="A2183" s="202" t="s">
        <v>1394</v>
      </c>
      <c r="B2183" s="203">
        <v>21400</v>
      </c>
      <c r="C2183" s="203">
        <v>0</v>
      </c>
      <c r="D2183" s="202" t="s">
        <v>440</v>
      </c>
      <c r="E2183" s="202" t="s">
        <v>638</v>
      </c>
      <c r="F2183" s="202" t="s">
        <v>652</v>
      </c>
      <c r="G2183" s="202" t="s">
        <v>688</v>
      </c>
    </row>
    <row r="2184" spans="1:7" hidden="1">
      <c r="A2184" s="202" t="s">
        <v>1395</v>
      </c>
      <c r="B2184" s="203">
        <v>2500</v>
      </c>
      <c r="C2184" s="203">
        <v>0</v>
      </c>
      <c r="D2184" s="202" t="s">
        <v>442</v>
      </c>
      <c r="E2184" s="202" t="s">
        <v>638</v>
      </c>
      <c r="F2184" s="202" t="s">
        <v>396</v>
      </c>
      <c r="G2184" s="202" t="s">
        <v>688</v>
      </c>
    </row>
    <row r="2185" spans="1:7" hidden="1">
      <c r="A2185" s="202" t="s">
        <v>1396</v>
      </c>
      <c r="B2185" s="203">
        <v>2000</v>
      </c>
      <c r="C2185" s="203">
        <v>0</v>
      </c>
      <c r="D2185" s="202" t="s">
        <v>442</v>
      </c>
      <c r="E2185" s="202" t="s">
        <v>638</v>
      </c>
      <c r="F2185" s="202" t="s">
        <v>396</v>
      </c>
      <c r="G2185" s="202" t="s">
        <v>688</v>
      </c>
    </row>
    <row r="2186" spans="1:7" hidden="1">
      <c r="A2186" s="202" t="s">
        <v>1397</v>
      </c>
      <c r="B2186" s="203">
        <v>2000</v>
      </c>
      <c r="C2186" s="203">
        <v>0</v>
      </c>
      <c r="D2186" s="202" t="s">
        <v>442</v>
      </c>
      <c r="E2186" s="202" t="s">
        <v>638</v>
      </c>
      <c r="F2186" s="202" t="s">
        <v>396</v>
      </c>
      <c r="G2186" s="202" t="s">
        <v>688</v>
      </c>
    </row>
    <row r="2187" spans="1:7" hidden="1">
      <c r="A2187" s="202" t="s">
        <v>1398</v>
      </c>
      <c r="B2187" s="203">
        <v>-6300</v>
      </c>
      <c r="C2187" s="203">
        <v>0</v>
      </c>
      <c r="D2187" s="202" t="s">
        <v>440</v>
      </c>
      <c r="E2187" s="202" t="s">
        <v>638</v>
      </c>
      <c r="F2187" s="202" t="s">
        <v>409</v>
      </c>
      <c r="G2187" s="202" t="s">
        <v>688</v>
      </c>
    </row>
    <row r="2188" spans="1:7" hidden="1">
      <c r="A2188" s="202" t="s">
        <v>1399</v>
      </c>
      <c r="B2188" s="203">
        <v>-9100</v>
      </c>
      <c r="C2188" s="203">
        <v>0</v>
      </c>
      <c r="D2188" s="202" t="s">
        <v>440</v>
      </c>
      <c r="E2188" s="202" t="s">
        <v>638</v>
      </c>
      <c r="F2188" s="202" t="s">
        <v>652</v>
      </c>
      <c r="G2188" s="202" t="s">
        <v>688</v>
      </c>
    </row>
    <row r="2189" spans="1:7" hidden="1">
      <c r="A2189" s="202" t="s">
        <v>1400</v>
      </c>
      <c r="B2189" s="203">
        <v>-32000</v>
      </c>
      <c r="C2189" s="203">
        <v>0</v>
      </c>
      <c r="D2189" s="202" t="s">
        <v>440</v>
      </c>
      <c r="E2189" s="202" t="s">
        <v>638</v>
      </c>
      <c r="F2189" s="202" t="s">
        <v>652</v>
      </c>
      <c r="G2189" s="202" t="s">
        <v>688</v>
      </c>
    </row>
    <row r="2190" spans="1:7" hidden="1">
      <c r="A2190" s="202" t="s">
        <v>1401</v>
      </c>
      <c r="B2190" s="203">
        <v>-15800</v>
      </c>
      <c r="C2190" s="203">
        <v>0</v>
      </c>
      <c r="D2190" s="202" t="s">
        <v>442</v>
      </c>
      <c r="E2190" s="202" t="s">
        <v>638</v>
      </c>
      <c r="F2190" s="202" t="s">
        <v>396</v>
      </c>
      <c r="G2190" s="202" t="s">
        <v>688</v>
      </c>
    </row>
    <row r="2191" spans="1:7" hidden="1">
      <c r="A2191" s="202" t="s">
        <v>1401</v>
      </c>
      <c r="B2191" s="203">
        <v>-79600</v>
      </c>
      <c r="C2191" s="203">
        <v>0</v>
      </c>
      <c r="D2191" s="202" t="s">
        <v>474</v>
      </c>
      <c r="E2191" s="202" t="s">
        <v>638</v>
      </c>
      <c r="F2191" s="202" t="s">
        <v>396</v>
      </c>
      <c r="G2191" s="202" t="s">
        <v>688</v>
      </c>
    </row>
    <row r="2192" spans="1:7" hidden="1">
      <c r="A2192" s="202" t="s">
        <v>1402</v>
      </c>
      <c r="B2192" s="203">
        <v>-29500</v>
      </c>
      <c r="C2192" s="203">
        <v>0</v>
      </c>
      <c r="D2192" s="202" t="s">
        <v>440</v>
      </c>
      <c r="E2192" s="202" t="s">
        <v>638</v>
      </c>
      <c r="F2192" s="202" t="s">
        <v>652</v>
      </c>
      <c r="G2192" s="202" t="s">
        <v>688</v>
      </c>
    </row>
    <row r="2193" spans="1:7" hidden="1">
      <c r="A2193" s="202" t="s">
        <v>1403</v>
      </c>
      <c r="B2193" s="203">
        <v>50150</v>
      </c>
      <c r="C2193" s="203">
        <v>0</v>
      </c>
      <c r="D2193" s="202" t="s">
        <v>440</v>
      </c>
      <c r="E2193" s="202" t="s">
        <v>638</v>
      </c>
      <c r="F2193" s="202" t="s">
        <v>652</v>
      </c>
      <c r="G2193" s="202" t="s">
        <v>688</v>
      </c>
    </row>
    <row r="2194" spans="1:7" hidden="1">
      <c r="A2194" s="202" t="s">
        <v>1404</v>
      </c>
      <c r="B2194" s="203">
        <v>20500</v>
      </c>
      <c r="C2194" s="203">
        <v>0</v>
      </c>
      <c r="D2194" s="202" t="s">
        <v>440</v>
      </c>
      <c r="E2194" s="202" t="s">
        <v>638</v>
      </c>
      <c r="F2194" s="202" t="s">
        <v>652</v>
      </c>
      <c r="G2194" s="202" t="s">
        <v>688</v>
      </c>
    </row>
    <row r="2195" spans="1:7" hidden="1">
      <c r="A2195" s="202" t="s">
        <v>1405</v>
      </c>
      <c r="B2195" s="203">
        <v>3500</v>
      </c>
      <c r="C2195" s="203">
        <v>0</v>
      </c>
      <c r="D2195" s="202" t="s">
        <v>442</v>
      </c>
      <c r="E2195" s="202" t="s">
        <v>638</v>
      </c>
      <c r="F2195" s="202" t="s">
        <v>396</v>
      </c>
      <c r="G2195" s="202" t="s">
        <v>688</v>
      </c>
    </row>
    <row r="2196" spans="1:7" hidden="1">
      <c r="A2196" s="202" t="s">
        <v>1406</v>
      </c>
      <c r="B2196" s="203">
        <v>5000</v>
      </c>
      <c r="C2196" s="203">
        <v>0</v>
      </c>
      <c r="D2196" s="202" t="s">
        <v>442</v>
      </c>
      <c r="E2196" s="202" t="s">
        <v>638</v>
      </c>
      <c r="F2196" s="202" t="s">
        <v>396</v>
      </c>
      <c r="G2196" s="202" t="s">
        <v>688</v>
      </c>
    </row>
    <row r="2197" spans="1:7" hidden="1">
      <c r="A2197" s="202" t="s">
        <v>1407</v>
      </c>
      <c r="B2197" s="203">
        <v>4300</v>
      </c>
      <c r="C2197" s="203">
        <v>0</v>
      </c>
      <c r="D2197" s="202" t="s">
        <v>442</v>
      </c>
      <c r="E2197" s="202" t="s">
        <v>638</v>
      </c>
      <c r="F2197" s="202" t="s">
        <v>396</v>
      </c>
      <c r="G2197" s="202" t="s">
        <v>688</v>
      </c>
    </row>
    <row r="2198" spans="1:7" hidden="1">
      <c r="A2198" s="202" t="s">
        <v>1408</v>
      </c>
      <c r="B2198" s="203">
        <v>24600</v>
      </c>
      <c r="C2198" s="203">
        <v>0</v>
      </c>
      <c r="D2198" s="202" t="s">
        <v>440</v>
      </c>
      <c r="E2198" s="202" t="s">
        <v>638</v>
      </c>
      <c r="F2198" s="202" t="s">
        <v>652</v>
      </c>
      <c r="G2198" s="202" t="s">
        <v>688</v>
      </c>
    </row>
    <row r="2199" spans="1:7" hidden="1">
      <c r="A2199" s="202" t="s">
        <v>1409</v>
      </c>
      <c r="B2199" s="203">
        <v>8900</v>
      </c>
      <c r="C2199" s="203">
        <v>0</v>
      </c>
      <c r="D2199" s="202" t="s">
        <v>442</v>
      </c>
      <c r="E2199" s="202" t="s">
        <v>638</v>
      </c>
      <c r="F2199" s="202" t="s">
        <v>396</v>
      </c>
      <c r="G2199" s="202" t="s">
        <v>688</v>
      </c>
    </row>
    <row r="2200" spans="1:7" hidden="1">
      <c r="A2200" s="202" t="s">
        <v>1410</v>
      </c>
      <c r="B2200" s="203">
        <v>51800</v>
      </c>
      <c r="C2200" s="203">
        <v>0</v>
      </c>
      <c r="D2200" s="202" t="s">
        <v>440</v>
      </c>
      <c r="E2200" s="202" t="s">
        <v>638</v>
      </c>
      <c r="F2200" s="202" t="s">
        <v>652</v>
      </c>
      <c r="G2200" s="202" t="s">
        <v>688</v>
      </c>
    </row>
    <row r="2201" spans="1:7" hidden="1">
      <c r="A2201" s="202" t="s">
        <v>1411</v>
      </c>
      <c r="B2201" s="203">
        <v>-10000</v>
      </c>
      <c r="C2201" s="203">
        <v>0</v>
      </c>
      <c r="D2201" s="202" t="s">
        <v>440</v>
      </c>
      <c r="E2201" s="202" t="s">
        <v>638</v>
      </c>
      <c r="F2201" s="202" t="s">
        <v>652</v>
      </c>
      <c r="G2201" s="202" t="s">
        <v>688</v>
      </c>
    </row>
    <row r="2202" spans="1:7" hidden="1">
      <c r="A2202" s="202" t="s">
        <v>1412</v>
      </c>
      <c r="B2202" s="203">
        <v>29600</v>
      </c>
      <c r="C2202" s="203">
        <v>0</v>
      </c>
      <c r="D2202" s="202" t="s">
        <v>474</v>
      </c>
      <c r="E2202" s="202" t="s">
        <v>638</v>
      </c>
      <c r="F2202" s="202" t="s">
        <v>396</v>
      </c>
      <c r="G2202" s="202" t="s">
        <v>688</v>
      </c>
    </row>
    <row r="2203" spans="1:7" hidden="1">
      <c r="A2203" s="202" t="s">
        <v>1413</v>
      </c>
      <c r="B2203" s="203">
        <v>51000</v>
      </c>
      <c r="C2203" s="203">
        <v>0</v>
      </c>
      <c r="D2203" s="202" t="s">
        <v>440</v>
      </c>
      <c r="E2203" s="202" t="s">
        <v>638</v>
      </c>
      <c r="F2203" s="202" t="s">
        <v>652</v>
      </c>
      <c r="G2203" s="202" t="s">
        <v>688</v>
      </c>
    </row>
    <row r="2204" spans="1:7" hidden="1">
      <c r="A2204" s="202" t="s">
        <v>1414</v>
      </c>
      <c r="B2204" s="203">
        <v>3200</v>
      </c>
      <c r="C2204" s="203">
        <v>0</v>
      </c>
      <c r="D2204" s="202" t="s">
        <v>442</v>
      </c>
      <c r="E2204" s="202" t="s">
        <v>638</v>
      </c>
      <c r="F2204" s="202" t="s">
        <v>396</v>
      </c>
      <c r="G2204" s="202" t="s">
        <v>688</v>
      </c>
    </row>
    <row r="2205" spans="1:7" hidden="1">
      <c r="A2205" s="202" t="s">
        <v>1415</v>
      </c>
      <c r="B2205" s="203">
        <v>3100</v>
      </c>
      <c r="C2205" s="203">
        <v>0</v>
      </c>
      <c r="D2205" s="202" t="s">
        <v>442</v>
      </c>
      <c r="E2205" s="202" t="s">
        <v>638</v>
      </c>
      <c r="F2205" s="202" t="s">
        <v>396</v>
      </c>
      <c r="G2205" s="202" t="s">
        <v>688</v>
      </c>
    </row>
    <row r="2206" spans="1:7" hidden="1">
      <c r="A2206" s="202" t="s">
        <v>1416</v>
      </c>
      <c r="B2206" s="203">
        <v>-12400</v>
      </c>
      <c r="C2206" s="203">
        <v>0</v>
      </c>
      <c r="D2206" s="202" t="s">
        <v>440</v>
      </c>
      <c r="E2206" s="202" t="s">
        <v>638</v>
      </c>
      <c r="F2206" s="202" t="s">
        <v>652</v>
      </c>
      <c r="G2206" s="202" t="s">
        <v>688</v>
      </c>
    </row>
    <row r="2207" spans="1:7" hidden="1">
      <c r="A2207" s="202" t="s">
        <v>1417</v>
      </c>
      <c r="B2207" s="203">
        <v>100000</v>
      </c>
      <c r="C2207" s="203">
        <v>0</v>
      </c>
      <c r="D2207" s="202" t="s">
        <v>440</v>
      </c>
      <c r="E2207" s="202" t="s">
        <v>638</v>
      </c>
      <c r="F2207" s="202" t="s">
        <v>652</v>
      </c>
      <c r="G2207" s="202" t="s">
        <v>688</v>
      </c>
    </row>
    <row r="2208" spans="1:7" hidden="1">
      <c r="A2208" s="202" t="s">
        <v>1418</v>
      </c>
      <c r="B2208" s="203">
        <v>29900</v>
      </c>
      <c r="C2208" s="203">
        <v>0</v>
      </c>
      <c r="D2208" s="202" t="s">
        <v>440</v>
      </c>
      <c r="E2208" s="202" t="s">
        <v>638</v>
      </c>
      <c r="F2208" s="202" t="s">
        <v>652</v>
      </c>
      <c r="G2208" s="202" t="s">
        <v>688</v>
      </c>
    </row>
    <row r="2209" spans="1:7" hidden="1">
      <c r="A2209" s="202" t="s">
        <v>1419</v>
      </c>
      <c r="B2209" s="203">
        <v>47500</v>
      </c>
      <c r="C2209" s="203">
        <v>0</v>
      </c>
      <c r="D2209" s="202" t="s">
        <v>440</v>
      </c>
      <c r="E2209" s="202" t="s">
        <v>638</v>
      </c>
      <c r="F2209" s="202" t="s">
        <v>652</v>
      </c>
      <c r="G2209" s="202" t="s">
        <v>688</v>
      </c>
    </row>
    <row r="2210" spans="1:7" hidden="1">
      <c r="A2210" s="202" t="s">
        <v>1420</v>
      </c>
      <c r="B2210" s="203">
        <v>2200</v>
      </c>
      <c r="C2210" s="203">
        <v>0</v>
      </c>
      <c r="D2210" s="202" t="s">
        <v>442</v>
      </c>
      <c r="E2210" s="202" t="s">
        <v>638</v>
      </c>
      <c r="F2210" s="202" t="s">
        <v>396</v>
      </c>
      <c r="G2210" s="202" t="s">
        <v>688</v>
      </c>
    </row>
    <row r="2211" spans="1:7" hidden="1">
      <c r="A2211" s="202" t="s">
        <v>1421</v>
      </c>
      <c r="B2211" s="203">
        <v>1050</v>
      </c>
      <c r="C2211" s="203">
        <v>0</v>
      </c>
      <c r="D2211" s="202" t="s">
        <v>442</v>
      </c>
      <c r="E2211" s="202" t="s">
        <v>638</v>
      </c>
      <c r="F2211" s="202" t="s">
        <v>396</v>
      </c>
      <c r="G2211" s="202" t="s">
        <v>688</v>
      </c>
    </row>
    <row r="2212" spans="1:7" hidden="1">
      <c r="A2212" s="202" t="s">
        <v>1422</v>
      </c>
      <c r="B2212" s="203">
        <v>3000</v>
      </c>
      <c r="C2212" s="203">
        <v>0</v>
      </c>
      <c r="D2212" s="202" t="s">
        <v>442</v>
      </c>
      <c r="E2212" s="202" t="s">
        <v>638</v>
      </c>
      <c r="F2212" s="202" t="s">
        <v>396</v>
      </c>
      <c r="G2212" s="202" t="s">
        <v>688</v>
      </c>
    </row>
    <row r="2213" spans="1:7" hidden="1">
      <c r="A2213" s="202" t="s">
        <v>1423</v>
      </c>
      <c r="B2213" s="203">
        <v>16100</v>
      </c>
      <c r="C2213" s="203">
        <v>0</v>
      </c>
      <c r="D2213" s="202" t="s">
        <v>440</v>
      </c>
      <c r="E2213" s="202" t="s">
        <v>638</v>
      </c>
      <c r="F2213" s="202" t="s">
        <v>652</v>
      </c>
      <c r="G2213" s="202" t="s">
        <v>688</v>
      </c>
    </row>
    <row r="2214" spans="1:7" hidden="1">
      <c r="A2214" s="202" t="s">
        <v>1424</v>
      </c>
      <c r="B2214" s="203">
        <v>3200</v>
      </c>
      <c r="C2214" s="203">
        <v>0</v>
      </c>
      <c r="D2214" s="202" t="s">
        <v>442</v>
      </c>
      <c r="E2214" s="202" t="s">
        <v>638</v>
      </c>
      <c r="F2214" s="202" t="s">
        <v>396</v>
      </c>
      <c r="G2214" s="202" t="s">
        <v>688</v>
      </c>
    </row>
    <row r="2215" spans="1:7" hidden="1">
      <c r="A2215" s="202" t="s">
        <v>1425</v>
      </c>
      <c r="B2215" s="203">
        <v>2300</v>
      </c>
      <c r="C2215" s="203">
        <v>0</v>
      </c>
      <c r="D2215" s="202" t="s">
        <v>442</v>
      </c>
      <c r="E2215" s="202" t="s">
        <v>638</v>
      </c>
      <c r="F2215" s="202" t="s">
        <v>396</v>
      </c>
      <c r="G2215" s="202" t="s">
        <v>688</v>
      </c>
    </row>
    <row r="2216" spans="1:7" hidden="1">
      <c r="A2216" s="202" t="s">
        <v>1426</v>
      </c>
      <c r="B2216" s="203">
        <v>2500</v>
      </c>
      <c r="C2216" s="203">
        <v>0</v>
      </c>
      <c r="D2216" s="202" t="s">
        <v>442</v>
      </c>
      <c r="E2216" s="202" t="s">
        <v>638</v>
      </c>
      <c r="F2216" s="202" t="s">
        <v>396</v>
      </c>
      <c r="G2216" s="202" t="s">
        <v>688</v>
      </c>
    </row>
    <row r="2217" spans="1:7" hidden="1">
      <c r="A2217" s="202" t="s">
        <v>1427</v>
      </c>
      <c r="B2217" s="203">
        <v>3700</v>
      </c>
      <c r="C2217" s="203">
        <v>0</v>
      </c>
      <c r="D2217" s="202" t="s">
        <v>442</v>
      </c>
      <c r="E2217" s="202" t="s">
        <v>638</v>
      </c>
      <c r="F2217" s="202" t="s">
        <v>396</v>
      </c>
      <c r="G2217" s="202" t="s">
        <v>688</v>
      </c>
    </row>
    <row r="2218" spans="1:7" hidden="1">
      <c r="A2218" s="202" t="s">
        <v>1428</v>
      </c>
      <c r="B2218" s="203">
        <v>25400</v>
      </c>
      <c r="C2218" s="203">
        <v>0</v>
      </c>
      <c r="D2218" s="202" t="s">
        <v>440</v>
      </c>
      <c r="E2218" s="202" t="s">
        <v>638</v>
      </c>
      <c r="F2218" s="202" t="s">
        <v>652</v>
      </c>
      <c r="G2218" s="202" t="s">
        <v>688</v>
      </c>
    </row>
    <row r="2219" spans="1:7" hidden="1">
      <c r="A2219" s="202" t="s">
        <v>1429</v>
      </c>
      <c r="B2219" s="203">
        <v>54600</v>
      </c>
      <c r="C2219" s="203">
        <v>0</v>
      </c>
      <c r="D2219" s="202" t="s">
        <v>440</v>
      </c>
      <c r="E2219" s="202" t="s">
        <v>638</v>
      </c>
      <c r="F2219" s="202" t="s">
        <v>652</v>
      </c>
      <c r="G2219" s="202" t="s">
        <v>688</v>
      </c>
    </row>
    <row r="2220" spans="1:7" hidden="1">
      <c r="A2220" s="202" t="s">
        <v>1430</v>
      </c>
      <c r="B2220" s="203">
        <v>36000</v>
      </c>
      <c r="C2220" s="203">
        <v>0</v>
      </c>
      <c r="D2220" s="202" t="s">
        <v>440</v>
      </c>
      <c r="E2220" s="202" t="s">
        <v>638</v>
      </c>
      <c r="F2220" s="202" t="s">
        <v>652</v>
      </c>
      <c r="G2220" s="202" t="s">
        <v>688</v>
      </c>
    </row>
    <row r="2221" spans="1:7" hidden="1">
      <c r="A2221" s="202" t="s">
        <v>1431</v>
      </c>
      <c r="B2221" s="203">
        <v>126700</v>
      </c>
      <c r="C2221" s="203">
        <v>0</v>
      </c>
      <c r="D2221" s="202" t="s">
        <v>440</v>
      </c>
      <c r="E2221" s="202" t="s">
        <v>638</v>
      </c>
      <c r="F2221" s="202" t="s">
        <v>409</v>
      </c>
      <c r="G2221" s="202" t="s">
        <v>688</v>
      </c>
    </row>
    <row r="2222" spans="1:7" hidden="1">
      <c r="A2222" s="202" t="s">
        <v>1432</v>
      </c>
      <c r="B2222" s="203">
        <v>3600</v>
      </c>
      <c r="C2222" s="203">
        <v>0</v>
      </c>
      <c r="D2222" s="202" t="s">
        <v>440</v>
      </c>
      <c r="E2222" s="202" t="s">
        <v>638</v>
      </c>
      <c r="F2222" s="202" t="s">
        <v>652</v>
      </c>
      <c r="G2222" s="202" t="s">
        <v>688</v>
      </c>
    </row>
    <row r="2223" spans="1:7" hidden="1">
      <c r="A2223" s="202" t="s">
        <v>1433</v>
      </c>
      <c r="B2223" s="203">
        <v>20200</v>
      </c>
      <c r="C2223" s="203">
        <v>0</v>
      </c>
      <c r="D2223" s="202" t="s">
        <v>474</v>
      </c>
      <c r="E2223" s="202" t="s">
        <v>638</v>
      </c>
      <c r="F2223" s="202" t="s">
        <v>396</v>
      </c>
      <c r="G2223" s="202" t="s">
        <v>688</v>
      </c>
    </row>
    <row r="2224" spans="1:7" hidden="1">
      <c r="A2224" s="202" t="s">
        <v>1434</v>
      </c>
      <c r="B2224" s="203">
        <v>-129200</v>
      </c>
      <c r="C2224" s="203">
        <v>0</v>
      </c>
      <c r="D2224" s="202" t="s">
        <v>440</v>
      </c>
      <c r="E2224" s="202" t="s">
        <v>638</v>
      </c>
      <c r="F2224" s="202" t="s">
        <v>652</v>
      </c>
      <c r="G2224" s="202" t="s">
        <v>688</v>
      </c>
    </row>
    <row r="2225" spans="1:7" hidden="1">
      <c r="A2225" s="202" t="s">
        <v>1435</v>
      </c>
      <c r="B2225" s="203">
        <v>-3900</v>
      </c>
      <c r="C2225" s="203">
        <v>0</v>
      </c>
      <c r="D2225" s="202" t="s">
        <v>442</v>
      </c>
      <c r="E2225" s="202" t="s">
        <v>638</v>
      </c>
      <c r="F2225" s="202" t="s">
        <v>396</v>
      </c>
      <c r="G2225" s="202" t="s">
        <v>688</v>
      </c>
    </row>
    <row r="2226" spans="1:7" hidden="1">
      <c r="A2226" s="202" t="s">
        <v>1436</v>
      </c>
      <c r="B2226" s="203">
        <v>-5600</v>
      </c>
      <c r="C2226" s="203">
        <v>0</v>
      </c>
      <c r="D2226" s="202" t="s">
        <v>442</v>
      </c>
      <c r="E2226" s="202" t="s">
        <v>638</v>
      </c>
      <c r="F2226" s="202" t="s">
        <v>396</v>
      </c>
      <c r="G2226" s="202" t="s">
        <v>688</v>
      </c>
    </row>
    <row r="2227" spans="1:7" hidden="1">
      <c r="A2227" s="202" t="s">
        <v>1437</v>
      </c>
      <c r="B2227" s="203">
        <v>35900</v>
      </c>
      <c r="C2227" s="203">
        <v>0</v>
      </c>
      <c r="D2227" s="202" t="s">
        <v>440</v>
      </c>
      <c r="E2227" s="202" t="s">
        <v>638</v>
      </c>
      <c r="F2227" s="202" t="s">
        <v>652</v>
      </c>
      <c r="G2227" s="202" t="s">
        <v>688</v>
      </c>
    </row>
    <row r="2228" spans="1:7" hidden="1">
      <c r="A2228" s="202" t="s">
        <v>1438</v>
      </c>
      <c r="B2228" s="203">
        <v>6500</v>
      </c>
      <c r="C2228" s="203">
        <v>0</v>
      </c>
      <c r="D2228" s="202" t="s">
        <v>440</v>
      </c>
      <c r="E2228" s="202" t="s">
        <v>638</v>
      </c>
      <c r="F2228" s="202" t="s">
        <v>652</v>
      </c>
      <c r="G2228" s="202" t="s">
        <v>688</v>
      </c>
    </row>
    <row r="2229" spans="1:7" hidden="1">
      <c r="A2229" s="202" t="s">
        <v>1439</v>
      </c>
      <c r="B2229" s="203">
        <v>5400</v>
      </c>
      <c r="C2229" s="203">
        <v>0</v>
      </c>
      <c r="D2229" s="202" t="s">
        <v>442</v>
      </c>
      <c r="E2229" s="202" t="s">
        <v>638</v>
      </c>
      <c r="F2229" s="202" t="s">
        <v>396</v>
      </c>
      <c r="G2229" s="202" t="s">
        <v>688</v>
      </c>
    </row>
    <row r="2230" spans="1:7" hidden="1">
      <c r="A2230" s="202" t="s">
        <v>1440</v>
      </c>
      <c r="B2230" s="203">
        <v>2540</v>
      </c>
      <c r="C2230" s="203">
        <v>0</v>
      </c>
      <c r="D2230" s="202" t="s">
        <v>442</v>
      </c>
      <c r="E2230" s="202" t="s">
        <v>638</v>
      </c>
      <c r="F2230" s="202" t="s">
        <v>396</v>
      </c>
      <c r="G2230" s="202" t="s">
        <v>688</v>
      </c>
    </row>
    <row r="2231" spans="1:7" hidden="1">
      <c r="A2231" s="202" t="s">
        <v>1441</v>
      </c>
      <c r="B2231" s="203">
        <v>2000</v>
      </c>
      <c r="C2231" s="203">
        <v>0</v>
      </c>
      <c r="D2231" s="202" t="s">
        <v>442</v>
      </c>
      <c r="E2231" s="202" t="s">
        <v>638</v>
      </c>
      <c r="F2231" s="202" t="s">
        <v>396</v>
      </c>
      <c r="G2231" s="202" t="s">
        <v>688</v>
      </c>
    </row>
    <row r="2232" spans="1:7" hidden="1">
      <c r="A2232" s="202" t="s">
        <v>1442</v>
      </c>
      <c r="B2232" s="203">
        <v>3272</v>
      </c>
      <c r="C2232" s="203">
        <v>0</v>
      </c>
      <c r="D2232" s="202" t="s">
        <v>440</v>
      </c>
      <c r="E2232" s="202" t="s">
        <v>638</v>
      </c>
      <c r="F2232" s="202" t="s">
        <v>652</v>
      </c>
      <c r="G2232" s="202" t="s">
        <v>688</v>
      </c>
    </row>
    <row r="2233" spans="1:7" hidden="1">
      <c r="A2233" s="202" t="s">
        <v>1443</v>
      </c>
      <c r="B2233" s="203">
        <v>20000</v>
      </c>
      <c r="C2233" s="203">
        <v>0</v>
      </c>
      <c r="D2233" s="202" t="s">
        <v>440</v>
      </c>
      <c r="E2233" s="202" t="s">
        <v>638</v>
      </c>
      <c r="F2233" s="202" t="s">
        <v>652</v>
      </c>
      <c r="G2233" s="202" t="s">
        <v>688</v>
      </c>
    </row>
    <row r="2234" spans="1:7" hidden="1">
      <c r="A2234" s="202" t="s">
        <v>1444</v>
      </c>
      <c r="B2234" s="203">
        <v>17400</v>
      </c>
      <c r="C2234" s="203">
        <v>0</v>
      </c>
      <c r="D2234" s="202" t="s">
        <v>440</v>
      </c>
      <c r="E2234" s="202" t="s">
        <v>638</v>
      </c>
      <c r="F2234" s="202" t="s">
        <v>652</v>
      </c>
      <c r="G2234" s="202" t="s">
        <v>688</v>
      </c>
    </row>
    <row r="2235" spans="1:7" hidden="1">
      <c r="A2235" s="202" t="s">
        <v>1445</v>
      </c>
      <c r="B2235" s="203">
        <v>1700</v>
      </c>
      <c r="C2235" s="203">
        <v>0</v>
      </c>
      <c r="D2235" s="202" t="s">
        <v>442</v>
      </c>
      <c r="E2235" s="202" t="s">
        <v>638</v>
      </c>
      <c r="F2235" s="202" t="s">
        <v>396</v>
      </c>
      <c r="G2235" s="202" t="s">
        <v>688</v>
      </c>
    </row>
    <row r="2236" spans="1:7" hidden="1">
      <c r="A2236" s="202" t="s">
        <v>1446</v>
      </c>
      <c r="B2236" s="203">
        <v>-28000</v>
      </c>
      <c r="C2236" s="203">
        <v>0</v>
      </c>
      <c r="D2236" s="202" t="s">
        <v>440</v>
      </c>
      <c r="E2236" s="202" t="s">
        <v>638</v>
      </c>
      <c r="F2236" s="202" t="s">
        <v>409</v>
      </c>
      <c r="G2236" s="202" t="s">
        <v>688</v>
      </c>
    </row>
    <row r="2237" spans="1:7" hidden="1">
      <c r="A2237" s="202" t="s">
        <v>1447</v>
      </c>
      <c r="B2237" s="203">
        <v>3300</v>
      </c>
      <c r="C2237" s="203">
        <v>0</v>
      </c>
      <c r="D2237" s="202" t="s">
        <v>442</v>
      </c>
      <c r="E2237" s="202" t="s">
        <v>638</v>
      </c>
      <c r="F2237" s="202" t="s">
        <v>396</v>
      </c>
      <c r="G2237" s="202" t="s">
        <v>688</v>
      </c>
    </row>
    <row r="2238" spans="1:7" hidden="1">
      <c r="A2238" s="202" t="s">
        <v>1448</v>
      </c>
      <c r="B2238" s="203">
        <v>52800</v>
      </c>
      <c r="C2238" s="203">
        <v>0</v>
      </c>
      <c r="D2238" s="202" t="s">
        <v>440</v>
      </c>
      <c r="E2238" s="202" t="s">
        <v>638</v>
      </c>
      <c r="F2238" s="202" t="s">
        <v>652</v>
      </c>
      <c r="G2238" s="202" t="s">
        <v>688</v>
      </c>
    </row>
    <row r="2239" spans="1:7" hidden="1">
      <c r="A2239" s="202" t="s">
        <v>1449</v>
      </c>
      <c r="B2239" s="203">
        <v>2100</v>
      </c>
      <c r="C2239" s="203">
        <v>0</v>
      </c>
      <c r="D2239" s="202" t="s">
        <v>442</v>
      </c>
      <c r="E2239" s="202" t="s">
        <v>638</v>
      </c>
      <c r="F2239" s="202" t="s">
        <v>396</v>
      </c>
      <c r="G2239" s="202" t="s">
        <v>688</v>
      </c>
    </row>
    <row r="2240" spans="1:7" hidden="1">
      <c r="A2240" s="202" t="s">
        <v>1450</v>
      </c>
      <c r="B2240" s="203">
        <v>31500</v>
      </c>
      <c r="C2240" s="203">
        <v>0</v>
      </c>
      <c r="D2240" s="202" t="s">
        <v>440</v>
      </c>
      <c r="E2240" s="202" t="s">
        <v>638</v>
      </c>
      <c r="F2240" s="202" t="s">
        <v>652</v>
      </c>
      <c r="G2240" s="202" t="s">
        <v>688</v>
      </c>
    </row>
    <row r="2241" spans="1:7" hidden="1">
      <c r="A2241" s="202" t="s">
        <v>1451</v>
      </c>
      <c r="B2241" s="203">
        <v>21300</v>
      </c>
      <c r="C2241" s="203">
        <v>0</v>
      </c>
      <c r="D2241" s="202" t="s">
        <v>440</v>
      </c>
      <c r="E2241" s="202" t="s">
        <v>638</v>
      </c>
      <c r="F2241" s="202" t="s">
        <v>652</v>
      </c>
      <c r="G2241" s="202" t="s">
        <v>688</v>
      </c>
    </row>
    <row r="2242" spans="1:7" hidden="1">
      <c r="A2242" s="202" t="s">
        <v>1452</v>
      </c>
      <c r="B2242" s="203">
        <v>8300</v>
      </c>
      <c r="C2242" s="203">
        <v>0</v>
      </c>
      <c r="D2242" s="202" t="s">
        <v>440</v>
      </c>
      <c r="E2242" s="202" t="s">
        <v>638</v>
      </c>
      <c r="F2242" s="202" t="s">
        <v>652</v>
      </c>
      <c r="G2242" s="202" t="s">
        <v>688</v>
      </c>
    </row>
    <row r="2243" spans="1:7" hidden="1">
      <c r="A2243" s="202" t="s">
        <v>1453</v>
      </c>
      <c r="B2243" s="203">
        <v>19900</v>
      </c>
      <c r="C2243" s="203">
        <v>0</v>
      </c>
      <c r="D2243" s="202" t="s">
        <v>440</v>
      </c>
      <c r="E2243" s="202" t="s">
        <v>638</v>
      </c>
      <c r="F2243" s="202" t="s">
        <v>652</v>
      </c>
      <c r="G2243" s="202" t="s">
        <v>688</v>
      </c>
    </row>
    <row r="2244" spans="1:7" hidden="1">
      <c r="A2244" s="202" t="s">
        <v>1454</v>
      </c>
      <c r="B2244" s="203">
        <v>25600</v>
      </c>
      <c r="C2244" s="203">
        <v>0</v>
      </c>
      <c r="D2244" s="202" t="s">
        <v>440</v>
      </c>
      <c r="E2244" s="202" t="s">
        <v>638</v>
      </c>
      <c r="F2244" s="202" t="s">
        <v>652</v>
      </c>
      <c r="G2244" s="202" t="s">
        <v>688</v>
      </c>
    </row>
    <row r="2245" spans="1:7" hidden="1">
      <c r="A2245" s="202" t="s">
        <v>1455</v>
      </c>
      <c r="B2245" s="203">
        <v>7700</v>
      </c>
      <c r="C2245" s="203">
        <v>0</v>
      </c>
      <c r="D2245" s="202" t="s">
        <v>440</v>
      </c>
      <c r="E2245" s="202" t="s">
        <v>638</v>
      </c>
      <c r="F2245" s="202" t="s">
        <v>652</v>
      </c>
      <c r="G2245" s="202" t="s">
        <v>688</v>
      </c>
    </row>
    <row r="2246" spans="1:7" hidden="1">
      <c r="A2246" s="202" t="s">
        <v>1456</v>
      </c>
      <c r="B2246" s="203">
        <v>4000</v>
      </c>
      <c r="C2246" s="203">
        <v>0</v>
      </c>
      <c r="D2246" s="202" t="s">
        <v>440</v>
      </c>
      <c r="E2246" s="202" t="s">
        <v>638</v>
      </c>
      <c r="F2246" s="202" t="s">
        <v>652</v>
      </c>
      <c r="G2246" s="202" t="s">
        <v>688</v>
      </c>
    </row>
    <row r="2247" spans="1:7" hidden="1">
      <c r="A2247" s="202" t="s">
        <v>1457</v>
      </c>
      <c r="B2247" s="203">
        <v>10700</v>
      </c>
      <c r="C2247" s="203">
        <v>0</v>
      </c>
      <c r="D2247" s="202" t="s">
        <v>440</v>
      </c>
      <c r="E2247" s="202" t="s">
        <v>638</v>
      </c>
      <c r="F2247" s="202" t="s">
        <v>652</v>
      </c>
      <c r="G2247" s="202" t="s">
        <v>688</v>
      </c>
    </row>
    <row r="2248" spans="1:7" hidden="1">
      <c r="A2248" s="202" t="s">
        <v>1458</v>
      </c>
      <c r="B2248" s="203">
        <v>11900</v>
      </c>
      <c r="C2248" s="203">
        <v>0</v>
      </c>
      <c r="D2248" s="202" t="s">
        <v>442</v>
      </c>
      <c r="E2248" s="202" t="s">
        <v>638</v>
      </c>
      <c r="F2248" s="202" t="s">
        <v>396</v>
      </c>
      <c r="G2248" s="202" t="s">
        <v>688</v>
      </c>
    </row>
    <row r="2249" spans="1:7" hidden="1">
      <c r="A2249" s="202" t="s">
        <v>1459</v>
      </c>
      <c r="B2249" s="203">
        <v>38200</v>
      </c>
      <c r="C2249" s="203">
        <v>0</v>
      </c>
      <c r="D2249" s="202" t="s">
        <v>440</v>
      </c>
      <c r="E2249" s="202" t="s">
        <v>638</v>
      </c>
      <c r="F2249" s="202" t="s">
        <v>652</v>
      </c>
      <c r="G2249" s="202" t="s">
        <v>688</v>
      </c>
    </row>
    <row r="2250" spans="1:7" hidden="1">
      <c r="A2250" s="202" t="s">
        <v>1460</v>
      </c>
      <c r="B2250" s="203">
        <v>31000</v>
      </c>
      <c r="C2250" s="203">
        <v>0</v>
      </c>
      <c r="D2250" s="202" t="s">
        <v>440</v>
      </c>
      <c r="E2250" s="202" t="s">
        <v>638</v>
      </c>
      <c r="F2250" s="202" t="s">
        <v>652</v>
      </c>
      <c r="G2250" s="202" t="s">
        <v>688</v>
      </c>
    </row>
    <row r="2251" spans="1:7" hidden="1">
      <c r="A2251" s="202" t="s">
        <v>1461</v>
      </c>
      <c r="B2251" s="203">
        <v>5620</v>
      </c>
      <c r="C2251" s="203">
        <v>0</v>
      </c>
      <c r="D2251" s="202" t="s">
        <v>440</v>
      </c>
      <c r="E2251" s="202" t="s">
        <v>638</v>
      </c>
      <c r="F2251" s="202" t="s">
        <v>652</v>
      </c>
      <c r="G2251" s="202" t="s">
        <v>688</v>
      </c>
    </row>
    <row r="2252" spans="1:7" hidden="1">
      <c r="A2252" s="202" t="s">
        <v>1462</v>
      </c>
      <c r="B2252" s="203">
        <v>7300</v>
      </c>
      <c r="C2252" s="203">
        <v>0</v>
      </c>
      <c r="D2252" s="202" t="s">
        <v>440</v>
      </c>
      <c r="E2252" s="202" t="s">
        <v>638</v>
      </c>
      <c r="F2252" s="202" t="s">
        <v>652</v>
      </c>
      <c r="G2252" s="202" t="s">
        <v>688</v>
      </c>
    </row>
    <row r="2253" spans="1:7" hidden="1">
      <c r="A2253" s="202" t="s">
        <v>1463</v>
      </c>
      <c r="B2253" s="203">
        <v>5800</v>
      </c>
      <c r="C2253" s="203">
        <v>0</v>
      </c>
      <c r="D2253" s="202" t="s">
        <v>442</v>
      </c>
      <c r="E2253" s="202" t="s">
        <v>638</v>
      </c>
      <c r="F2253" s="202" t="s">
        <v>396</v>
      </c>
      <c r="G2253" s="202" t="s">
        <v>688</v>
      </c>
    </row>
    <row r="2254" spans="1:7" hidden="1">
      <c r="A2254" s="202" t="s">
        <v>1464</v>
      </c>
      <c r="B2254" s="203">
        <v>5700</v>
      </c>
      <c r="C2254" s="203">
        <v>0</v>
      </c>
      <c r="D2254" s="202" t="s">
        <v>442</v>
      </c>
      <c r="E2254" s="202" t="s">
        <v>638</v>
      </c>
      <c r="F2254" s="202" t="s">
        <v>396</v>
      </c>
      <c r="G2254" s="202" t="s">
        <v>688</v>
      </c>
    </row>
    <row r="2255" spans="1:7" hidden="1">
      <c r="A2255" s="202" t="s">
        <v>1465</v>
      </c>
      <c r="B2255" s="203">
        <v>3400</v>
      </c>
      <c r="C2255" s="203">
        <v>0</v>
      </c>
      <c r="D2255" s="202" t="s">
        <v>442</v>
      </c>
      <c r="E2255" s="202" t="s">
        <v>638</v>
      </c>
      <c r="F2255" s="202" t="s">
        <v>396</v>
      </c>
      <c r="G2255" s="202" t="s">
        <v>688</v>
      </c>
    </row>
    <row r="2256" spans="1:7" hidden="1">
      <c r="A2256" s="202" t="s">
        <v>1466</v>
      </c>
      <c r="B2256" s="203">
        <v>2200</v>
      </c>
      <c r="C2256" s="203">
        <v>0</v>
      </c>
      <c r="D2256" s="202" t="s">
        <v>442</v>
      </c>
      <c r="E2256" s="202" t="s">
        <v>638</v>
      </c>
      <c r="F2256" s="202" t="s">
        <v>396</v>
      </c>
      <c r="G2256" s="202" t="s">
        <v>688</v>
      </c>
    </row>
    <row r="2257" spans="1:7" hidden="1">
      <c r="A2257" s="202" t="s">
        <v>1467</v>
      </c>
      <c r="B2257" s="203">
        <v>32700</v>
      </c>
      <c r="C2257" s="203">
        <v>0</v>
      </c>
      <c r="D2257" s="202" t="s">
        <v>440</v>
      </c>
      <c r="E2257" s="202" t="s">
        <v>638</v>
      </c>
      <c r="F2257" s="202" t="s">
        <v>652</v>
      </c>
      <c r="G2257" s="202" t="s">
        <v>688</v>
      </c>
    </row>
    <row r="2258" spans="1:7" hidden="1">
      <c r="A2258" s="202" t="s">
        <v>1468</v>
      </c>
      <c r="B2258" s="203">
        <v>17100</v>
      </c>
      <c r="C2258" s="203">
        <v>0</v>
      </c>
      <c r="D2258" s="202" t="s">
        <v>440</v>
      </c>
      <c r="E2258" s="202" t="s">
        <v>638</v>
      </c>
      <c r="F2258" s="202" t="s">
        <v>652</v>
      </c>
      <c r="G2258" s="202" t="s">
        <v>688</v>
      </c>
    </row>
    <row r="2259" spans="1:7" hidden="1">
      <c r="A2259" s="202" t="s">
        <v>1469</v>
      </c>
      <c r="B2259" s="203">
        <v>9600</v>
      </c>
      <c r="C2259" s="203">
        <v>0</v>
      </c>
      <c r="D2259" s="202" t="s">
        <v>440</v>
      </c>
      <c r="E2259" s="202" t="s">
        <v>638</v>
      </c>
      <c r="F2259" s="202" t="s">
        <v>652</v>
      </c>
      <c r="G2259" s="202" t="s">
        <v>688</v>
      </c>
    </row>
    <row r="2260" spans="1:7" hidden="1">
      <c r="A2260" s="202" t="s">
        <v>1470</v>
      </c>
      <c r="B2260" s="203">
        <v>41500</v>
      </c>
      <c r="C2260" s="203">
        <v>0</v>
      </c>
      <c r="D2260" s="202" t="s">
        <v>440</v>
      </c>
      <c r="E2260" s="202" t="s">
        <v>638</v>
      </c>
      <c r="F2260" s="202" t="s">
        <v>652</v>
      </c>
      <c r="G2260" s="202" t="s">
        <v>688</v>
      </c>
    </row>
    <row r="2261" spans="1:7" hidden="1">
      <c r="A2261" s="202" t="s">
        <v>1471</v>
      </c>
      <c r="B2261" s="203">
        <v>3600</v>
      </c>
      <c r="C2261" s="203">
        <v>0</v>
      </c>
      <c r="D2261" s="202" t="s">
        <v>442</v>
      </c>
      <c r="E2261" s="202" t="s">
        <v>638</v>
      </c>
      <c r="F2261" s="202" t="s">
        <v>396</v>
      </c>
      <c r="G2261" s="202" t="s">
        <v>688</v>
      </c>
    </row>
    <row r="2262" spans="1:7" hidden="1">
      <c r="A2262" s="202" t="s">
        <v>1472</v>
      </c>
      <c r="B2262" s="203">
        <v>12300</v>
      </c>
      <c r="C2262" s="203">
        <v>0</v>
      </c>
      <c r="D2262" s="202" t="s">
        <v>440</v>
      </c>
      <c r="E2262" s="202" t="s">
        <v>638</v>
      </c>
      <c r="F2262" s="202" t="s">
        <v>652</v>
      </c>
      <c r="G2262" s="202" t="s">
        <v>688</v>
      </c>
    </row>
    <row r="2263" spans="1:7" hidden="1">
      <c r="A2263" s="202" t="s">
        <v>1473</v>
      </c>
      <c r="B2263" s="203">
        <v>1100</v>
      </c>
      <c r="C2263" s="203">
        <v>0</v>
      </c>
      <c r="D2263" s="202" t="s">
        <v>442</v>
      </c>
      <c r="E2263" s="202" t="s">
        <v>638</v>
      </c>
      <c r="F2263" s="202" t="s">
        <v>396</v>
      </c>
      <c r="G2263" s="202" t="s">
        <v>688</v>
      </c>
    </row>
    <row r="2264" spans="1:7" hidden="1">
      <c r="A2264" s="202" t="s">
        <v>1474</v>
      </c>
      <c r="B2264" s="203">
        <v>1000</v>
      </c>
      <c r="C2264" s="203">
        <v>0</v>
      </c>
      <c r="D2264" s="202" t="s">
        <v>442</v>
      </c>
      <c r="E2264" s="202" t="s">
        <v>638</v>
      </c>
      <c r="F2264" s="202" t="s">
        <v>396</v>
      </c>
      <c r="G2264" s="202" t="s">
        <v>688</v>
      </c>
    </row>
    <row r="2265" spans="1:7" hidden="1">
      <c r="A2265" s="202" t="s">
        <v>1475</v>
      </c>
      <c r="B2265" s="203">
        <v>4900</v>
      </c>
      <c r="C2265" s="203">
        <v>0</v>
      </c>
      <c r="D2265" s="202" t="s">
        <v>440</v>
      </c>
      <c r="E2265" s="202" t="s">
        <v>638</v>
      </c>
      <c r="F2265" s="202" t="s">
        <v>652</v>
      </c>
      <c r="G2265" s="202" t="s">
        <v>688</v>
      </c>
    </row>
    <row r="2266" spans="1:7" hidden="1">
      <c r="A2266" s="202" t="s">
        <v>1476</v>
      </c>
      <c r="B2266" s="203">
        <v>700</v>
      </c>
      <c r="C2266" s="203">
        <v>0</v>
      </c>
      <c r="D2266" s="202" t="s">
        <v>442</v>
      </c>
      <c r="E2266" s="202" t="s">
        <v>638</v>
      </c>
      <c r="F2266" s="202" t="s">
        <v>396</v>
      </c>
      <c r="G2266" s="202" t="s">
        <v>688</v>
      </c>
    </row>
    <row r="2267" spans="1:7" hidden="1">
      <c r="A2267" s="202" t="s">
        <v>1477</v>
      </c>
      <c r="B2267" s="203">
        <v>1000</v>
      </c>
      <c r="C2267" s="203">
        <v>0</v>
      </c>
      <c r="D2267" s="202" t="s">
        <v>442</v>
      </c>
      <c r="E2267" s="202" t="s">
        <v>638</v>
      </c>
      <c r="F2267" s="202" t="s">
        <v>396</v>
      </c>
      <c r="G2267" s="202" t="s">
        <v>688</v>
      </c>
    </row>
    <row r="2268" spans="1:7" hidden="1">
      <c r="A2268" s="202" t="s">
        <v>1478</v>
      </c>
      <c r="B2268" s="203">
        <v>700</v>
      </c>
      <c r="C2268" s="203">
        <v>0</v>
      </c>
      <c r="D2268" s="202" t="s">
        <v>442</v>
      </c>
      <c r="E2268" s="202" t="s">
        <v>638</v>
      </c>
      <c r="F2268" s="202" t="s">
        <v>396</v>
      </c>
      <c r="G2268" s="202" t="s">
        <v>688</v>
      </c>
    </row>
    <row r="2269" spans="1:7" hidden="1">
      <c r="A2269" s="202" t="s">
        <v>1479</v>
      </c>
      <c r="B2269" s="203">
        <v>1100</v>
      </c>
      <c r="C2269" s="203">
        <v>0</v>
      </c>
      <c r="D2269" s="202" t="s">
        <v>442</v>
      </c>
      <c r="E2269" s="202" t="s">
        <v>638</v>
      </c>
      <c r="F2269" s="202" t="s">
        <v>396</v>
      </c>
      <c r="G2269" s="202" t="s">
        <v>688</v>
      </c>
    </row>
    <row r="2270" spans="1:7" hidden="1">
      <c r="A2270" s="202" t="s">
        <v>1480</v>
      </c>
      <c r="B2270" s="203">
        <v>2300</v>
      </c>
      <c r="C2270" s="203">
        <v>0</v>
      </c>
      <c r="D2270" s="202" t="s">
        <v>440</v>
      </c>
      <c r="E2270" s="202" t="s">
        <v>638</v>
      </c>
      <c r="F2270" s="202" t="s">
        <v>652</v>
      </c>
      <c r="G2270" s="202" t="s">
        <v>688</v>
      </c>
    </row>
    <row r="2271" spans="1:7" hidden="1">
      <c r="A2271" s="202" t="s">
        <v>1481</v>
      </c>
      <c r="B2271" s="203">
        <v>13200</v>
      </c>
      <c r="C2271" s="203">
        <v>0</v>
      </c>
      <c r="D2271" s="202" t="s">
        <v>440</v>
      </c>
      <c r="E2271" s="202" t="s">
        <v>638</v>
      </c>
      <c r="F2271" s="202" t="s">
        <v>652</v>
      </c>
      <c r="G2271" s="202" t="s">
        <v>688</v>
      </c>
    </row>
    <row r="2272" spans="1:7" hidden="1">
      <c r="A2272" s="202" t="s">
        <v>1482</v>
      </c>
      <c r="B2272" s="203">
        <v>1000</v>
      </c>
      <c r="C2272" s="203">
        <v>0</v>
      </c>
      <c r="D2272" s="202" t="s">
        <v>442</v>
      </c>
      <c r="E2272" s="202" t="s">
        <v>638</v>
      </c>
      <c r="F2272" s="202" t="s">
        <v>396</v>
      </c>
      <c r="G2272" s="202" t="s">
        <v>688</v>
      </c>
    </row>
    <row r="2273" spans="1:7" hidden="1">
      <c r="A2273" s="202" t="s">
        <v>1483</v>
      </c>
      <c r="B2273" s="203">
        <v>7200</v>
      </c>
      <c r="C2273" s="203">
        <v>0</v>
      </c>
      <c r="D2273" s="202" t="s">
        <v>440</v>
      </c>
      <c r="E2273" s="202" t="s">
        <v>638</v>
      </c>
      <c r="F2273" s="202" t="s">
        <v>652</v>
      </c>
      <c r="G2273" s="202" t="s">
        <v>688</v>
      </c>
    </row>
    <row r="2274" spans="1:7" hidden="1">
      <c r="A2274" s="202" t="s">
        <v>1484</v>
      </c>
      <c r="B2274" s="203">
        <v>10300</v>
      </c>
      <c r="C2274" s="203">
        <v>0</v>
      </c>
      <c r="D2274" s="202" t="s">
        <v>440</v>
      </c>
      <c r="E2274" s="202" t="s">
        <v>638</v>
      </c>
      <c r="F2274" s="202" t="s">
        <v>652</v>
      </c>
      <c r="G2274" s="202" t="s">
        <v>688</v>
      </c>
    </row>
    <row r="2275" spans="1:7" hidden="1">
      <c r="A2275" s="202" t="s">
        <v>1485</v>
      </c>
      <c r="B2275" s="203">
        <v>5200</v>
      </c>
      <c r="C2275" s="203">
        <v>0</v>
      </c>
      <c r="D2275" s="202" t="s">
        <v>440</v>
      </c>
      <c r="E2275" s="202" t="s">
        <v>638</v>
      </c>
      <c r="F2275" s="202" t="s">
        <v>652</v>
      </c>
      <c r="G2275" s="202" t="s">
        <v>688</v>
      </c>
    </row>
    <row r="2276" spans="1:7" hidden="1">
      <c r="A2276" s="202" t="s">
        <v>1486</v>
      </c>
      <c r="B2276" s="203">
        <v>-1100</v>
      </c>
      <c r="C2276" s="203">
        <v>0</v>
      </c>
      <c r="D2276" s="202" t="s">
        <v>440</v>
      </c>
      <c r="E2276" s="202" t="s">
        <v>638</v>
      </c>
      <c r="F2276" s="202" t="s">
        <v>409</v>
      </c>
      <c r="G2276" s="202" t="s">
        <v>688</v>
      </c>
    </row>
    <row r="2277" spans="1:7" hidden="1">
      <c r="A2277" s="202" t="s">
        <v>1487</v>
      </c>
      <c r="B2277" s="203">
        <v>1700</v>
      </c>
      <c r="C2277" s="203">
        <v>0</v>
      </c>
      <c r="D2277" s="202" t="s">
        <v>440</v>
      </c>
      <c r="E2277" s="202" t="s">
        <v>638</v>
      </c>
      <c r="F2277" s="202" t="s">
        <v>652</v>
      </c>
      <c r="G2277" s="202" t="s">
        <v>688</v>
      </c>
    </row>
    <row r="2278" spans="1:7" hidden="1">
      <c r="A2278" s="202" t="s">
        <v>1488</v>
      </c>
      <c r="B2278" s="203">
        <v>32200</v>
      </c>
      <c r="C2278" s="203">
        <v>0</v>
      </c>
      <c r="D2278" s="202" t="s">
        <v>440</v>
      </c>
      <c r="E2278" s="202" t="s">
        <v>638</v>
      </c>
      <c r="F2278" s="202" t="s">
        <v>652</v>
      </c>
      <c r="G2278" s="202" t="s">
        <v>688</v>
      </c>
    </row>
    <row r="2279" spans="1:7" hidden="1">
      <c r="A2279" s="202" t="s">
        <v>1489</v>
      </c>
      <c r="B2279" s="203">
        <v>14600</v>
      </c>
      <c r="C2279" s="203">
        <v>0</v>
      </c>
      <c r="D2279" s="202" t="s">
        <v>440</v>
      </c>
      <c r="E2279" s="202" t="s">
        <v>638</v>
      </c>
      <c r="F2279" s="202" t="s">
        <v>652</v>
      </c>
      <c r="G2279" s="202" t="s">
        <v>688</v>
      </c>
    </row>
    <row r="2280" spans="1:7" hidden="1">
      <c r="A2280" s="202" t="s">
        <v>1490</v>
      </c>
      <c r="B2280" s="203">
        <v>5600</v>
      </c>
      <c r="C2280" s="203">
        <v>0</v>
      </c>
      <c r="D2280" s="202" t="s">
        <v>440</v>
      </c>
      <c r="E2280" s="202" t="s">
        <v>638</v>
      </c>
      <c r="F2280" s="202" t="s">
        <v>652</v>
      </c>
      <c r="G2280" s="202" t="s">
        <v>688</v>
      </c>
    </row>
    <row r="2281" spans="1:7" hidden="1">
      <c r="A2281" s="202" t="s">
        <v>1491</v>
      </c>
      <c r="B2281" s="203">
        <v>1900</v>
      </c>
      <c r="C2281" s="203">
        <v>0</v>
      </c>
      <c r="D2281" s="202" t="s">
        <v>442</v>
      </c>
      <c r="E2281" s="202" t="s">
        <v>638</v>
      </c>
      <c r="F2281" s="202" t="s">
        <v>396</v>
      </c>
      <c r="G2281" s="202" t="s">
        <v>688</v>
      </c>
    </row>
    <row r="2282" spans="1:7" hidden="1">
      <c r="A2282" s="202" t="s">
        <v>1492</v>
      </c>
      <c r="B2282" s="203">
        <v>700</v>
      </c>
      <c r="C2282" s="203">
        <v>0</v>
      </c>
      <c r="D2282" s="202" t="s">
        <v>442</v>
      </c>
      <c r="E2282" s="202" t="s">
        <v>638</v>
      </c>
      <c r="F2282" s="202" t="s">
        <v>396</v>
      </c>
      <c r="G2282" s="202" t="s">
        <v>688</v>
      </c>
    </row>
    <row r="2283" spans="1:7" hidden="1">
      <c r="A2283" s="202" t="s">
        <v>1493</v>
      </c>
      <c r="B2283" s="203">
        <v>800</v>
      </c>
      <c r="C2283" s="203">
        <v>0</v>
      </c>
      <c r="D2283" s="202" t="s">
        <v>442</v>
      </c>
      <c r="E2283" s="202" t="s">
        <v>638</v>
      </c>
      <c r="F2283" s="202" t="s">
        <v>396</v>
      </c>
      <c r="G2283" s="202" t="s">
        <v>688</v>
      </c>
    </row>
    <row r="2284" spans="1:7" hidden="1">
      <c r="A2284" s="202" t="s">
        <v>1494</v>
      </c>
      <c r="B2284" s="203">
        <v>800</v>
      </c>
      <c r="C2284" s="203">
        <v>0</v>
      </c>
      <c r="D2284" s="202" t="s">
        <v>442</v>
      </c>
      <c r="E2284" s="202" t="s">
        <v>638</v>
      </c>
      <c r="F2284" s="202" t="s">
        <v>396</v>
      </c>
      <c r="G2284" s="202" t="s">
        <v>688</v>
      </c>
    </row>
    <row r="2285" spans="1:7" hidden="1">
      <c r="A2285" s="202" t="s">
        <v>1495</v>
      </c>
      <c r="B2285" s="203">
        <v>21500</v>
      </c>
      <c r="C2285" s="203">
        <v>0</v>
      </c>
      <c r="D2285" s="202" t="s">
        <v>440</v>
      </c>
      <c r="E2285" s="202" t="s">
        <v>638</v>
      </c>
      <c r="F2285" s="202" t="s">
        <v>652</v>
      </c>
      <c r="G2285" s="202" t="s">
        <v>688</v>
      </c>
    </row>
    <row r="2286" spans="1:7" hidden="1">
      <c r="A2286" s="202" t="s">
        <v>1496</v>
      </c>
      <c r="B2286" s="203">
        <v>600</v>
      </c>
      <c r="C2286" s="203">
        <v>0</v>
      </c>
      <c r="D2286" s="202" t="s">
        <v>442</v>
      </c>
      <c r="E2286" s="202" t="s">
        <v>638</v>
      </c>
      <c r="F2286" s="202" t="s">
        <v>396</v>
      </c>
      <c r="G2286" s="202" t="s">
        <v>688</v>
      </c>
    </row>
    <row r="2287" spans="1:7" hidden="1">
      <c r="A2287" s="202" t="s">
        <v>1497</v>
      </c>
      <c r="B2287" s="203">
        <v>1000</v>
      </c>
      <c r="C2287" s="203">
        <v>0</v>
      </c>
      <c r="D2287" s="202" t="s">
        <v>442</v>
      </c>
      <c r="E2287" s="202" t="s">
        <v>638</v>
      </c>
      <c r="F2287" s="202" t="s">
        <v>396</v>
      </c>
      <c r="G2287" s="202" t="s">
        <v>688</v>
      </c>
    </row>
    <row r="2288" spans="1:7" hidden="1">
      <c r="A2288" s="202" t="s">
        <v>1498</v>
      </c>
      <c r="B2288" s="203">
        <v>4500</v>
      </c>
      <c r="C2288" s="203">
        <v>0</v>
      </c>
      <c r="D2288" s="202" t="s">
        <v>440</v>
      </c>
      <c r="E2288" s="202" t="s">
        <v>638</v>
      </c>
      <c r="F2288" s="202" t="s">
        <v>652</v>
      </c>
      <c r="G2288" s="202" t="s">
        <v>688</v>
      </c>
    </row>
    <row r="2289" spans="1:7" hidden="1">
      <c r="A2289" s="202" t="s">
        <v>1499</v>
      </c>
      <c r="B2289" s="203">
        <v>-123400</v>
      </c>
      <c r="C2289" s="203">
        <v>0</v>
      </c>
      <c r="D2289" s="202" t="s">
        <v>440</v>
      </c>
      <c r="E2289" s="202" t="s">
        <v>638</v>
      </c>
      <c r="F2289" s="202" t="s">
        <v>652</v>
      </c>
      <c r="G2289" s="202" t="s">
        <v>688</v>
      </c>
    </row>
    <row r="2290" spans="1:7" hidden="1">
      <c r="A2290" s="202" t="s">
        <v>1500</v>
      </c>
      <c r="B2290" s="203">
        <v>-39300</v>
      </c>
      <c r="C2290" s="203">
        <v>0</v>
      </c>
      <c r="D2290" s="202" t="s">
        <v>442</v>
      </c>
      <c r="E2290" s="202" t="s">
        <v>638</v>
      </c>
      <c r="F2290" s="202" t="s">
        <v>396</v>
      </c>
      <c r="G2290" s="202" t="s">
        <v>688</v>
      </c>
    </row>
    <row r="2291" spans="1:7" hidden="1">
      <c r="A2291" s="202" t="s">
        <v>1501</v>
      </c>
      <c r="B2291" s="203">
        <v>9180</v>
      </c>
      <c r="C2291" s="203">
        <v>0</v>
      </c>
      <c r="D2291" s="202" t="s">
        <v>440</v>
      </c>
      <c r="E2291" s="202" t="s">
        <v>638</v>
      </c>
      <c r="F2291" s="202" t="s">
        <v>652</v>
      </c>
      <c r="G2291" s="202" t="s">
        <v>688</v>
      </c>
    </row>
    <row r="2292" spans="1:7" hidden="1">
      <c r="A2292" s="202" t="s">
        <v>1502</v>
      </c>
      <c r="B2292" s="203">
        <v>30000</v>
      </c>
      <c r="C2292" s="203">
        <v>0</v>
      </c>
      <c r="D2292" s="202" t="s">
        <v>440</v>
      </c>
      <c r="E2292" s="202" t="s">
        <v>638</v>
      </c>
      <c r="F2292" s="202" t="s">
        <v>652</v>
      </c>
      <c r="G2292" s="202" t="s">
        <v>688</v>
      </c>
    </row>
    <row r="2293" spans="1:7" hidden="1">
      <c r="A2293" s="202" t="s">
        <v>1503</v>
      </c>
      <c r="B2293" s="203">
        <v>8900</v>
      </c>
      <c r="C2293" s="203">
        <v>0</v>
      </c>
      <c r="D2293" s="202" t="s">
        <v>442</v>
      </c>
      <c r="E2293" s="202" t="s">
        <v>638</v>
      </c>
      <c r="F2293" s="202" t="s">
        <v>396</v>
      </c>
      <c r="G2293" s="202" t="s">
        <v>688</v>
      </c>
    </row>
    <row r="2294" spans="1:7" hidden="1">
      <c r="A2294" s="202" t="s">
        <v>1504</v>
      </c>
      <c r="B2294" s="203">
        <v>5100</v>
      </c>
      <c r="C2294" s="203">
        <v>0</v>
      </c>
      <c r="D2294" s="202" t="s">
        <v>442</v>
      </c>
      <c r="E2294" s="202" t="s">
        <v>638</v>
      </c>
      <c r="F2294" s="202" t="s">
        <v>396</v>
      </c>
      <c r="G2294" s="202" t="s">
        <v>688</v>
      </c>
    </row>
    <row r="2295" spans="1:7" hidden="1">
      <c r="A2295" s="202" t="s">
        <v>1505</v>
      </c>
      <c r="B2295" s="203">
        <v>500</v>
      </c>
      <c r="C2295" s="203">
        <v>0</v>
      </c>
      <c r="D2295" s="202" t="s">
        <v>442</v>
      </c>
      <c r="E2295" s="202" t="s">
        <v>638</v>
      </c>
      <c r="F2295" s="202" t="s">
        <v>396</v>
      </c>
      <c r="G2295" s="202" t="s">
        <v>688</v>
      </c>
    </row>
    <row r="2296" spans="1:7" hidden="1">
      <c r="A2296" s="202" t="s">
        <v>1506</v>
      </c>
      <c r="B2296" s="203">
        <v>-26515</v>
      </c>
      <c r="C2296" s="203">
        <v>0</v>
      </c>
      <c r="D2296" s="202" t="s">
        <v>442</v>
      </c>
      <c r="E2296" s="202" t="s">
        <v>638</v>
      </c>
      <c r="F2296" s="202" t="s">
        <v>396</v>
      </c>
      <c r="G2296" s="202" t="s">
        <v>688</v>
      </c>
    </row>
    <row r="2297" spans="1:7" hidden="1">
      <c r="A2297" s="202" t="s">
        <v>1506</v>
      </c>
      <c r="B2297" s="203">
        <v>-6100</v>
      </c>
      <c r="C2297" s="203">
        <v>0</v>
      </c>
      <c r="D2297" s="202" t="s">
        <v>474</v>
      </c>
      <c r="E2297" s="202" t="s">
        <v>638</v>
      </c>
      <c r="F2297" s="202" t="s">
        <v>396</v>
      </c>
      <c r="G2297" s="202" t="s">
        <v>688</v>
      </c>
    </row>
    <row r="2298" spans="1:7" hidden="1">
      <c r="A2298" s="202" t="s">
        <v>1507</v>
      </c>
      <c r="B2298" s="203">
        <v>-11517</v>
      </c>
      <c r="C2298" s="203">
        <v>0</v>
      </c>
      <c r="D2298" s="202" t="s">
        <v>440</v>
      </c>
      <c r="E2298" s="202" t="s">
        <v>638</v>
      </c>
      <c r="F2298" s="202" t="s">
        <v>409</v>
      </c>
      <c r="G2298" s="202" t="s">
        <v>688</v>
      </c>
    </row>
    <row r="2299" spans="1:7" hidden="1">
      <c r="A2299" s="202" t="s">
        <v>1508</v>
      </c>
      <c r="B2299" s="203">
        <v>17400</v>
      </c>
      <c r="C2299" s="203">
        <v>0</v>
      </c>
      <c r="D2299" s="202" t="s">
        <v>440</v>
      </c>
      <c r="E2299" s="202" t="s">
        <v>638</v>
      </c>
      <c r="F2299" s="202" t="s">
        <v>652</v>
      </c>
      <c r="G2299" s="202" t="s">
        <v>688</v>
      </c>
    </row>
    <row r="2300" spans="1:7" hidden="1">
      <c r="A2300" s="202" t="s">
        <v>1509</v>
      </c>
      <c r="B2300" s="203">
        <v>27900</v>
      </c>
      <c r="C2300" s="203">
        <v>0</v>
      </c>
      <c r="D2300" s="202" t="s">
        <v>474</v>
      </c>
      <c r="E2300" s="202" t="s">
        <v>638</v>
      </c>
      <c r="F2300" s="202" t="s">
        <v>396</v>
      </c>
      <c r="G2300" s="202" t="s">
        <v>688</v>
      </c>
    </row>
    <row r="2301" spans="1:7" hidden="1">
      <c r="A2301" s="202" t="s">
        <v>1510</v>
      </c>
      <c r="B2301" s="203">
        <v>45000</v>
      </c>
      <c r="C2301" s="203">
        <v>0</v>
      </c>
      <c r="D2301" s="202" t="s">
        <v>440</v>
      </c>
      <c r="E2301" s="202" t="s">
        <v>638</v>
      </c>
      <c r="F2301" s="202" t="s">
        <v>652</v>
      </c>
      <c r="G2301" s="202" t="s">
        <v>688</v>
      </c>
    </row>
    <row r="2302" spans="1:7" hidden="1">
      <c r="A2302" s="202" t="s">
        <v>1511</v>
      </c>
      <c r="B2302" s="203">
        <v>62300</v>
      </c>
      <c r="C2302" s="203">
        <v>0</v>
      </c>
      <c r="D2302" s="202" t="s">
        <v>440</v>
      </c>
      <c r="E2302" s="202" t="s">
        <v>638</v>
      </c>
      <c r="F2302" s="202" t="s">
        <v>652</v>
      </c>
      <c r="G2302" s="202" t="s">
        <v>688</v>
      </c>
    </row>
    <row r="2303" spans="1:7" hidden="1">
      <c r="A2303" s="202" t="s">
        <v>1512</v>
      </c>
      <c r="B2303" s="203">
        <v>31400</v>
      </c>
      <c r="C2303" s="203">
        <v>0</v>
      </c>
      <c r="D2303" s="202" t="s">
        <v>440</v>
      </c>
      <c r="E2303" s="202" t="s">
        <v>638</v>
      </c>
      <c r="F2303" s="202" t="s">
        <v>652</v>
      </c>
      <c r="G2303" s="202" t="s">
        <v>688</v>
      </c>
    </row>
    <row r="2304" spans="1:7" hidden="1">
      <c r="A2304" s="202" t="s">
        <v>1513</v>
      </c>
      <c r="B2304" s="203">
        <v>21000</v>
      </c>
      <c r="C2304" s="203">
        <v>0</v>
      </c>
      <c r="D2304" s="202" t="s">
        <v>440</v>
      </c>
      <c r="E2304" s="202" t="s">
        <v>638</v>
      </c>
      <c r="F2304" s="202" t="s">
        <v>652</v>
      </c>
      <c r="G2304" s="202" t="s">
        <v>688</v>
      </c>
    </row>
    <row r="2305" spans="1:7" hidden="1">
      <c r="A2305" s="202" t="s">
        <v>1514</v>
      </c>
      <c r="B2305" s="203">
        <v>13000</v>
      </c>
      <c r="C2305" s="203">
        <v>0</v>
      </c>
      <c r="D2305" s="202" t="s">
        <v>442</v>
      </c>
      <c r="E2305" s="202" t="s">
        <v>638</v>
      </c>
      <c r="F2305" s="202" t="s">
        <v>396</v>
      </c>
      <c r="G2305" s="202" t="s">
        <v>688</v>
      </c>
    </row>
    <row r="2306" spans="1:7" hidden="1">
      <c r="A2306" s="202" t="s">
        <v>1515</v>
      </c>
      <c r="B2306" s="203">
        <v>18700</v>
      </c>
      <c r="C2306" s="203">
        <v>0</v>
      </c>
      <c r="D2306" s="202" t="s">
        <v>440</v>
      </c>
      <c r="E2306" s="202" t="s">
        <v>638</v>
      </c>
      <c r="F2306" s="202" t="s">
        <v>652</v>
      </c>
      <c r="G2306" s="202" t="s">
        <v>688</v>
      </c>
    </row>
    <row r="2307" spans="1:7" hidden="1">
      <c r="A2307" s="202" t="s">
        <v>1516</v>
      </c>
      <c r="B2307" s="203">
        <v>27000</v>
      </c>
      <c r="C2307" s="203">
        <v>0</v>
      </c>
      <c r="D2307" s="202" t="s">
        <v>440</v>
      </c>
      <c r="E2307" s="202" t="s">
        <v>638</v>
      </c>
      <c r="F2307" s="202" t="s">
        <v>652</v>
      </c>
      <c r="G2307" s="202" t="s">
        <v>688</v>
      </c>
    </row>
    <row r="2308" spans="1:7" hidden="1">
      <c r="A2308" s="202" t="s">
        <v>1517</v>
      </c>
      <c r="B2308" s="203">
        <v>19600</v>
      </c>
      <c r="C2308" s="203">
        <v>0</v>
      </c>
      <c r="D2308" s="202" t="s">
        <v>440</v>
      </c>
      <c r="E2308" s="202" t="s">
        <v>638</v>
      </c>
      <c r="F2308" s="202" t="s">
        <v>652</v>
      </c>
      <c r="G2308" s="202" t="s">
        <v>688</v>
      </c>
    </row>
    <row r="2309" spans="1:7" hidden="1">
      <c r="A2309" s="202" t="s">
        <v>1518</v>
      </c>
      <c r="B2309" s="203">
        <v>18300</v>
      </c>
      <c r="C2309" s="203">
        <v>0</v>
      </c>
      <c r="D2309" s="202" t="s">
        <v>440</v>
      </c>
      <c r="E2309" s="202" t="s">
        <v>638</v>
      </c>
      <c r="F2309" s="202" t="s">
        <v>652</v>
      </c>
      <c r="G2309" s="202" t="s">
        <v>688</v>
      </c>
    </row>
    <row r="2310" spans="1:7" hidden="1">
      <c r="A2310" s="202" t="s">
        <v>1519</v>
      </c>
      <c r="B2310" s="203">
        <v>64200</v>
      </c>
      <c r="C2310" s="203">
        <v>0</v>
      </c>
      <c r="D2310" s="202" t="s">
        <v>440</v>
      </c>
      <c r="E2310" s="202" t="s">
        <v>638</v>
      </c>
      <c r="F2310" s="202" t="s">
        <v>652</v>
      </c>
      <c r="G2310" s="202" t="s">
        <v>688</v>
      </c>
    </row>
    <row r="2311" spans="1:7" hidden="1">
      <c r="A2311" s="202" t="s">
        <v>1520</v>
      </c>
      <c r="B2311" s="203">
        <v>35000</v>
      </c>
      <c r="C2311" s="203">
        <v>0</v>
      </c>
      <c r="D2311" s="202" t="s">
        <v>440</v>
      </c>
      <c r="E2311" s="202" t="s">
        <v>638</v>
      </c>
      <c r="F2311" s="202" t="s">
        <v>652</v>
      </c>
      <c r="G2311" s="202" t="s">
        <v>688</v>
      </c>
    </row>
    <row r="2312" spans="1:7" hidden="1">
      <c r="A2312" s="202" t="s">
        <v>1521</v>
      </c>
      <c r="B2312" s="203">
        <v>77900</v>
      </c>
      <c r="C2312" s="203">
        <v>0</v>
      </c>
      <c r="D2312" s="202" t="s">
        <v>440</v>
      </c>
      <c r="E2312" s="202" t="s">
        <v>638</v>
      </c>
      <c r="F2312" s="202" t="s">
        <v>409</v>
      </c>
      <c r="G2312" s="202" t="s">
        <v>688</v>
      </c>
    </row>
    <row r="2313" spans="1:7" hidden="1">
      <c r="A2313" s="202" t="s">
        <v>1522</v>
      </c>
      <c r="B2313" s="203">
        <v>14600</v>
      </c>
      <c r="C2313" s="203">
        <v>0</v>
      </c>
      <c r="D2313" s="202" t="s">
        <v>442</v>
      </c>
      <c r="E2313" s="202" t="s">
        <v>638</v>
      </c>
      <c r="F2313" s="202" t="s">
        <v>396</v>
      </c>
      <c r="G2313" s="202" t="s">
        <v>688</v>
      </c>
    </row>
    <row r="2314" spans="1:7" hidden="1">
      <c r="A2314" s="202" t="s">
        <v>1523</v>
      </c>
      <c r="B2314" s="203">
        <v>24000</v>
      </c>
      <c r="C2314" s="203">
        <v>0</v>
      </c>
      <c r="D2314" s="202" t="s">
        <v>440</v>
      </c>
      <c r="E2314" s="202" t="s">
        <v>638</v>
      </c>
      <c r="F2314" s="202" t="s">
        <v>652</v>
      </c>
      <c r="G2314" s="202" t="s">
        <v>688</v>
      </c>
    </row>
    <row r="2315" spans="1:7" hidden="1">
      <c r="A2315" s="202" t="s">
        <v>1524</v>
      </c>
      <c r="B2315" s="203">
        <v>28000</v>
      </c>
      <c r="C2315" s="203">
        <v>0</v>
      </c>
      <c r="D2315" s="202" t="s">
        <v>440</v>
      </c>
      <c r="E2315" s="202" t="s">
        <v>638</v>
      </c>
      <c r="F2315" s="202" t="s">
        <v>652</v>
      </c>
      <c r="G2315" s="202" t="s">
        <v>688</v>
      </c>
    </row>
    <row r="2316" spans="1:7" hidden="1">
      <c r="A2316" s="202" t="s">
        <v>1525</v>
      </c>
      <c r="B2316" s="203">
        <v>22300</v>
      </c>
      <c r="C2316" s="203">
        <v>0</v>
      </c>
      <c r="D2316" s="202" t="s">
        <v>440</v>
      </c>
      <c r="E2316" s="202" t="s">
        <v>638</v>
      </c>
      <c r="F2316" s="202" t="s">
        <v>652</v>
      </c>
      <c r="G2316" s="202" t="s">
        <v>688</v>
      </c>
    </row>
    <row r="2317" spans="1:7" hidden="1">
      <c r="A2317" s="202" t="s">
        <v>1526</v>
      </c>
      <c r="B2317" s="203">
        <v>52600</v>
      </c>
      <c r="C2317" s="203">
        <v>0</v>
      </c>
      <c r="D2317" s="202" t="s">
        <v>442</v>
      </c>
      <c r="E2317" s="202" t="s">
        <v>638</v>
      </c>
      <c r="F2317" s="202" t="s">
        <v>396</v>
      </c>
      <c r="G2317" s="202" t="s">
        <v>688</v>
      </c>
    </row>
    <row r="2318" spans="1:7" hidden="1">
      <c r="A2318" s="202" t="s">
        <v>1527</v>
      </c>
      <c r="B2318" s="203">
        <v>36800</v>
      </c>
      <c r="C2318" s="203">
        <v>0</v>
      </c>
      <c r="D2318" s="202" t="s">
        <v>440</v>
      </c>
      <c r="E2318" s="202" t="s">
        <v>638</v>
      </c>
      <c r="F2318" s="202" t="s">
        <v>652</v>
      </c>
      <c r="G2318" s="202" t="s">
        <v>688</v>
      </c>
    </row>
    <row r="2319" spans="1:7" hidden="1">
      <c r="A2319" s="202" t="s">
        <v>1528</v>
      </c>
      <c r="B2319" s="203">
        <v>23900</v>
      </c>
      <c r="C2319" s="203">
        <v>0</v>
      </c>
      <c r="D2319" s="202" t="s">
        <v>442</v>
      </c>
      <c r="E2319" s="202" t="s">
        <v>638</v>
      </c>
      <c r="F2319" s="202" t="s">
        <v>396</v>
      </c>
      <c r="G2319" s="202" t="s">
        <v>688</v>
      </c>
    </row>
    <row r="2320" spans="1:7" hidden="1">
      <c r="A2320" s="202" t="s">
        <v>1529</v>
      </c>
      <c r="B2320" s="203">
        <v>17100</v>
      </c>
      <c r="C2320" s="203">
        <v>0</v>
      </c>
      <c r="D2320" s="202" t="s">
        <v>440</v>
      </c>
      <c r="E2320" s="202" t="s">
        <v>638</v>
      </c>
      <c r="F2320" s="202" t="s">
        <v>652</v>
      </c>
      <c r="G2320" s="202" t="s">
        <v>688</v>
      </c>
    </row>
    <row r="2321" spans="1:7" hidden="1">
      <c r="A2321" s="202" t="s">
        <v>1530</v>
      </c>
      <c r="B2321" s="203">
        <v>14100</v>
      </c>
      <c r="C2321" s="203">
        <v>0</v>
      </c>
      <c r="D2321" s="202" t="s">
        <v>440</v>
      </c>
      <c r="E2321" s="202" t="s">
        <v>638</v>
      </c>
      <c r="F2321" s="202" t="s">
        <v>652</v>
      </c>
      <c r="G2321" s="202" t="s">
        <v>688</v>
      </c>
    </row>
    <row r="2322" spans="1:7" hidden="1">
      <c r="A2322" s="202" t="s">
        <v>1531</v>
      </c>
      <c r="B2322" s="203">
        <v>8100</v>
      </c>
      <c r="C2322" s="203">
        <v>0</v>
      </c>
      <c r="D2322" s="202" t="s">
        <v>442</v>
      </c>
      <c r="E2322" s="202" t="s">
        <v>638</v>
      </c>
      <c r="F2322" s="202" t="s">
        <v>396</v>
      </c>
      <c r="G2322" s="202" t="s">
        <v>688</v>
      </c>
    </row>
    <row r="2323" spans="1:7" hidden="1">
      <c r="A2323" s="202" t="s">
        <v>1532</v>
      </c>
      <c r="B2323" s="203">
        <v>59800</v>
      </c>
      <c r="C2323" s="203">
        <v>0</v>
      </c>
      <c r="D2323" s="202" t="s">
        <v>440</v>
      </c>
      <c r="E2323" s="202" t="s">
        <v>638</v>
      </c>
      <c r="F2323" s="202" t="s">
        <v>652</v>
      </c>
      <c r="G2323" s="202" t="s">
        <v>688</v>
      </c>
    </row>
    <row r="2324" spans="1:7" hidden="1">
      <c r="A2324" s="202" t="s">
        <v>1533</v>
      </c>
      <c r="B2324" s="203">
        <v>4900</v>
      </c>
      <c r="C2324" s="203">
        <v>0</v>
      </c>
      <c r="D2324" s="202" t="s">
        <v>440</v>
      </c>
      <c r="E2324" s="202" t="s">
        <v>638</v>
      </c>
      <c r="F2324" s="202" t="s">
        <v>652</v>
      </c>
      <c r="G2324" s="202" t="s">
        <v>688</v>
      </c>
    </row>
    <row r="2325" spans="1:7" hidden="1">
      <c r="A2325" s="202" t="s">
        <v>1534</v>
      </c>
      <c r="B2325" s="203">
        <v>7500</v>
      </c>
      <c r="C2325" s="203">
        <v>0</v>
      </c>
      <c r="D2325" s="202" t="s">
        <v>442</v>
      </c>
      <c r="E2325" s="202" t="s">
        <v>638</v>
      </c>
      <c r="F2325" s="202" t="s">
        <v>396</v>
      </c>
      <c r="G2325" s="202" t="s">
        <v>688</v>
      </c>
    </row>
    <row r="2326" spans="1:7" hidden="1">
      <c r="A2326" s="202" t="s">
        <v>1535</v>
      </c>
      <c r="B2326" s="203">
        <v>156400</v>
      </c>
      <c r="C2326" s="203">
        <v>0</v>
      </c>
      <c r="D2326" s="202" t="s">
        <v>440</v>
      </c>
      <c r="E2326" s="202" t="s">
        <v>638</v>
      </c>
      <c r="F2326" s="202" t="s">
        <v>652</v>
      </c>
      <c r="G2326" s="202" t="s">
        <v>688</v>
      </c>
    </row>
    <row r="2327" spans="1:7" hidden="1">
      <c r="A2327" s="202" t="s">
        <v>1536</v>
      </c>
      <c r="B2327" s="203">
        <v>7500</v>
      </c>
      <c r="C2327" s="203">
        <v>0</v>
      </c>
      <c r="D2327" s="202" t="s">
        <v>440</v>
      </c>
      <c r="E2327" s="202" t="s">
        <v>638</v>
      </c>
      <c r="F2327" s="202" t="s">
        <v>652</v>
      </c>
      <c r="G2327" s="202" t="s">
        <v>688</v>
      </c>
    </row>
    <row r="2328" spans="1:7" hidden="1">
      <c r="A2328" s="202" t="s">
        <v>1537</v>
      </c>
      <c r="B2328" s="203">
        <v>1500</v>
      </c>
      <c r="C2328" s="203">
        <v>0</v>
      </c>
      <c r="D2328" s="202" t="s">
        <v>442</v>
      </c>
      <c r="E2328" s="202" t="s">
        <v>638</v>
      </c>
      <c r="F2328" s="202" t="s">
        <v>396</v>
      </c>
      <c r="G2328" s="202" t="s">
        <v>688</v>
      </c>
    </row>
    <row r="2329" spans="1:7" hidden="1">
      <c r="A2329" s="202" t="s">
        <v>1538</v>
      </c>
      <c r="B2329" s="203">
        <v>8000</v>
      </c>
      <c r="C2329" s="203">
        <v>0</v>
      </c>
      <c r="D2329" s="202" t="s">
        <v>440</v>
      </c>
      <c r="E2329" s="202" t="s">
        <v>638</v>
      </c>
      <c r="F2329" s="202" t="s">
        <v>652</v>
      </c>
      <c r="G2329" s="202" t="s">
        <v>688</v>
      </c>
    </row>
    <row r="2330" spans="1:7" hidden="1">
      <c r="A2330" s="202" t="s">
        <v>1539</v>
      </c>
      <c r="B2330" s="203">
        <v>21100</v>
      </c>
      <c r="C2330" s="203">
        <v>0</v>
      </c>
      <c r="D2330" s="202" t="s">
        <v>440</v>
      </c>
      <c r="E2330" s="202" t="s">
        <v>638</v>
      </c>
      <c r="F2330" s="202" t="s">
        <v>652</v>
      </c>
      <c r="G2330" s="202" t="s">
        <v>688</v>
      </c>
    </row>
    <row r="2331" spans="1:7" hidden="1">
      <c r="A2331" s="202" t="s">
        <v>1540</v>
      </c>
      <c r="B2331" s="203">
        <v>1200</v>
      </c>
      <c r="C2331" s="203">
        <v>0</v>
      </c>
      <c r="D2331" s="202" t="s">
        <v>442</v>
      </c>
      <c r="E2331" s="202" t="s">
        <v>638</v>
      </c>
      <c r="F2331" s="202" t="s">
        <v>396</v>
      </c>
      <c r="G2331" s="202" t="s">
        <v>688</v>
      </c>
    </row>
    <row r="2332" spans="1:7" hidden="1">
      <c r="A2332" s="202" t="s">
        <v>1541</v>
      </c>
      <c r="B2332" s="203">
        <v>14700</v>
      </c>
      <c r="C2332" s="203">
        <v>0</v>
      </c>
      <c r="D2332" s="202" t="s">
        <v>440</v>
      </c>
      <c r="E2332" s="202" t="s">
        <v>638</v>
      </c>
      <c r="F2332" s="202" t="s">
        <v>652</v>
      </c>
      <c r="G2332" s="202" t="s">
        <v>688</v>
      </c>
    </row>
    <row r="2333" spans="1:7" hidden="1">
      <c r="A2333" s="202" t="s">
        <v>1542</v>
      </c>
      <c r="B2333" s="203">
        <v>1500</v>
      </c>
      <c r="C2333" s="203">
        <v>0</v>
      </c>
      <c r="D2333" s="202" t="s">
        <v>442</v>
      </c>
      <c r="E2333" s="202" t="s">
        <v>638</v>
      </c>
      <c r="F2333" s="202" t="s">
        <v>396</v>
      </c>
      <c r="G2333" s="202" t="s">
        <v>688</v>
      </c>
    </row>
    <row r="2334" spans="1:7" hidden="1">
      <c r="A2334" s="202" t="s">
        <v>1543</v>
      </c>
      <c r="B2334" s="203">
        <v>-32300</v>
      </c>
      <c r="C2334" s="203">
        <v>0</v>
      </c>
      <c r="D2334" s="202" t="s">
        <v>440</v>
      </c>
      <c r="E2334" s="202" t="s">
        <v>638</v>
      </c>
      <c r="F2334" s="202" t="s">
        <v>409</v>
      </c>
      <c r="G2334" s="202" t="s">
        <v>688</v>
      </c>
    </row>
    <row r="2335" spans="1:7" hidden="1">
      <c r="A2335" s="202" t="s">
        <v>1544</v>
      </c>
      <c r="B2335" s="203">
        <v>1400</v>
      </c>
      <c r="C2335" s="203">
        <v>0</v>
      </c>
      <c r="D2335" s="202" t="s">
        <v>442</v>
      </c>
      <c r="E2335" s="202" t="s">
        <v>638</v>
      </c>
      <c r="F2335" s="202" t="s">
        <v>396</v>
      </c>
      <c r="G2335" s="202" t="s">
        <v>688</v>
      </c>
    </row>
    <row r="2336" spans="1:7" hidden="1">
      <c r="A2336" s="202" t="s">
        <v>1545</v>
      </c>
      <c r="B2336" s="203">
        <v>34600</v>
      </c>
      <c r="C2336" s="203">
        <v>0</v>
      </c>
      <c r="D2336" s="202" t="s">
        <v>440</v>
      </c>
      <c r="E2336" s="202" t="s">
        <v>638</v>
      </c>
      <c r="F2336" s="202" t="s">
        <v>652</v>
      </c>
      <c r="G2336" s="202" t="s">
        <v>688</v>
      </c>
    </row>
    <row r="2337" spans="1:7" hidden="1">
      <c r="A2337" s="202" t="s">
        <v>1546</v>
      </c>
      <c r="B2337" s="203">
        <v>1300</v>
      </c>
      <c r="C2337" s="203">
        <v>0</v>
      </c>
      <c r="D2337" s="202" t="s">
        <v>442</v>
      </c>
      <c r="E2337" s="202" t="s">
        <v>638</v>
      </c>
      <c r="F2337" s="202" t="s">
        <v>396</v>
      </c>
      <c r="G2337" s="202" t="s">
        <v>688</v>
      </c>
    </row>
    <row r="2338" spans="1:7" hidden="1">
      <c r="A2338" s="202" t="s">
        <v>1547</v>
      </c>
      <c r="B2338" s="203">
        <v>9300</v>
      </c>
      <c r="C2338" s="203">
        <v>0</v>
      </c>
      <c r="D2338" s="202" t="s">
        <v>440</v>
      </c>
      <c r="E2338" s="202" t="s">
        <v>638</v>
      </c>
      <c r="F2338" s="202" t="s">
        <v>652</v>
      </c>
      <c r="G2338" s="202" t="s">
        <v>688</v>
      </c>
    </row>
    <row r="2339" spans="1:7" hidden="1">
      <c r="A2339" s="202" t="s">
        <v>1548</v>
      </c>
      <c r="B2339" s="203">
        <v>2600</v>
      </c>
      <c r="C2339" s="203">
        <v>0</v>
      </c>
      <c r="D2339" s="202" t="s">
        <v>442</v>
      </c>
      <c r="E2339" s="202" t="s">
        <v>638</v>
      </c>
      <c r="F2339" s="202" t="s">
        <v>396</v>
      </c>
      <c r="G2339" s="202" t="s">
        <v>688</v>
      </c>
    </row>
    <row r="2340" spans="1:7" hidden="1">
      <c r="A2340" s="202" t="s">
        <v>1549</v>
      </c>
      <c r="B2340" s="203">
        <v>7600</v>
      </c>
      <c r="C2340" s="203">
        <v>0</v>
      </c>
      <c r="D2340" s="202" t="s">
        <v>440</v>
      </c>
      <c r="E2340" s="202" t="s">
        <v>638</v>
      </c>
      <c r="F2340" s="202" t="s">
        <v>652</v>
      </c>
      <c r="G2340" s="202" t="s">
        <v>688</v>
      </c>
    </row>
    <row r="2341" spans="1:7" hidden="1">
      <c r="A2341" s="202" t="s">
        <v>1550</v>
      </c>
      <c r="B2341" s="203">
        <v>42000</v>
      </c>
      <c r="C2341" s="203">
        <v>0</v>
      </c>
      <c r="D2341" s="202" t="s">
        <v>440</v>
      </c>
      <c r="E2341" s="202" t="s">
        <v>638</v>
      </c>
      <c r="F2341" s="202" t="s">
        <v>652</v>
      </c>
      <c r="G2341" s="202" t="s">
        <v>688</v>
      </c>
    </row>
    <row r="2342" spans="1:7" hidden="1">
      <c r="A2342" s="202" t="s">
        <v>1551</v>
      </c>
      <c r="B2342" s="203">
        <v>29500</v>
      </c>
      <c r="C2342" s="203">
        <v>0</v>
      </c>
      <c r="D2342" s="202" t="s">
        <v>440</v>
      </c>
      <c r="E2342" s="202" t="s">
        <v>638</v>
      </c>
      <c r="F2342" s="202" t="s">
        <v>652</v>
      </c>
      <c r="G2342" s="202" t="s">
        <v>688</v>
      </c>
    </row>
    <row r="2343" spans="1:7" hidden="1">
      <c r="A2343" s="202" t="s">
        <v>1552</v>
      </c>
      <c r="B2343" s="203">
        <v>15000</v>
      </c>
      <c r="C2343" s="203">
        <v>0</v>
      </c>
      <c r="D2343" s="202" t="s">
        <v>440</v>
      </c>
      <c r="E2343" s="202" t="s">
        <v>638</v>
      </c>
      <c r="F2343" s="202" t="s">
        <v>652</v>
      </c>
      <c r="G2343" s="202" t="s">
        <v>688</v>
      </c>
    </row>
    <row r="2344" spans="1:7" hidden="1">
      <c r="A2344" s="202" t="s">
        <v>1553</v>
      </c>
      <c r="B2344" s="203">
        <v>14200</v>
      </c>
      <c r="C2344" s="203">
        <v>0</v>
      </c>
      <c r="D2344" s="202" t="s">
        <v>442</v>
      </c>
      <c r="E2344" s="202" t="s">
        <v>638</v>
      </c>
      <c r="F2344" s="202" t="s">
        <v>396</v>
      </c>
      <c r="G2344" s="202" t="s">
        <v>688</v>
      </c>
    </row>
    <row r="2345" spans="1:7" hidden="1">
      <c r="A2345" s="202" t="s">
        <v>1554</v>
      </c>
      <c r="B2345" s="203">
        <v>5000</v>
      </c>
      <c r="C2345" s="203">
        <v>0</v>
      </c>
      <c r="D2345" s="202" t="s">
        <v>440</v>
      </c>
      <c r="E2345" s="202" t="s">
        <v>638</v>
      </c>
      <c r="F2345" s="202" t="s">
        <v>652</v>
      </c>
      <c r="G2345" s="202" t="s">
        <v>688</v>
      </c>
    </row>
    <row r="2346" spans="1:7" hidden="1">
      <c r="A2346" s="202" t="s">
        <v>1555</v>
      </c>
      <c r="B2346" s="203">
        <v>47100</v>
      </c>
      <c r="C2346" s="203">
        <v>0</v>
      </c>
      <c r="D2346" s="202" t="s">
        <v>440</v>
      </c>
      <c r="E2346" s="202" t="s">
        <v>638</v>
      </c>
      <c r="F2346" s="202" t="s">
        <v>652</v>
      </c>
      <c r="G2346" s="202" t="s">
        <v>688</v>
      </c>
    </row>
    <row r="2347" spans="1:7" hidden="1">
      <c r="A2347" s="202" t="s">
        <v>1556</v>
      </c>
      <c r="B2347" s="203">
        <v>22500</v>
      </c>
      <c r="C2347" s="203">
        <v>0</v>
      </c>
      <c r="D2347" s="202" t="s">
        <v>440</v>
      </c>
      <c r="E2347" s="202" t="s">
        <v>638</v>
      </c>
      <c r="F2347" s="202" t="s">
        <v>652</v>
      </c>
      <c r="G2347" s="202" t="s">
        <v>688</v>
      </c>
    </row>
    <row r="2348" spans="1:7" hidden="1">
      <c r="A2348" s="202" t="s">
        <v>655</v>
      </c>
      <c r="B2348" s="203">
        <v>-247</v>
      </c>
      <c r="C2348" s="203">
        <v>0</v>
      </c>
      <c r="D2348" s="202" t="s">
        <v>440</v>
      </c>
      <c r="E2348" s="202" t="s">
        <v>639</v>
      </c>
      <c r="F2348" s="202" t="s">
        <v>393</v>
      </c>
      <c r="G2348" s="202" t="s">
        <v>688</v>
      </c>
    </row>
    <row r="2349" spans="1:7" hidden="1">
      <c r="A2349" s="202" t="s">
        <v>656</v>
      </c>
      <c r="B2349" s="203">
        <v>-472</v>
      </c>
      <c r="C2349" s="203">
        <v>0</v>
      </c>
      <c r="D2349" s="202" t="s">
        <v>440</v>
      </c>
      <c r="E2349" s="202" t="s">
        <v>639</v>
      </c>
      <c r="F2349" s="202" t="s">
        <v>393</v>
      </c>
      <c r="G2349" s="202" t="s">
        <v>688</v>
      </c>
    </row>
    <row r="2350" spans="1:7" hidden="1">
      <c r="A2350" s="202" t="s">
        <v>1557</v>
      </c>
      <c r="B2350" s="203">
        <v>-103800</v>
      </c>
      <c r="C2350" s="203">
        <v>0</v>
      </c>
      <c r="D2350" s="202" t="s">
        <v>440</v>
      </c>
      <c r="E2350" s="202" t="s">
        <v>638</v>
      </c>
      <c r="F2350" s="202" t="s">
        <v>652</v>
      </c>
      <c r="G2350" s="202" t="s">
        <v>688</v>
      </c>
    </row>
    <row r="2351" spans="1:7" hidden="1">
      <c r="A2351" s="202" t="s">
        <v>1558</v>
      </c>
      <c r="B2351" s="203">
        <v>7300</v>
      </c>
      <c r="C2351" s="203">
        <v>0</v>
      </c>
      <c r="D2351" s="202" t="s">
        <v>442</v>
      </c>
      <c r="E2351" s="202" t="s">
        <v>638</v>
      </c>
      <c r="F2351" s="202" t="s">
        <v>396</v>
      </c>
      <c r="G2351" s="202" t="s">
        <v>688</v>
      </c>
    </row>
    <row r="2352" spans="1:7" hidden="1">
      <c r="A2352" s="202" t="s">
        <v>1559</v>
      </c>
      <c r="B2352" s="203">
        <v>-37600</v>
      </c>
      <c r="C2352" s="203">
        <v>0</v>
      </c>
      <c r="D2352" s="202" t="s">
        <v>440</v>
      </c>
      <c r="E2352" s="202" t="s">
        <v>638</v>
      </c>
      <c r="F2352" s="202" t="s">
        <v>652</v>
      </c>
      <c r="G2352" s="202" t="s">
        <v>688</v>
      </c>
    </row>
    <row r="2353" spans="1:7" hidden="1">
      <c r="A2353" s="202" t="s">
        <v>1560</v>
      </c>
      <c r="B2353" s="203">
        <v>-14900</v>
      </c>
      <c r="C2353" s="203">
        <v>0</v>
      </c>
      <c r="D2353" s="202" t="s">
        <v>442</v>
      </c>
      <c r="E2353" s="202" t="s">
        <v>638</v>
      </c>
      <c r="F2353" s="202" t="s">
        <v>396</v>
      </c>
      <c r="G2353" s="202" t="s">
        <v>688</v>
      </c>
    </row>
    <row r="2354" spans="1:7" hidden="1">
      <c r="A2354" s="202" t="s">
        <v>1561</v>
      </c>
      <c r="B2354" s="203">
        <v>1400</v>
      </c>
      <c r="C2354" s="203">
        <v>0</v>
      </c>
      <c r="D2354" s="202" t="s">
        <v>440</v>
      </c>
      <c r="E2354" s="202" t="s">
        <v>638</v>
      </c>
      <c r="F2354" s="202" t="s">
        <v>652</v>
      </c>
      <c r="G2354" s="202" t="s">
        <v>688</v>
      </c>
    </row>
    <row r="2355" spans="1:7" hidden="1">
      <c r="A2355" s="202" t="s">
        <v>1562</v>
      </c>
      <c r="B2355" s="203">
        <v>-3200</v>
      </c>
      <c r="C2355" s="203">
        <v>0</v>
      </c>
      <c r="D2355" s="202" t="s">
        <v>442</v>
      </c>
      <c r="E2355" s="202" t="s">
        <v>638</v>
      </c>
      <c r="F2355" s="202" t="s">
        <v>396</v>
      </c>
      <c r="G2355" s="202" t="s">
        <v>688</v>
      </c>
    </row>
    <row r="2356" spans="1:7" hidden="1">
      <c r="A2356" s="202" t="s">
        <v>1563</v>
      </c>
      <c r="B2356" s="203">
        <v>10800</v>
      </c>
      <c r="C2356" s="203">
        <v>0</v>
      </c>
      <c r="D2356" s="202" t="s">
        <v>440</v>
      </c>
      <c r="E2356" s="202" t="s">
        <v>638</v>
      </c>
      <c r="F2356" s="202" t="s">
        <v>652</v>
      </c>
      <c r="G2356" s="202" t="s">
        <v>688</v>
      </c>
    </row>
    <row r="2357" spans="1:7" hidden="1">
      <c r="A2357" s="202" t="s">
        <v>1564</v>
      </c>
      <c r="B2357" s="203">
        <v>25000</v>
      </c>
      <c r="C2357" s="203">
        <v>0</v>
      </c>
      <c r="D2357" s="202" t="s">
        <v>440</v>
      </c>
      <c r="E2357" s="202" t="s">
        <v>638</v>
      </c>
      <c r="F2357" s="202" t="s">
        <v>652</v>
      </c>
      <c r="G2357" s="202" t="s">
        <v>688</v>
      </c>
    </row>
    <row r="2358" spans="1:7" hidden="1">
      <c r="A2358" s="202" t="s">
        <v>1565</v>
      </c>
      <c r="B2358" s="203">
        <v>1400</v>
      </c>
      <c r="C2358" s="203">
        <v>0</v>
      </c>
      <c r="D2358" s="202" t="s">
        <v>440</v>
      </c>
      <c r="E2358" s="202" t="s">
        <v>638</v>
      </c>
      <c r="F2358" s="202" t="s">
        <v>409</v>
      </c>
      <c r="G2358" s="202" t="s">
        <v>688</v>
      </c>
    </row>
    <row r="2359" spans="1:7" hidden="1">
      <c r="A2359" s="202" t="s">
        <v>1566</v>
      </c>
      <c r="B2359" s="203">
        <v>7700</v>
      </c>
      <c r="C2359" s="203">
        <v>0</v>
      </c>
      <c r="D2359" s="202" t="s">
        <v>440</v>
      </c>
      <c r="E2359" s="202" t="s">
        <v>638</v>
      </c>
      <c r="F2359" s="202" t="s">
        <v>652</v>
      </c>
      <c r="G2359" s="202" t="s">
        <v>688</v>
      </c>
    </row>
    <row r="2360" spans="1:7" hidden="1">
      <c r="A2360" s="202" t="s">
        <v>1567</v>
      </c>
      <c r="B2360" s="203">
        <v>19300</v>
      </c>
      <c r="C2360" s="203">
        <v>0</v>
      </c>
      <c r="D2360" s="202" t="s">
        <v>440</v>
      </c>
      <c r="E2360" s="202" t="s">
        <v>638</v>
      </c>
      <c r="F2360" s="202" t="s">
        <v>652</v>
      </c>
      <c r="G2360" s="202" t="s">
        <v>688</v>
      </c>
    </row>
    <row r="2361" spans="1:7" hidden="1">
      <c r="A2361" s="202" t="s">
        <v>1568</v>
      </c>
      <c r="B2361" s="203">
        <v>4500</v>
      </c>
      <c r="C2361" s="203">
        <v>0</v>
      </c>
      <c r="D2361" s="202" t="s">
        <v>440</v>
      </c>
      <c r="E2361" s="202" t="s">
        <v>638</v>
      </c>
      <c r="F2361" s="202" t="s">
        <v>652</v>
      </c>
      <c r="G2361" s="202" t="s">
        <v>688</v>
      </c>
    </row>
    <row r="2362" spans="1:7" hidden="1">
      <c r="A2362" s="202" t="s">
        <v>1569</v>
      </c>
      <c r="B2362" s="203">
        <v>-26800</v>
      </c>
      <c r="C2362" s="203">
        <v>0</v>
      </c>
      <c r="D2362" s="202" t="s">
        <v>442</v>
      </c>
      <c r="E2362" s="202" t="s">
        <v>638</v>
      </c>
      <c r="F2362" s="202" t="s">
        <v>396</v>
      </c>
      <c r="G2362" s="202" t="s">
        <v>688</v>
      </c>
    </row>
    <row r="2363" spans="1:7" hidden="1">
      <c r="A2363" s="202" t="s">
        <v>1570</v>
      </c>
      <c r="B2363" s="203">
        <v>16400</v>
      </c>
      <c r="C2363" s="203">
        <v>0</v>
      </c>
      <c r="D2363" s="202" t="s">
        <v>440</v>
      </c>
      <c r="E2363" s="202" t="s">
        <v>638</v>
      </c>
      <c r="F2363" s="202" t="s">
        <v>652</v>
      </c>
      <c r="G2363" s="202" t="s">
        <v>688</v>
      </c>
    </row>
    <row r="2364" spans="1:7" hidden="1">
      <c r="A2364" s="202" t="s">
        <v>1571</v>
      </c>
      <c r="B2364" s="203">
        <v>16000</v>
      </c>
      <c r="C2364" s="203">
        <v>0</v>
      </c>
      <c r="D2364" s="202" t="s">
        <v>440</v>
      </c>
      <c r="E2364" s="202" t="s">
        <v>638</v>
      </c>
      <c r="F2364" s="202" t="s">
        <v>652</v>
      </c>
      <c r="G2364" s="202" t="s">
        <v>688</v>
      </c>
    </row>
    <row r="2365" spans="1:7" hidden="1">
      <c r="A2365" s="202" t="s">
        <v>1572</v>
      </c>
      <c r="B2365" s="203">
        <v>21600</v>
      </c>
      <c r="C2365" s="203">
        <v>0</v>
      </c>
      <c r="D2365" s="202" t="s">
        <v>440</v>
      </c>
      <c r="E2365" s="202" t="s">
        <v>638</v>
      </c>
      <c r="F2365" s="202" t="s">
        <v>652</v>
      </c>
      <c r="G2365" s="202" t="s">
        <v>688</v>
      </c>
    </row>
    <row r="2366" spans="1:7" hidden="1">
      <c r="A2366" s="202" t="s">
        <v>1573</v>
      </c>
      <c r="B2366" s="203">
        <v>8000</v>
      </c>
      <c r="C2366" s="203">
        <v>0</v>
      </c>
      <c r="D2366" s="202" t="s">
        <v>440</v>
      </c>
      <c r="E2366" s="202" t="s">
        <v>638</v>
      </c>
      <c r="F2366" s="202" t="s">
        <v>652</v>
      </c>
      <c r="G2366" s="202" t="s">
        <v>688</v>
      </c>
    </row>
    <row r="2367" spans="1:7" hidden="1">
      <c r="A2367" s="202" t="s">
        <v>1574</v>
      </c>
      <c r="B2367" s="203">
        <v>37000</v>
      </c>
      <c r="C2367" s="203">
        <v>0</v>
      </c>
      <c r="D2367" s="202" t="s">
        <v>440</v>
      </c>
      <c r="E2367" s="202" t="s">
        <v>638</v>
      </c>
      <c r="F2367" s="202" t="s">
        <v>652</v>
      </c>
      <c r="G2367" s="202" t="s">
        <v>688</v>
      </c>
    </row>
    <row r="2368" spans="1:7" hidden="1">
      <c r="A2368" s="202" t="s">
        <v>1575</v>
      </c>
      <c r="B2368" s="203">
        <v>30800</v>
      </c>
      <c r="C2368" s="203">
        <v>0</v>
      </c>
      <c r="D2368" s="202" t="s">
        <v>440</v>
      </c>
      <c r="E2368" s="202" t="s">
        <v>638</v>
      </c>
      <c r="F2368" s="202" t="s">
        <v>652</v>
      </c>
      <c r="G2368" s="202" t="s">
        <v>688</v>
      </c>
    </row>
    <row r="2369" spans="1:7" hidden="1">
      <c r="A2369" s="202" t="s">
        <v>1576</v>
      </c>
      <c r="B2369" s="203">
        <v>18200</v>
      </c>
      <c r="C2369" s="203">
        <v>0</v>
      </c>
      <c r="D2369" s="202" t="s">
        <v>440</v>
      </c>
      <c r="E2369" s="202" t="s">
        <v>638</v>
      </c>
      <c r="F2369" s="202" t="s">
        <v>652</v>
      </c>
      <c r="G2369" s="202" t="s">
        <v>688</v>
      </c>
    </row>
    <row r="2370" spans="1:7" hidden="1">
      <c r="A2370" s="202" t="s">
        <v>1577</v>
      </c>
      <c r="B2370" s="203">
        <v>14746</v>
      </c>
      <c r="C2370" s="203">
        <v>0</v>
      </c>
      <c r="D2370" s="202" t="s">
        <v>440</v>
      </c>
      <c r="E2370" s="202" t="s">
        <v>638</v>
      </c>
      <c r="F2370" s="202" t="s">
        <v>652</v>
      </c>
      <c r="G2370" s="202" t="s">
        <v>688</v>
      </c>
    </row>
    <row r="2371" spans="1:7" hidden="1">
      <c r="A2371" s="202" t="s">
        <v>1578</v>
      </c>
      <c r="B2371" s="203">
        <v>14746</v>
      </c>
      <c r="C2371" s="203">
        <v>0</v>
      </c>
      <c r="D2371" s="202" t="s">
        <v>440</v>
      </c>
      <c r="E2371" s="202" t="s">
        <v>638</v>
      </c>
      <c r="F2371" s="202" t="s">
        <v>652</v>
      </c>
      <c r="G2371" s="202" t="s">
        <v>688</v>
      </c>
    </row>
    <row r="2372" spans="1:7" hidden="1">
      <c r="A2372" s="202" t="s">
        <v>1579</v>
      </c>
      <c r="B2372" s="203">
        <v>16600</v>
      </c>
      <c r="C2372" s="203">
        <v>0</v>
      </c>
      <c r="D2372" s="202" t="s">
        <v>440</v>
      </c>
      <c r="E2372" s="202" t="s">
        <v>638</v>
      </c>
      <c r="F2372" s="202" t="s">
        <v>652</v>
      </c>
      <c r="G2372" s="202" t="s">
        <v>688</v>
      </c>
    </row>
    <row r="2373" spans="1:7" hidden="1">
      <c r="A2373" s="202" t="s">
        <v>1580</v>
      </c>
      <c r="B2373" s="203">
        <v>63900</v>
      </c>
      <c r="C2373" s="203">
        <v>0</v>
      </c>
      <c r="D2373" s="202" t="s">
        <v>440</v>
      </c>
      <c r="E2373" s="202" t="s">
        <v>638</v>
      </c>
      <c r="F2373" s="202" t="s">
        <v>652</v>
      </c>
      <c r="G2373" s="202" t="s">
        <v>688</v>
      </c>
    </row>
    <row r="2374" spans="1:7" hidden="1">
      <c r="A2374" s="202" t="s">
        <v>1581</v>
      </c>
      <c r="B2374" s="203">
        <v>47400</v>
      </c>
      <c r="C2374" s="203">
        <v>0</v>
      </c>
      <c r="D2374" s="202" t="s">
        <v>440</v>
      </c>
      <c r="E2374" s="202" t="s">
        <v>638</v>
      </c>
      <c r="F2374" s="202" t="s">
        <v>652</v>
      </c>
      <c r="G2374" s="202" t="s">
        <v>688</v>
      </c>
    </row>
    <row r="2375" spans="1:7" hidden="1">
      <c r="A2375" s="202" t="s">
        <v>1582</v>
      </c>
      <c r="B2375" s="203">
        <v>34600</v>
      </c>
      <c r="C2375" s="203">
        <v>0</v>
      </c>
      <c r="D2375" s="202" t="s">
        <v>440</v>
      </c>
      <c r="E2375" s="202" t="s">
        <v>638</v>
      </c>
      <c r="F2375" s="202" t="s">
        <v>652</v>
      </c>
      <c r="G2375" s="202" t="s">
        <v>688</v>
      </c>
    </row>
    <row r="2376" spans="1:7" hidden="1">
      <c r="A2376" s="202" t="s">
        <v>1583</v>
      </c>
      <c r="B2376" s="203">
        <v>96200</v>
      </c>
      <c r="C2376" s="203">
        <v>0</v>
      </c>
      <c r="D2376" s="202" t="s">
        <v>440</v>
      </c>
      <c r="E2376" s="202" t="s">
        <v>638</v>
      </c>
      <c r="F2376" s="202" t="s">
        <v>652</v>
      </c>
      <c r="G2376" s="202" t="s">
        <v>688</v>
      </c>
    </row>
    <row r="2377" spans="1:7" hidden="1">
      <c r="A2377" s="202" t="s">
        <v>1584</v>
      </c>
      <c r="B2377" s="203">
        <v>400</v>
      </c>
      <c r="C2377" s="203">
        <v>0</v>
      </c>
      <c r="D2377" s="202" t="s">
        <v>442</v>
      </c>
      <c r="E2377" s="202" t="s">
        <v>638</v>
      </c>
      <c r="F2377" s="202" t="s">
        <v>396</v>
      </c>
      <c r="G2377" s="202" t="s">
        <v>688</v>
      </c>
    </row>
    <row r="2378" spans="1:7" hidden="1">
      <c r="A2378" s="202" t="s">
        <v>1585</v>
      </c>
      <c r="B2378" s="203">
        <v>1900</v>
      </c>
      <c r="C2378" s="203">
        <v>0</v>
      </c>
      <c r="D2378" s="202" t="s">
        <v>442</v>
      </c>
      <c r="E2378" s="202" t="s">
        <v>638</v>
      </c>
      <c r="F2378" s="202" t="s">
        <v>396</v>
      </c>
      <c r="G2378" s="202" t="s">
        <v>688</v>
      </c>
    </row>
    <row r="2379" spans="1:7" hidden="1">
      <c r="A2379" s="202" t="s">
        <v>1586</v>
      </c>
      <c r="B2379" s="203">
        <v>21300</v>
      </c>
      <c r="C2379" s="203">
        <v>0</v>
      </c>
      <c r="D2379" s="202" t="s">
        <v>440</v>
      </c>
      <c r="E2379" s="202" t="s">
        <v>638</v>
      </c>
      <c r="F2379" s="202" t="s">
        <v>652</v>
      </c>
      <c r="G2379" s="202" t="s">
        <v>688</v>
      </c>
    </row>
    <row r="2380" spans="1:7" hidden="1">
      <c r="A2380" s="202" t="s">
        <v>1587</v>
      </c>
      <c r="B2380" s="203">
        <v>19800</v>
      </c>
      <c r="C2380" s="203">
        <v>0</v>
      </c>
      <c r="D2380" s="202" t="s">
        <v>440</v>
      </c>
      <c r="E2380" s="202" t="s">
        <v>638</v>
      </c>
      <c r="F2380" s="202" t="s">
        <v>652</v>
      </c>
      <c r="G2380" s="202" t="s">
        <v>688</v>
      </c>
    </row>
    <row r="2381" spans="1:7" hidden="1">
      <c r="A2381" s="202" t="s">
        <v>1588</v>
      </c>
      <c r="B2381" s="203">
        <v>11600</v>
      </c>
      <c r="C2381" s="203">
        <v>0</v>
      </c>
      <c r="D2381" s="202" t="s">
        <v>440</v>
      </c>
      <c r="E2381" s="202" t="s">
        <v>638</v>
      </c>
      <c r="F2381" s="202" t="s">
        <v>652</v>
      </c>
      <c r="G2381" s="202" t="s">
        <v>688</v>
      </c>
    </row>
    <row r="2382" spans="1:7" hidden="1">
      <c r="A2382" s="202" t="s">
        <v>1589</v>
      </c>
      <c r="B2382" s="203">
        <v>2900</v>
      </c>
      <c r="C2382" s="203">
        <v>0</v>
      </c>
      <c r="D2382" s="202" t="s">
        <v>442</v>
      </c>
      <c r="E2382" s="202" t="s">
        <v>638</v>
      </c>
      <c r="F2382" s="202" t="s">
        <v>396</v>
      </c>
      <c r="G2382" s="202" t="s">
        <v>688</v>
      </c>
    </row>
    <row r="2383" spans="1:7" hidden="1">
      <c r="A2383" s="202" t="s">
        <v>1590</v>
      </c>
      <c r="B2383" s="203">
        <v>22000</v>
      </c>
      <c r="C2383" s="203">
        <v>0</v>
      </c>
      <c r="D2383" s="202" t="s">
        <v>440</v>
      </c>
      <c r="E2383" s="202" t="s">
        <v>638</v>
      </c>
      <c r="F2383" s="202" t="s">
        <v>409</v>
      </c>
      <c r="G2383" s="202" t="s">
        <v>688</v>
      </c>
    </row>
    <row r="2384" spans="1:7" hidden="1">
      <c r="A2384" s="202" t="s">
        <v>1591</v>
      </c>
      <c r="B2384" s="203">
        <v>54700</v>
      </c>
      <c r="C2384" s="203">
        <v>0</v>
      </c>
      <c r="D2384" s="202" t="s">
        <v>440</v>
      </c>
      <c r="E2384" s="202" t="s">
        <v>638</v>
      </c>
      <c r="F2384" s="202" t="s">
        <v>652</v>
      </c>
      <c r="G2384" s="202" t="s">
        <v>688</v>
      </c>
    </row>
    <row r="2385" spans="1:7" hidden="1">
      <c r="A2385" s="202" t="s">
        <v>1592</v>
      </c>
      <c r="B2385" s="203">
        <v>10500</v>
      </c>
      <c r="C2385" s="203">
        <v>0</v>
      </c>
      <c r="D2385" s="202" t="s">
        <v>440</v>
      </c>
      <c r="E2385" s="202" t="s">
        <v>638</v>
      </c>
      <c r="F2385" s="202" t="s">
        <v>652</v>
      </c>
      <c r="G2385" s="202" t="s">
        <v>688</v>
      </c>
    </row>
    <row r="2386" spans="1:7" hidden="1">
      <c r="A2386" s="202" t="s">
        <v>1593</v>
      </c>
      <c r="B2386" s="203">
        <v>18500</v>
      </c>
      <c r="C2386" s="203">
        <v>0</v>
      </c>
      <c r="D2386" s="202" t="s">
        <v>440</v>
      </c>
      <c r="E2386" s="202" t="s">
        <v>638</v>
      </c>
      <c r="F2386" s="202" t="s">
        <v>652</v>
      </c>
      <c r="G2386" s="202" t="s">
        <v>688</v>
      </c>
    </row>
    <row r="2387" spans="1:7" hidden="1">
      <c r="A2387" s="202" t="s">
        <v>1594</v>
      </c>
      <c r="B2387" s="203">
        <v>800</v>
      </c>
      <c r="C2387" s="203">
        <v>0</v>
      </c>
      <c r="D2387" s="202" t="s">
        <v>442</v>
      </c>
      <c r="E2387" s="202" t="s">
        <v>638</v>
      </c>
      <c r="F2387" s="202" t="s">
        <v>396</v>
      </c>
      <c r="G2387" s="202" t="s">
        <v>688</v>
      </c>
    </row>
    <row r="2388" spans="1:7" hidden="1">
      <c r="A2388" s="202" t="s">
        <v>1595</v>
      </c>
      <c r="B2388" s="203">
        <v>7200</v>
      </c>
      <c r="C2388" s="203">
        <v>0</v>
      </c>
      <c r="D2388" s="202" t="s">
        <v>442</v>
      </c>
      <c r="E2388" s="202" t="s">
        <v>638</v>
      </c>
      <c r="F2388" s="202" t="s">
        <v>396</v>
      </c>
      <c r="G2388" s="202" t="s">
        <v>688</v>
      </c>
    </row>
    <row r="2389" spans="1:7" hidden="1">
      <c r="A2389" s="202" t="s">
        <v>1596</v>
      </c>
      <c r="B2389" s="203">
        <v>18100</v>
      </c>
      <c r="C2389" s="203">
        <v>0</v>
      </c>
      <c r="D2389" s="202" t="s">
        <v>440</v>
      </c>
      <c r="E2389" s="202" t="s">
        <v>638</v>
      </c>
      <c r="F2389" s="202" t="s">
        <v>652</v>
      </c>
      <c r="G2389" s="202" t="s">
        <v>688</v>
      </c>
    </row>
    <row r="2390" spans="1:7" hidden="1">
      <c r="A2390" s="202" t="s">
        <v>1597</v>
      </c>
      <c r="B2390" s="203">
        <v>19400</v>
      </c>
      <c r="C2390" s="203">
        <v>0</v>
      </c>
      <c r="D2390" s="202" t="s">
        <v>440</v>
      </c>
      <c r="E2390" s="202" t="s">
        <v>638</v>
      </c>
      <c r="F2390" s="202" t="s">
        <v>652</v>
      </c>
      <c r="G2390" s="202" t="s">
        <v>688</v>
      </c>
    </row>
    <row r="2391" spans="1:7" hidden="1">
      <c r="A2391" s="202" t="s">
        <v>1598</v>
      </c>
      <c r="B2391" s="203">
        <v>5500</v>
      </c>
      <c r="C2391" s="203">
        <v>0</v>
      </c>
      <c r="D2391" s="202" t="s">
        <v>442</v>
      </c>
      <c r="E2391" s="202" t="s">
        <v>638</v>
      </c>
      <c r="F2391" s="202" t="s">
        <v>396</v>
      </c>
      <c r="G2391" s="202" t="s">
        <v>688</v>
      </c>
    </row>
    <row r="2392" spans="1:7" hidden="1">
      <c r="A2392" s="202" t="s">
        <v>1599</v>
      </c>
      <c r="B2392" s="203">
        <v>126900</v>
      </c>
      <c r="C2392" s="203">
        <v>0</v>
      </c>
      <c r="D2392" s="202" t="s">
        <v>440</v>
      </c>
      <c r="E2392" s="202" t="s">
        <v>638</v>
      </c>
      <c r="F2392" s="202" t="s">
        <v>409</v>
      </c>
      <c r="G2392" s="202" t="s">
        <v>688</v>
      </c>
    </row>
    <row r="2393" spans="1:7" hidden="1">
      <c r="A2393" s="202" t="s">
        <v>1600</v>
      </c>
      <c r="B2393" s="203">
        <v>6500</v>
      </c>
      <c r="C2393" s="203">
        <v>0</v>
      </c>
      <c r="D2393" s="202" t="s">
        <v>440</v>
      </c>
      <c r="E2393" s="202" t="s">
        <v>638</v>
      </c>
      <c r="F2393" s="202" t="s">
        <v>652</v>
      </c>
      <c r="G2393" s="202" t="s">
        <v>688</v>
      </c>
    </row>
    <row r="2394" spans="1:7" hidden="1">
      <c r="A2394" s="202" t="s">
        <v>1601</v>
      </c>
      <c r="B2394" s="203">
        <v>163400</v>
      </c>
      <c r="C2394" s="203">
        <v>0</v>
      </c>
      <c r="D2394" s="202" t="s">
        <v>440</v>
      </c>
      <c r="E2394" s="202" t="s">
        <v>638</v>
      </c>
      <c r="F2394" s="202" t="s">
        <v>652</v>
      </c>
      <c r="G2394" s="202" t="s">
        <v>688</v>
      </c>
    </row>
    <row r="2395" spans="1:7" hidden="1">
      <c r="A2395" s="202" t="s">
        <v>1602</v>
      </c>
      <c r="B2395" s="203">
        <v>-233376</v>
      </c>
      <c r="C2395" s="203">
        <v>0</v>
      </c>
      <c r="D2395" s="202" t="s">
        <v>440</v>
      </c>
      <c r="E2395" s="202" t="s">
        <v>638</v>
      </c>
      <c r="F2395" s="202" t="s">
        <v>652</v>
      </c>
      <c r="G2395" s="202" t="s">
        <v>688</v>
      </c>
    </row>
    <row r="2396" spans="1:7" hidden="1">
      <c r="A2396" s="202" t="s">
        <v>1603</v>
      </c>
      <c r="B2396" s="203">
        <v>-64600</v>
      </c>
      <c r="C2396" s="203">
        <v>0</v>
      </c>
      <c r="D2396" s="202" t="s">
        <v>442</v>
      </c>
      <c r="E2396" s="202" t="s">
        <v>638</v>
      </c>
      <c r="F2396" s="202" t="s">
        <v>396</v>
      </c>
      <c r="G2396" s="202" t="s">
        <v>688</v>
      </c>
    </row>
    <row r="2397" spans="1:7" hidden="1">
      <c r="A2397" s="202" t="s">
        <v>1604</v>
      </c>
      <c r="B2397" s="203">
        <v>58900</v>
      </c>
      <c r="C2397" s="203">
        <v>0</v>
      </c>
      <c r="D2397" s="202" t="s">
        <v>440</v>
      </c>
      <c r="E2397" s="202" t="s">
        <v>638</v>
      </c>
      <c r="F2397" s="202" t="s">
        <v>652</v>
      </c>
      <c r="G2397" s="202" t="s">
        <v>688</v>
      </c>
    </row>
    <row r="2398" spans="1:7" hidden="1">
      <c r="A2398" s="202" t="s">
        <v>1605</v>
      </c>
      <c r="B2398" s="203">
        <v>3500</v>
      </c>
      <c r="C2398" s="203">
        <v>0</v>
      </c>
      <c r="D2398" s="202" t="s">
        <v>442</v>
      </c>
      <c r="E2398" s="202" t="s">
        <v>638</v>
      </c>
      <c r="F2398" s="202" t="s">
        <v>396</v>
      </c>
      <c r="G2398" s="202" t="s">
        <v>688</v>
      </c>
    </row>
    <row r="2399" spans="1:7" hidden="1">
      <c r="A2399" s="202" t="s">
        <v>1606</v>
      </c>
      <c r="B2399" s="203">
        <v>3500</v>
      </c>
      <c r="C2399" s="203">
        <v>0</v>
      </c>
      <c r="D2399" s="202" t="s">
        <v>442</v>
      </c>
      <c r="E2399" s="202" t="s">
        <v>638</v>
      </c>
      <c r="F2399" s="202" t="s">
        <v>396</v>
      </c>
      <c r="G2399" s="202" t="s">
        <v>688</v>
      </c>
    </row>
    <row r="2400" spans="1:7" hidden="1">
      <c r="A2400" s="202" t="s">
        <v>1607</v>
      </c>
      <c r="B2400" s="203">
        <v>13900</v>
      </c>
      <c r="C2400" s="203">
        <v>0</v>
      </c>
      <c r="D2400" s="202" t="s">
        <v>442</v>
      </c>
      <c r="E2400" s="202" t="s">
        <v>638</v>
      </c>
      <c r="F2400" s="202" t="s">
        <v>396</v>
      </c>
      <c r="G2400" s="202" t="s">
        <v>688</v>
      </c>
    </row>
    <row r="2401" spans="1:7" hidden="1">
      <c r="A2401" s="202" t="s">
        <v>1608</v>
      </c>
      <c r="B2401" s="203">
        <v>3700</v>
      </c>
      <c r="C2401" s="203">
        <v>0</v>
      </c>
      <c r="D2401" s="202" t="s">
        <v>442</v>
      </c>
      <c r="E2401" s="202" t="s">
        <v>638</v>
      </c>
      <c r="F2401" s="202" t="s">
        <v>396</v>
      </c>
      <c r="G2401" s="202" t="s">
        <v>688</v>
      </c>
    </row>
    <row r="2402" spans="1:7" hidden="1">
      <c r="A2402" s="202" t="s">
        <v>1609</v>
      </c>
      <c r="B2402" s="203">
        <v>56800</v>
      </c>
      <c r="C2402" s="203">
        <v>0</v>
      </c>
      <c r="D2402" s="202" t="s">
        <v>440</v>
      </c>
      <c r="E2402" s="202" t="s">
        <v>638</v>
      </c>
      <c r="F2402" s="202" t="s">
        <v>652</v>
      </c>
      <c r="G2402" s="202" t="s">
        <v>688</v>
      </c>
    </row>
    <row r="2403" spans="1:7" hidden="1">
      <c r="A2403" s="202" t="s">
        <v>1610</v>
      </c>
      <c r="B2403" s="203">
        <v>4000</v>
      </c>
      <c r="C2403" s="203">
        <v>0</v>
      </c>
      <c r="D2403" s="202" t="s">
        <v>442</v>
      </c>
      <c r="E2403" s="202" t="s">
        <v>638</v>
      </c>
      <c r="F2403" s="202" t="s">
        <v>396</v>
      </c>
      <c r="G2403" s="202" t="s">
        <v>688</v>
      </c>
    </row>
    <row r="2404" spans="1:7" hidden="1">
      <c r="A2404" s="202" t="s">
        <v>1611</v>
      </c>
      <c r="B2404" s="203">
        <v>114200</v>
      </c>
      <c r="C2404" s="203">
        <v>0</v>
      </c>
      <c r="D2404" s="202" t="s">
        <v>440</v>
      </c>
      <c r="E2404" s="202" t="s">
        <v>638</v>
      </c>
      <c r="F2404" s="202" t="s">
        <v>652</v>
      </c>
      <c r="G2404" s="202" t="s">
        <v>688</v>
      </c>
    </row>
    <row r="2405" spans="1:7" hidden="1">
      <c r="A2405" s="202" t="s">
        <v>1612</v>
      </c>
      <c r="B2405" s="203">
        <v>30000</v>
      </c>
      <c r="C2405" s="203">
        <v>0</v>
      </c>
      <c r="D2405" s="202" t="s">
        <v>440</v>
      </c>
      <c r="E2405" s="202" t="s">
        <v>638</v>
      </c>
      <c r="F2405" s="202" t="s">
        <v>652</v>
      </c>
      <c r="G2405" s="202" t="s">
        <v>688</v>
      </c>
    </row>
    <row r="2406" spans="1:7" hidden="1">
      <c r="A2406" s="202" t="s">
        <v>1613</v>
      </c>
      <c r="B2406" s="203">
        <v>3500</v>
      </c>
      <c r="C2406" s="203">
        <v>0</v>
      </c>
      <c r="D2406" s="202" t="s">
        <v>442</v>
      </c>
      <c r="E2406" s="202" t="s">
        <v>638</v>
      </c>
      <c r="F2406" s="202" t="s">
        <v>396</v>
      </c>
      <c r="G2406" s="202" t="s">
        <v>688</v>
      </c>
    </row>
    <row r="2407" spans="1:7" hidden="1">
      <c r="A2407" s="202" t="s">
        <v>1614</v>
      </c>
      <c r="B2407" s="203">
        <v>26200</v>
      </c>
      <c r="C2407" s="203">
        <v>0</v>
      </c>
      <c r="D2407" s="202" t="s">
        <v>440</v>
      </c>
      <c r="E2407" s="202" t="s">
        <v>638</v>
      </c>
      <c r="F2407" s="202" t="s">
        <v>652</v>
      </c>
      <c r="G2407" s="202" t="s">
        <v>688</v>
      </c>
    </row>
    <row r="2408" spans="1:7" hidden="1">
      <c r="A2408" s="202" t="s">
        <v>1615</v>
      </c>
      <c r="B2408" s="203">
        <v>15600</v>
      </c>
      <c r="C2408" s="203">
        <v>0</v>
      </c>
      <c r="D2408" s="202" t="s">
        <v>440</v>
      </c>
      <c r="E2408" s="202" t="s">
        <v>638</v>
      </c>
      <c r="F2408" s="202" t="s">
        <v>652</v>
      </c>
      <c r="G2408" s="202" t="s">
        <v>688</v>
      </c>
    </row>
    <row r="2409" spans="1:7" hidden="1">
      <c r="A2409" s="202" t="s">
        <v>1616</v>
      </c>
      <c r="B2409" s="203">
        <v>3400</v>
      </c>
      <c r="C2409" s="203">
        <v>0</v>
      </c>
      <c r="D2409" s="202" t="s">
        <v>442</v>
      </c>
      <c r="E2409" s="202" t="s">
        <v>638</v>
      </c>
      <c r="F2409" s="202" t="s">
        <v>396</v>
      </c>
      <c r="G2409" s="202" t="s">
        <v>688</v>
      </c>
    </row>
    <row r="2410" spans="1:7" hidden="1">
      <c r="A2410" s="202" t="s">
        <v>1617</v>
      </c>
      <c r="B2410" s="203">
        <v>17000</v>
      </c>
      <c r="C2410" s="203">
        <v>0</v>
      </c>
      <c r="D2410" s="202" t="s">
        <v>440</v>
      </c>
      <c r="E2410" s="202" t="s">
        <v>638</v>
      </c>
      <c r="F2410" s="202" t="s">
        <v>652</v>
      </c>
      <c r="G2410" s="202" t="s">
        <v>688</v>
      </c>
    </row>
    <row r="2411" spans="1:7" hidden="1">
      <c r="A2411" s="202" t="s">
        <v>1618</v>
      </c>
      <c r="B2411" s="203">
        <v>7200</v>
      </c>
      <c r="C2411" s="203">
        <v>0</v>
      </c>
      <c r="D2411" s="202" t="s">
        <v>442</v>
      </c>
      <c r="E2411" s="202" t="s">
        <v>638</v>
      </c>
      <c r="F2411" s="202" t="s">
        <v>396</v>
      </c>
      <c r="G2411" s="202" t="s">
        <v>688</v>
      </c>
    </row>
    <row r="2412" spans="1:7" hidden="1">
      <c r="A2412" s="202" t="s">
        <v>1619</v>
      </c>
      <c r="B2412" s="203">
        <v>7400</v>
      </c>
      <c r="C2412" s="203">
        <v>0</v>
      </c>
      <c r="D2412" s="202" t="s">
        <v>442</v>
      </c>
      <c r="E2412" s="202" t="s">
        <v>638</v>
      </c>
      <c r="F2412" s="202" t="s">
        <v>396</v>
      </c>
      <c r="G2412" s="202" t="s">
        <v>688</v>
      </c>
    </row>
    <row r="2413" spans="1:7" hidden="1">
      <c r="A2413" s="202" t="s">
        <v>1620</v>
      </c>
      <c r="B2413" s="203">
        <v>28800</v>
      </c>
      <c r="C2413" s="203">
        <v>0</v>
      </c>
      <c r="D2413" s="202" t="s">
        <v>440</v>
      </c>
      <c r="E2413" s="202" t="s">
        <v>638</v>
      </c>
      <c r="F2413" s="202" t="s">
        <v>652</v>
      </c>
      <c r="G2413" s="202" t="s">
        <v>688</v>
      </c>
    </row>
    <row r="2414" spans="1:7" hidden="1">
      <c r="A2414" s="202" t="s">
        <v>1621</v>
      </c>
      <c r="B2414" s="203">
        <v>15200</v>
      </c>
      <c r="C2414" s="203">
        <v>0</v>
      </c>
      <c r="D2414" s="202" t="s">
        <v>442</v>
      </c>
      <c r="E2414" s="202" t="s">
        <v>638</v>
      </c>
      <c r="F2414" s="202" t="s">
        <v>396</v>
      </c>
      <c r="G2414" s="202" t="s">
        <v>688</v>
      </c>
    </row>
    <row r="2415" spans="1:7" hidden="1">
      <c r="A2415" s="202" t="s">
        <v>1622</v>
      </c>
      <c r="B2415" s="203">
        <v>5000</v>
      </c>
      <c r="C2415" s="203">
        <v>0</v>
      </c>
      <c r="D2415" s="202" t="s">
        <v>442</v>
      </c>
      <c r="E2415" s="202" t="s">
        <v>638</v>
      </c>
      <c r="F2415" s="202" t="s">
        <v>396</v>
      </c>
      <c r="G2415" s="202" t="s">
        <v>688</v>
      </c>
    </row>
    <row r="2416" spans="1:7" hidden="1">
      <c r="A2416" s="202" t="s">
        <v>1623</v>
      </c>
      <c r="B2416" s="203">
        <v>42000</v>
      </c>
      <c r="C2416" s="203">
        <v>0</v>
      </c>
      <c r="D2416" s="202" t="s">
        <v>440</v>
      </c>
      <c r="E2416" s="202" t="s">
        <v>638</v>
      </c>
      <c r="F2416" s="202" t="s">
        <v>652</v>
      </c>
      <c r="G2416" s="202" t="s">
        <v>688</v>
      </c>
    </row>
    <row r="2417" spans="1:7" hidden="1">
      <c r="A2417" s="202" t="s">
        <v>1624</v>
      </c>
      <c r="B2417" s="203">
        <v>136900</v>
      </c>
      <c r="C2417" s="203">
        <v>0</v>
      </c>
      <c r="D2417" s="202" t="s">
        <v>440</v>
      </c>
      <c r="E2417" s="202" t="s">
        <v>638</v>
      </c>
      <c r="F2417" s="202" t="s">
        <v>652</v>
      </c>
      <c r="G2417" s="202" t="s">
        <v>688</v>
      </c>
    </row>
    <row r="2418" spans="1:7" hidden="1">
      <c r="A2418" s="202" t="s">
        <v>1625</v>
      </c>
      <c r="B2418" s="203">
        <v>10034</v>
      </c>
      <c r="C2418" s="203">
        <v>0</v>
      </c>
      <c r="D2418" s="202" t="s">
        <v>442</v>
      </c>
      <c r="E2418" s="202" t="s">
        <v>638</v>
      </c>
      <c r="F2418" s="202" t="s">
        <v>396</v>
      </c>
      <c r="G2418" s="202" t="s">
        <v>688</v>
      </c>
    </row>
    <row r="2419" spans="1:7" hidden="1">
      <c r="A2419" s="202" t="s">
        <v>1626</v>
      </c>
      <c r="B2419" s="203">
        <v>4300</v>
      </c>
      <c r="C2419" s="203">
        <v>0</v>
      </c>
      <c r="D2419" s="202" t="s">
        <v>442</v>
      </c>
      <c r="E2419" s="202" t="s">
        <v>638</v>
      </c>
      <c r="F2419" s="202" t="s">
        <v>396</v>
      </c>
      <c r="G2419" s="202" t="s">
        <v>688</v>
      </c>
    </row>
    <row r="2420" spans="1:7" hidden="1">
      <c r="A2420" s="202" t="s">
        <v>1627</v>
      </c>
      <c r="B2420" s="203">
        <v>3600</v>
      </c>
      <c r="C2420" s="203">
        <v>0</v>
      </c>
      <c r="D2420" s="202" t="s">
        <v>442</v>
      </c>
      <c r="E2420" s="202" t="s">
        <v>638</v>
      </c>
      <c r="F2420" s="202" t="s">
        <v>396</v>
      </c>
      <c r="G2420" s="202" t="s">
        <v>688</v>
      </c>
    </row>
    <row r="2421" spans="1:7" hidden="1">
      <c r="A2421" s="202" t="s">
        <v>1627</v>
      </c>
      <c r="B2421" s="203">
        <v>16600</v>
      </c>
      <c r="C2421" s="203">
        <v>0</v>
      </c>
      <c r="D2421" s="202" t="s">
        <v>474</v>
      </c>
      <c r="E2421" s="202" t="s">
        <v>638</v>
      </c>
      <c r="F2421" s="202" t="s">
        <v>396</v>
      </c>
      <c r="G2421" s="202" t="s">
        <v>688</v>
      </c>
    </row>
    <row r="2422" spans="1:7" hidden="1">
      <c r="A2422" s="202" t="s">
        <v>1628</v>
      </c>
      <c r="B2422" s="203">
        <v>3000</v>
      </c>
      <c r="C2422" s="203">
        <v>0</v>
      </c>
      <c r="D2422" s="202" t="s">
        <v>442</v>
      </c>
      <c r="E2422" s="202" t="s">
        <v>638</v>
      </c>
      <c r="F2422" s="202" t="s">
        <v>396</v>
      </c>
      <c r="G2422" s="202" t="s">
        <v>688</v>
      </c>
    </row>
    <row r="2423" spans="1:7" hidden="1">
      <c r="A2423" s="202" t="s">
        <v>1629</v>
      </c>
      <c r="B2423" s="203">
        <v>9200</v>
      </c>
      <c r="C2423" s="203">
        <v>0</v>
      </c>
      <c r="D2423" s="202" t="s">
        <v>440</v>
      </c>
      <c r="E2423" s="202" t="s">
        <v>638</v>
      </c>
      <c r="F2423" s="202" t="s">
        <v>652</v>
      </c>
      <c r="G2423" s="202" t="s">
        <v>688</v>
      </c>
    </row>
    <row r="2424" spans="1:7" hidden="1">
      <c r="A2424" s="202" t="s">
        <v>1630</v>
      </c>
      <c r="B2424" s="203">
        <v>3000</v>
      </c>
      <c r="C2424" s="203">
        <v>0</v>
      </c>
      <c r="D2424" s="202" t="s">
        <v>442</v>
      </c>
      <c r="E2424" s="202" t="s">
        <v>638</v>
      </c>
      <c r="F2424" s="202" t="s">
        <v>396</v>
      </c>
      <c r="G2424" s="202" t="s">
        <v>688</v>
      </c>
    </row>
    <row r="2425" spans="1:7" hidden="1">
      <c r="A2425" s="202" t="s">
        <v>1631</v>
      </c>
      <c r="B2425" s="203">
        <v>14800</v>
      </c>
      <c r="C2425" s="203">
        <v>0</v>
      </c>
      <c r="D2425" s="202" t="s">
        <v>440</v>
      </c>
      <c r="E2425" s="202" t="s">
        <v>638</v>
      </c>
      <c r="F2425" s="202" t="s">
        <v>652</v>
      </c>
      <c r="G2425" s="202" t="s">
        <v>688</v>
      </c>
    </row>
    <row r="2426" spans="1:7" hidden="1">
      <c r="A2426" s="202" t="s">
        <v>1632</v>
      </c>
      <c r="B2426" s="203">
        <v>3100</v>
      </c>
      <c r="C2426" s="203">
        <v>0</v>
      </c>
      <c r="D2426" s="202" t="s">
        <v>442</v>
      </c>
      <c r="E2426" s="202" t="s">
        <v>638</v>
      </c>
      <c r="F2426" s="202" t="s">
        <v>396</v>
      </c>
      <c r="G2426" s="202" t="s">
        <v>688</v>
      </c>
    </row>
    <row r="2427" spans="1:7" hidden="1">
      <c r="A2427" s="202" t="s">
        <v>1633</v>
      </c>
      <c r="B2427" s="203">
        <v>3200</v>
      </c>
      <c r="C2427" s="203">
        <v>0</v>
      </c>
      <c r="D2427" s="202" t="s">
        <v>442</v>
      </c>
      <c r="E2427" s="202" t="s">
        <v>638</v>
      </c>
      <c r="F2427" s="202" t="s">
        <v>396</v>
      </c>
      <c r="G2427" s="202" t="s">
        <v>688</v>
      </c>
    </row>
    <row r="2428" spans="1:7" hidden="1">
      <c r="A2428" s="202" t="s">
        <v>1634</v>
      </c>
      <c r="B2428" s="203">
        <v>20800</v>
      </c>
      <c r="C2428" s="203">
        <v>0</v>
      </c>
      <c r="D2428" s="202" t="s">
        <v>440</v>
      </c>
      <c r="E2428" s="202" t="s">
        <v>638</v>
      </c>
      <c r="F2428" s="202" t="s">
        <v>652</v>
      </c>
      <c r="G2428" s="202" t="s">
        <v>688</v>
      </c>
    </row>
    <row r="2429" spans="1:7" hidden="1">
      <c r="A2429" s="202" t="s">
        <v>1635</v>
      </c>
      <c r="B2429" s="203">
        <v>20800</v>
      </c>
      <c r="C2429" s="203">
        <v>0</v>
      </c>
      <c r="D2429" s="202" t="s">
        <v>442</v>
      </c>
      <c r="E2429" s="202" t="s">
        <v>638</v>
      </c>
      <c r="F2429" s="202" t="s">
        <v>396</v>
      </c>
      <c r="G2429" s="202" t="s">
        <v>688</v>
      </c>
    </row>
    <row r="2430" spans="1:7" hidden="1">
      <c r="A2430" s="202" t="s">
        <v>1636</v>
      </c>
      <c r="B2430" s="203">
        <v>2700</v>
      </c>
      <c r="C2430" s="203">
        <v>0</v>
      </c>
      <c r="D2430" s="202" t="s">
        <v>440</v>
      </c>
      <c r="E2430" s="202" t="s">
        <v>638</v>
      </c>
      <c r="F2430" s="202" t="s">
        <v>409</v>
      </c>
      <c r="G2430" s="202" t="s">
        <v>688</v>
      </c>
    </row>
    <row r="2431" spans="1:7" hidden="1">
      <c r="A2431" s="202" t="s">
        <v>1637</v>
      </c>
      <c r="B2431" s="203">
        <v>16700</v>
      </c>
      <c r="C2431" s="203">
        <v>0</v>
      </c>
      <c r="D2431" s="202" t="s">
        <v>440</v>
      </c>
      <c r="E2431" s="202" t="s">
        <v>638</v>
      </c>
      <c r="F2431" s="202" t="s">
        <v>652</v>
      </c>
      <c r="G2431" s="202" t="s">
        <v>688</v>
      </c>
    </row>
    <row r="2432" spans="1:7" hidden="1">
      <c r="A2432" s="202" t="s">
        <v>1638</v>
      </c>
      <c r="B2432" s="203">
        <v>23900</v>
      </c>
      <c r="C2432" s="203">
        <v>0</v>
      </c>
      <c r="D2432" s="202" t="s">
        <v>440</v>
      </c>
      <c r="E2432" s="202" t="s">
        <v>638</v>
      </c>
      <c r="F2432" s="202" t="s">
        <v>652</v>
      </c>
      <c r="G2432" s="202" t="s">
        <v>688</v>
      </c>
    </row>
    <row r="2433" spans="1:7" hidden="1">
      <c r="A2433" s="202" t="s">
        <v>1639</v>
      </c>
      <c r="B2433" s="203">
        <v>6600</v>
      </c>
      <c r="C2433" s="203">
        <v>0</v>
      </c>
      <c r="D2433" s="202" t="s">
        <v>440</v>
      </c>
      <c r="E2433" s="202" t="s">
        <v>638</v>
      </c>
      <c r="F2433" s="202" t="s">
        <v>652</v>
      </c>
      <c r="G2433" s="202" t="s">
        <v>688</v>
      </c>
    </row>
    <row r="2434" spans="1:7" hidden="1">
      <c r="A2434" s="202" t="s">
        <v>1640</v>
      </c>
      <c r="B2434" s="203">
        <v>3100</v>
      </c>
      <c r="C2434" s="203">
        <v>0</v>
      </c>
      <c r="D2434" s="202" t="s">
        <v>440</v>
      </c>
      <c r="E2434" s="202" t="s">
        <v>638</v>
      </c>
      <c r="F2434" s="202" t="s">
        <v>652</v>
      </c>
      <c r="G2434" s="202" t="s">
        <v>688</v>
      </c>
    </row>
    <row r="2435" spans="1:7" hidden="1">
      <c r="A2435" s="202" t="s">
        <v>1641</v>
      </c>
      <c r="B2435" s="203">
        <v>400</v>
      </c>
      <c r="C2435" s="203">
        <v>0</v>
      </c>
      <c r="D2435" s="202" t="s">
        <v>440</v>
      </c>
      <c r="E2435" s="202" t="s">
        <v>638</v>
      </c>
      <c r="F2435" s="202" t="s">
        <v>652</v>
      </c>
      <c r="G2435" s="202" t="s">
        <v>688</v>
      </c>
    </row>
    <row r="2436" spans="1:7" hidden="1">
      <c r="A2436" s="202" t="s">
        <v>1642</v>
      </c>
      <c r="B2436" s="203">
        <v>18700</v>
      </c>
      <c r="C2436" s="203">
        <v>0</v>
      </c>
      <c r="D2436" s="202" t="s">
        <v>440</v>
      </c>
      <c r="E2436" s="202" t="s">
        <v>638</v>
      </c>
      <c r="F2436" s="202" t="s">
        <v>652</v>
      </c>
      <c r="G2436" s="202" t="s">
        <v>688</v>
      </c>
    </row>
    <row r="2437" spans="1:7" hidden="1">
      <c r="A2437" s="202" t="s">
        <v>1643</v>
      </c>
      <c r="B2437" s="203">
        <v>66100</v>
      </c>
      <c r="C2437" s="203">
        <v>0</v>
      </c>
      <c r="D2437" s="202" t="s">
        <v>440</v>
      </c>
      <c r="E2437" s="202" t="s">
        <v>638</v>
      </c>
      <c r="F2437" s="202" t="s">
        <v>652</v>
      </c>
      <c r="G2437" s="202" t="s">
        <v>688</v>
      </c>
    </row>
    <row r="2438" spans="1:7" hidden="1">
      <c r="A2438" s="202" t="s">
        <v>1644</v>
      </c>
      <c r="B2438" s="203">
        <v>4800</v>
      </c>
      <c r="C2438" s="203">
        <v>0</v>
      </c>
      <c r="D2438" s="202" t="s">
        <v>440</v>
      </c>
      <c r="E2438" s="202" t="s">
        <v>638</v>
      </c>
      <c r="F2438" s="202" t="s">
        <v>652</v>
      </c>
      <c r="G2438" s="202" t="s">
        <v>688</v>
      </c>
    </row>
    <row r="2439" spans="1:7" hidden="1">
      <c r="A2439" s="202" t="s">
        <v>1645</v>
      </c>
      <c r="B2439" s="203">
        <v>21200</v>
      </c>
      <c r="C2439" s="203">
        <v>0</v>
      </c>
      <c r="D2439" s="202" t="s">
        <v>440</v>
      </c>
      <c r="E2439" s="202" t="s">
        <v>638</v>
      </c>
      <c r="F2439" s="202" t="s">
        <v>652</v>
      </c>
      <c r="G2439" s="202" t="s">
        <v>688</v>
      </c>
    </row>
    <row r="2440" spans="1:7" hidden="1">
      <c r="A2440" s="202" t="s">
        <v>1646</v>
      </c>
      <c r="B2440" s="203">
        <v>1200</v>
      </c>
      <c r="C2440" s="203">
        <v>0</v>
      </c>
      <c r="D2440" s="202" t="s">
        <v>442</v>
      </c>
      <c r="E2440" s="202" t="s">
        <v>638</v>
      </c>
      <c r="F2440" s="202" t="s">
        <v>396</v>
      </c>
      <c r="G2440" s="202" t="s">
        <v>688</v>
      </c>
    </row>
    <row r="2441" spans="1:7" hidden="1">
      <c r="A2441" s="202" t="s">
        <v>1647</v>
      </c>
      <c r="B2441" s="203">
        <v>3100</v>
      </c>
      <c r="C2441" s="203">
        <v>0</v>
      </c>
      <c r="D2441" s="202" t="s">
        <v>442</v>
      </c>
      <c r="E2441" s="202" t="s">
        <v>638</v>
      </c>
      <c r="F2441" s="202" t="s">
        <v>396</v>
      </c>
      <c r="G2441" s="202" t="s">
        <v>688</v>
      </c>
    </row>
    <row r="2442" spans="1:7" hidden="1">
      <c r="A2442" s="202" t="s">
        <v>1648</v>
      </c>
      <c r="B2442" s="203">
        <v>700</v>
      </c>
      <c r="C2442" s="203">
        <v>0</v>
      </c>
      <c r="D2442" s="202" t="s">
        <v>442</v>
      </c>
      <c r="E2442" s="202" t="s">
        <v>638</v>
      </c>
      <c r="F2442" s="202" t="s">
        <v>396</v>
      </c>
      <c r="G2442" s="202" t="s">
        <v>688</v>
      </c>
    </row>
    <row r="2443" spans="1:7" hidden="1">
      <c r="A2443" s="202" t="s">
        <v>1649</v>
      </c>
      <c r="B2443" s="203">
        <v>20900</v>
      </c>
      <c r="C2443" s="203">
        <v>0</v>
      </c>
      <c r="D2443" s="202" t="s">
        <v>440</v>
      </c>
      <c r="E2443" s="202" t="s">
        <v>638</v>
      </c>
      <c r="F2443" s="202" t="s">
        <v>652</v>
      </c>
      <c r="G2443" s="202" t="s">
        <v>688</v>
      </c>
    </row>
    <row r="2444" spans="1:7" hidden="1">
      <c r="A2444" s="202" t="s">
        <v>1650</v>
      </c>
      <c r="B2444" s="203">
        <v>13800</v>
      </c>
      <c r="C2444" s="203">
        <v>0</v>
      </c>
      <c r="D2444" s="202" t="s">
        <v>440</v>
      </c>
      <c r="E2444" s="202" t="s">
        <v>638</v>
      </c>
      <c r="F2444" s="202" t="s">
        <v>652</v>
      </c>
      <c r="G2444" s="202" t="s">
        <v>688</v>
      </c>
    </row>
    <row r="2445" spans="1:7" hidden="1">
      <c r="A2445" s="202" t="s">
        <v>1651</v>
      </c>
      <c r="B2445" s="203">
        <v>1400</v>
      </c>
      <c r="C2445" s="203">
        <v>0</v>
      </c>
      <c r="D2445" s="202" t="s">
        <v>442</v>
      </c>
      <c r="E2445" s="202" t="s">
        <v>638</v>
      </c>
      <c r="F2445" s="202" t="s">
        <v>396</v>
      </c>
      <c r="G2445" s="202" t="s">
        <v>688</v>
      </c>
    </row>
    <row r="2446" spans="1:7" hidden="1">
      <c r="A2446" s="202" t="s">
        <v>1652</v>
      </c>
      <c r="B2446" s="203">
        <v>29800</v>
      </c>
      <c r="C2446" s="203">
        <v>0</v>
      </c>
      <c r="D2446" s="202" t="s">
        <v>440</v>
      </c>
      <c r="E2446" s="202" t="s">
        <v>638</v>
      </c>
      <c r="F2446" s="202" t="s">
        <v>652</v>
      </c>
      <c r="G2446" s="202" t="s">
        <v>688</v>
      </c>
    </row>
    <row r="2447" spans="1:7" hidden="1">
      <c r="A2447" s="202" t="s">
        <v>1653</v>
      </c>
      <c r="B2447" s="203">
        <v>4600</v>
      </c>
      <c r="C2447" s="203">
        <v>0</v>
      </c>
      <c r="D2447" s="202" t="s">
        <v>440</v>
      </c>
      <c r="E2447" s="202" t="s">
        <v>638</v>
      </c>
      <c r="F2447" s="202" t="s">
        <v>652</v>
      </c>
      <c r="G2447" s="202" t="s">
        <v>688</v>
      </c>
    </row>
    <row r="2448" spans="1:7" hidden="1">
      <c r="A2448" s="202" t="s">
        <v>1654</v>
      </c>
      <c r="B2448" s="203">
        <v>25400</v>
      </c>
      <c r="C2448" s="203">
        <v>0</v>
      </c>
      <c r="D2448" s="202" t="s">
        <v>440</v>
      </c>
      <c r="E2448" s="202" t="s">
        <v>638</v>
      </c>
      <c r="F2448" s="202" t="s">
        <v>652</v>
      </c>
      <c r="G2448" s="202" t="s">
        <v>688</v>
      </c>
    </row>
    <row r="2449" spans="1:7" hidden="1">
      <c r="A2449" s="202" t="s">
        <v>1655</v>
      </c>
      <c r="B2449" s="203">
        <v>26700</v>
      </c>
      <c r="C2449" s="203">
        <v>0</v>
      </c>
      <c r="D2449" s="202" t="s">
        <v>440</v>
      </c>
      <c r="E2449" s="202" t="s">
        <v>638</v>
      </c>
      <c r="F2449" s="202" t="s">
        <v>652</v>
      </c>
      <c r="G2449" s="202" t="s">
        <v>688</v>
      </c>
    </row>
    <row r="2450" spans="1:7" hidden="1">
      <c r="A2450" s="202" t="s">
        <v>1656</v>
      </c>
      <c r="B2450" s="203">
        <v>12100</v>
      </c>
      <c r="C2450" s="203">
        <v>0</v>
      </c>
      <c r="D2450" s="202" t="s">
        <v>440</v>
      </c>
      <c r="E2450" s="202" t="s">
        <v>638</v>
      </c>
      <c r="F2450" s="202" t="s">
        <v>652</v>
      </c>
      <c r="G2450" s="202" t="s">
        <v>688</v>
      </c>
    </row>
    <row r="2451" spans="1:7" hidden="1">
      <c r="A2451" s="202" t="s">
        <v>1657</v>
      </c>
      <c r="B2451" s="203">
        <v>2500</v>
      </c>
      <c r="C2451" s="203">
        <v>0</v>
      </c>
      <c r="D2451" s="202" t="s">
        <v>442</v>
      </c>
      <c r="E2451" s="202" t="s">
        <v>638</v>
      </c>
      <c r="F2451" s="202" t="s">
        <v>396</v>
      </c>
      <c r="G2451" s="202" t="s">
        <v>688</v>
      </c>
    </row>
    <row r="2452" spans="1:7" hidden="1">
      <c r="A2452" s="202" t="s">
        <v>1658</v>
      </c>
      <c r="B2452" s="203">
        <v>1100</v>
      </c>
      <c r="C2452" s="203">
        <v>0</v>
      </c>
      <c r="D2452" s="202" t="s">
        <v>442</v>
      </c>
      <c r="E2452" s="202" t="s">
        <v>638</v>
      </c>
      <c r="F2452" s="202" t="s">
        <v>396</v>
      </c>
      <c r="G2452" s="202" t="s">
        <v>688</v>
      </c>
    </row>
    <row r="2453" spans="1:7" hidden="1">
      <c r="A2453" s="202" t="s">
        <v>1659</v>
      </c>
      <c r="B2453" s="203">
        <v>4300</v>
      </c>
      <c r="C2453" s="203">
        <v>0</v>
      </c>
      <c r="D2453" s="202" t="s">
        <v>440</v>
      </c>
      <c r="E2453" s="202" t="s">
        <v>638</v>
      </c>
      <c r="F2453" s="202" t="s">
        <v>652</v>
      </c>
      <c r="G2453" s="202" t="s">
        <v>688</v>
      </c>
    </row>
    <row r="2454" spans="1:7" hidden="1">
      <c r="A2454" s="202" t="s">
        <v>1660</v>
      </c>
      <c r="B2454" s="203">
        <v>-76700</v>
      </c>
      <c r="C2454" s="203">
        <v>0</v>
      </c>
      <c r="D2454" s="202" t="s">
        <v>440</v>
      </c>
      <c r="E2454" s="202" t="s">
        <v>638</v>
      </c>
      <c r="F2454" s="202" t="s">
        <v>652</v>
      </c>
      <c r="G2454" s="202" t="s">
        <v>688</v>
      </c>
    </row>
    <row r="2455" spans="1:7" hidden="1">
      <c r="A2455" s="202" t="s">
        <v>1661</v>
      </c>
      <c r="B2455" s="203">
        <v>-3700</v>
      </c>
      <c r="C2455" s="203">
        <v>0</v>
      </c>
      <c r="D2455" s="202" t="s">
        <v>442</v>
      </c>
      <c r="E2455" s="202" t="s">
        <v>638</v>
      </c>
      <c r="F2455" s="202" t="s">
        <v>396</v>
      </c>
      <c r="G2455" s="202" t="s">
        <v>688</v>
      </c>
    </row>
    <row r="2456" spans="1:7" hidden="1">
      <c r="A2456" s="202" t="s">
        <v>657</v>
      </c>
      <c r="B2456" s="203">
        <v>-2123</v>
      </c>
      <c r="C2456" s="203">
        <v>0</v>
      </c>
      <c r="D2456" s="202" t="s">
        <v>440</v>
      </c>
      <c r="E2456" s="202" t="s">
        <v>439</v>
      </c>
      <c r="F2456" s="202" t="s">
        <v>394</v>
      </c>
      <c r="G2456" s="202" t="s">
        <v>688</v>
      </c>
    </row>
    <row r="2457" spans="1:7" hidden="1">
      <c r="A2457" s="202" t="s">
        <v>658</v>
      </c>
      <c r="B2457" s="203">
        <v>2470</v>
      </c>
      <c r="C2457" s="203">
        <v>0</v>
      </c>
      <c r="D2457" s="202" t="s">
        <v>440</v>
      </c>
      <c r="E2457" s="202" t="s">
        <v>317</v>
      </c>
      <c r="F2457" s="202" t="s">
        <v>394</v>
      </c>
      <c r="G2457" s="202" t="s">
        <v>688</v>
      </c>
    </row>
    <row r="2458" spans="1:7" hidden="1">
      <c r="A2458" s="202" t="s">
        <v>658</v>
      </c>
      <c r="B2458" s="203">
        <v>-2470</v>
      </c>
      <c r="C2458" s="203">
        <v>0</v>
      </c>
      <c r="D2458" s="202" t="s">
        <v>440</v>
      </c>
      <c r="E2458" s="202" t="s">
        <v>317</v>
      </c>
      <c r="F2458" s="202" t="s">
        <v>441</v>
      </c>
      <c r="G2458" s="202" t="s">
        <v>688</v>
      </c>
    </row>
    <row r="2459" spans="1:7">
      <c r="A2459" s="202" t="s">
        <v>658</v>
      </c>
      <c r="B2459" s="203">
        <v>-1290</v>
      </c>
      <c r="C2459" s="203">
        <v>0</v>
      </c>
      <c r="D2459" s="202" t="s">
        <v>282</v>
      </c>
      <c r="E2459" s="202" t="s">
        <v>317</v>
      </c>
      <c r="F2459" s="202" t="s">
        <v>394</v>
      </c>
      <c r="G2459" s="202" t="s">
        <v>688</v>
      </c>
    </row>
    <row r="2460" spans="1:7">
      <c r="A2460" s="202" t="s">
        <v>658</v>
      </c>
      <c r="B2460" s="203">
        <v>-1180</v>
      </c>
      <c r="C2460" s="203">
        <v>0</v>
      </c>
      <c r="D2460" s="202" t="s">
        <v>282</v>
      </c>
      <c r="E2460" s="202" t="s">
        <v>317</v>
      </c>
      <c r="F2460" s="202" t="s">
        <v>393</v>
      </c>
      <c r="G2460" s="202" t="s">
        <v>688</v>
      </c>
    </row>
    <row r="2461" spans="1:7">
      <c r="A2461" s="202" t="s">
        <v>658</v>
      </c>
      <c r="B2461" s="203">
        <v>2470</v>
      </c>
      <c r="C2461" s="203">
        <v>0</v>
      </c>
      <c r="D2461" s="202" t="s">
        <v>282</v>
      </c>
      <c r="E2461" s="202" t="s">
        <v>317</v>
      </c>
      <c r="F2461" s="202" t="s">
        <v>441</v>
      </c>
      <c r="G2461" s="202" t="s">
        <v>688</v>
      </c>
    </row>
    <row r="2462" spans="1:7">
      <c r="A2462" s="202" t="s">
        <v>661</v>
      </c>
      <c r="B2462" s="203">
        <v>-34</v>
      </c>
      <c r="C2462" s="203">
        <v>0</v>
      </c>
      <c r="D2462" s="202" t="s">
        <v>282</v>
      </c>
      <c r="E2462" s="202" t="s">
        <v>317</v>
      </c>
      <c r="F2462" s="202" t="s">
        <v>394</v>
      </c>
      <c r="G2462" s="202" t="s">
        <v>688</v>
      </c>
    </row>
    <row r="2463" spans="1:7">
      <c r="A2463" s="202" t="s">
        <v>661</v>
      </c>
      <c r="B2463" s="203">
        <v>34</v>
      </c>
      <c r="C2463" s="203">
        <v>0</v>
      </c>
      <c r="D2463" s="202" t="s">
        <v>282</v>
      </c>
      <c r="E2463" s="202" t="s">
        <v>317</v>
      </c>
      <c r="F2463" s="202" t="s">
        <v>413</v>
      </c>
      <c r="G2463" s="202" t="s">
        <v>688</v>
      </c>
    </row>
    <row r="2464" spans="1:7">
      <c r="A2464" s="202" t="s">
        <v>662</v>
      </c>
      <c r="B2464" s="203">
        <v>-542</v>
      </c>
      <c r="C2464" s="203">
        <v>0</v>
      </c>
      <c r="D2464" s="202" t="s">
        <v>282</v>
      </c>
      <c r="E2464" s="202" t="s">
        <v>317</v>
      </c>
      <c r="F2464" s="202" t="s">
        <v>394</v>
      </c>
      <c r="G2464" s="202" t="s">
        <v>688</v>
      </c>
    </row>
    <row r="2465" spans="1:7">
      <c r="A2465" s="202" t="s">
        <v>662</v>
      </c>
      <c r="B2465" s="203">
        <v>282</v>
      </c>
      <c r="C2465" s="203">
        <v>0</v>
      </c>
      <c r="D2465" s="202" t="s">
        <v>282</v>
      </c>
      <c r="E2465" s="202" t="s">
        <v>317</v>
      </c>
      <c r="F2465" s="202" t="s">
        <v>445</v>
      </c>
      <c r="G2465" s="202" t="s">
        <v>688</v>
      </c>
    </row>
    <row r="2466" spans="1:7">
      <c r="A2466" s="202" t="s">
        <v>662</v>
      </c>
      <c r="B2466" s="203">
        <v>-80</v>
      </c>
      <c r="C2466" s="203">
        <v>0</v>
      </c>
      <c r="D2466" s="202" t="s">
        <v>282</v>
      </c>
      <c r="E2466" s="202" t="s">
        <v>317</v>
      </c>
      <c r="F2466" s="202" t="s">
        <v>404</v>
      </c>
      <c r="G2466" s="202" t="s">
        <v>688</v>
      </c>
    </row>
    <row r="2467" spans="1:7">
      <c r="A2467" s="202" t="s">
        <v>662</v>
      </c>
      <c r="B2467" s="203">
        <v>340</v>
      </c>
      <c r="C2467" s="203">
        <v>0</v>
      </c>
      <c r="D2467" s="202" t="s">
        <v>282</v>
      </c>
      <c r="E2467" s="202" t="s">
        <v>317</v>
      </c>
      <c r="F2467" s="202" t="s">
        <v>393</v>
      </c>
      <c r="G2467" s="202" t="s">
        <v>688</v>
      </c>
    </row>
    <row r="2468" spans="1:7">
      <c r="A2468" s="202" t="s">
        <v>96</v>
      </c>
      <c r="B2468" s="203">
        <v>3086</v>
      </c>
      <c r="C2468" s="203">
        <v>0</v>
      </c>
      <c r="D2468" s="202" t="s">
        <v>282</v>
      </c>
      <c r="E2468" s="202" t="s">
        <v>39</v>
      </c>
      <c r="F2468" s="202" t="s">
        <v>394</v>
      </c>
      <c r="G2468" s="202" t="s">
        <v>688</v>
      </c>
    </row>
    <row r="2469" spans="1:7">
      <c r="A2469" s="202" t="s">
        <v>96</v>
      </c>
      <c r="B2469" s="203">
        <v>-343</v>
      </c>
      <c r="C2469" s="203">
        <v>0</v>
      </c>
      <c r="D2469" s="202" t="s">
        <v>282</v>
      </c>
      <c r="E2469" s="202" t="s">
        <v>39</v>
      </c>
      <c r="F2469" s="202" t="s">
        <v>445</v>
      </c>
      <c r="G2469" s="202" t="s">
        <v>688</v>
      </c>
    </row>
    <row r="2470" spans="1:7">
      <c r="A2470" s="202" t="s">
        <v>96</v>
      </c>
      <c r="B2470" s="203">
        <v>-3047</v>
      </c>
      <c r="C2470" s="203">
        <v>0</v>
      </c>
      <c r="D2470" s="202" t="s">
        <v>282</v>
      </c>
      <c r="E2470" s="202" t="s">
        <v>39</v>
      </c>
      <c r="F2470" s="202" t="s">
        <v>393</v>
      </c>
      <c r="G2470" s="202" t="s">
        <v>688</v>
      </c>
    </row>
    <row r="2471" spans="1:7">
      <c r="A2471" s="202" t="s">
        <v>96</v>
      </c>
      <c r="B2471" s="203">
        <v>466</v>
      </c>
      <c r="C2471" s="203">
        <v>0</v>
      </c>
      <c r="D2471" s="202" t="s">
        <v>282</v>
      </c>
      <c r="E2471" s="202" t="s">
        <v>39</v>
      </c>
      <c r="F2471" s="202" t="s">
        <v>407</v>
      </c>
      <c r="G2471" s="202" t="s">
        <v>688</v>
      </c>
    </row>
    <row r="2472" spans="1:7">
      <c r="A2472" s="202" t="s">
        <v>96</v>
      </c>
      <c r="B2472" s="203">
        <v>-162</v>
      </c>
      <c r="C2472" s="203">
        <v>0</v>
      </c>
      <c r="D2472" s="202" t="s">
        <v>282</v>
      </c>
      <c r="E2472" s="202" t="s">
        <v>39</v>
      </c>
      <c r="F2472" s="202" t="s">
        <v>449</v>
      </c>
      <c r="G2472" s="202" t="s">
        <v>688</v>
      </c>
    </row>
    <row r="2473" spans="1:7" hidden="1">
      <c r="A2473" s="202" t="s">
        <v>665</v>
      </c>
      <c r="B2473" s="203">
        <v>-433</v>
      </c>
      <c r="C2473" s="203">
        <v>0</v>
      </c>
      <c r="D2473" s="202" t="s">
        <v>442</v>
      </c>
      <c r="E2473" s="202" t="s">
        <v>317</v>
      </c>
      <c r="F2473" s="202" t="s">
        <v>394</v>
      </c>
      <c r="G2473" s="202" t="s">
        <v>688</v>
      </c>
    </row>
    <row r="2474" spans="1:7" hidden="1">
      <c r="A2474" s="202" t="s">
        <v>82</v>
      </c>
      <c r="B2474" s="203">
        <v>101</v>
      </c>
      <c r="C2474" s="203">
        <v>0</v>
      </c>
      <c r="D2474" s="202" t="s">
        <v>283</v>
      </c>
      <c r="E2474" s="202" t="s">
        <v>317</v>
      </c>
      <c r="F2474" s="202" t="s">
        <v>394</v>
      </c>
      <c r="G2474" s="202" t="s">
        <v>688</v>
      </c>
    </row>
    <row r="2475" spans="1:7" hidden="1">
      <c r="A2475" s="202" t="s">
        <v>82</v>
      </c>
      <c r="B2475" s="203">
        <v>-101</v>
      </c>
      <c r="C2475" s="203">
        <v>0</v>
      </c>
      <c r="D2475" s="202" t="s">
        <v>283</v>
      </c>
      <c r="E2475" s="202" t="s">
        <v>317</v>
      </c>
      <c r="F2475" s="202" t="s">
        <v>441</v>
      </c>
      <c r="G2475" s="202" t="s">
        <v>688</v>
      </c>
    </row>
    <row r="2476" spans="1:7">
      <c r="A2476" s="202" t="s">
        <v>82</v>
      </c>
      <c r="B2476" s="203">
        <v>265</v>
      </c>
      <c r="C2476" s="203">
        <v>0</v>
      </c>
      <c r="D2476" s="202" t="s">
        <v>282</v>
      </c>
      <c r="E2476" s="202" t="s">
        <v>317</v>
      </c>
      <c r="F2476" s="202" t="s">
        <v>394</v>
      </c>
      <c r="G2476" s="202" t="s">
        <v>688</v>
      </c>
    </row>
    <row r="2477" spans="1:7">
      <c r="A2477" s="202" t="s">
        <v>82</v>
      </c>
      <c r="B2477" s="203">
        <v>173</v>
      </c>
      <c r="C2477" s="203">
        <v>0</v>
      </c>
      <c r="D2477" s="202" t="s">
        <v>282</v>
      </c>
      <c r="E2477" s="202" t="s">
        <v>317</v>
      </c>
      <c r="F2477" s="202" t="s">
        <v>393</v>
      </c>
      <c r="G2477" s="202" t="s">
        <v>688</v>
      </c>
    </row>
    <row r="2478" spans="1:7">
      <c r="A2478" s="202" t="s">
        <v>82</v>
      </c>
      <c r="B2478" s="203">
        <v>-348</v>
      </c>
      <c r="C2478" s="203">
        <v>0</v>
      </c>
      <c r="D2478" s="202" t="s">
        <v>282</v>
      </c>
      <c r="E2478" s="202" t="s">
        <v>317</v>
      </c>
      <c r="F2478" s="202" t="s">
        <v>413</v>
      </c>
      <c r="G2478" s="202" t="s">
        <v>688</v>
      </c>
    </row>
    <row r="2479" spans="1:7">
      <c r="A2479" s="202" t="s">
        <v>82</v>
      </c>
      <c r="B2479" s="203">
        <v>-191</v>
      </c>
      <c r="C2479" s="203">
        <v>0</v>
      </c>
      <c r="D2479" s="202" t="s">
        <v>282</v>
      </c>
      <c r="E2479" s="202" t="s">
        <v>317</v>
      </c>
      <c r="F2479" s="202" t="s">
        <v>403</v>
      </c>
      <c r="G2479" s="202" t="s">
        <v>688</v>
      </c>
    </row>
    <row r="2480" spans="1:7">
      <c r="A2480" s="202" t="s">
        <v>82</v>
      </c>
      <c r="B2480" s="203">
        <v>101</v>
      </c>
      <c r="C2480" s="203">
        <v>0</v>
      </c>
      <c r="D2480" s="202" t="s">
        <v>282</v>
      </c>
      <c r="E2480" s="202" t="s">
        <v>317</v>
      </c>
      <c r="F2480" s="202" t="s">
        <v>441</v>
      </c>
      <c r="G2480" s="202" t="s">
        <v>688</v>
      </c>
    </row>
    <row r="2481" spans="1:7" hidden="1">
      <c r="A2481" s="202" t="s">
        <v>666</v>
      </c>
      <c r="B2481" s="203">
        <v>2</v>
      </c>
      <c r="C2481" s="203">
        <v>0</v>
      </c>
      <c r="D2481" s="202" t="s">
        <v>283</v>
      </c>
      <c r="E2481" s="202" t="s">
        <v>319</v>
      </c>
      <c r="F2481" s="202" t="s">
        <v>394</v>
      </c>
      <c r="G2481" s="202" t="s">
        <v>688</v>
      </c>
    </row>
    <row r="2482" spans="1:7">
      <c r="A2482" s="202" t="s">
        <v>666</v>
      </c>
      <c r="B2482" s="203">
        <v>-2</v>
      </c>
      <c r="C2482" s="203">
        <v>0</v>
      </c>
      <c r="D2482" s="202" t="s">
        <v>282</v>
      </c>
      <c r="E2482" s="202" t="s">
        <v>319</v>
      </c>
      <c r="F2482" s="202" t="s">
        <v>394</v>
      </c>
      <c r="G2482" s="202" t="s">
        <v>688</v>
      </c>
    </row>
    <row r="2483" spans="1:7">
      <c r="A2483" s="202" t="s">
        <v>666</v>
      </c>
      <c r="B2483" s="203">
        <v>5</v>
      </c>
      <c r="C2483" s="203">
        <v>0</v>
      </c>
      <c r="D2483" s="202" t="s">
        <v>282</v>
      </c>
      <c r="E2483" s="202" t="s">
        <v>319</v>
      </c>
      <c r="F2483" s="202" t="s">
        <v>408</v>
      </c>
      <c r="G2483" s="202" t="s">
        <v>688</v>
      </c>
    </row>
    <row r="2484" spans="1:7" hidden="1">
      <c r="A2484" s="202" t="s">
        <v>670</v>
      </c>
      <c r="B2484" s="203">
        <v>-1850</v>
      </c>
      <c r="C2484" s="203">
        <v>0</v>
      </c>
      <c r="D2484" s="202" t="s">
        <v>440</v>
      </c>
      <c r="E2484" s="202" t="s">
        <v>439</v>
      </c>
      <c r="F2484" s="202" t="s">
        <v>394</v>
      </c>
      <c r="G2484" s="202" t="s">
        <v>688</v>
      </c>
    </row>
    <row r="2485" spans="1:7" hidden="1">
      <c r="A2485" s="202" t="s">
        <v>671</v>
      </c>
      <c r="B2485" s="203">
        <v>7000000</v>
      </c>
      <c r="C2485" s="203">
        <v>0</v>
      </c>
      <c r="D2485" s="202" t="s">
        <v>437</v>
      </c>
      <c r="E2485" s="202" t="s">
        <v>672</v>
      </c>
      <c r="F2485" s="202" t="s">
        <v>673</v>
      </c>
      <c r="G2485" s="202" t="s">
        <v>688</v>
      </c>
    </row>
    <row r="2486" spans="1:7" hidden="1">
      <c r="A2486" s="202" t="s">
        <v>674</v>
      </c>
      <c r="B2486" s="203">
        <v>9800000</v>
      </c>
      <c r="C2486" s="203">
        <v>0</v>
      </c>
      <c r="D2486" s="202" t="s">
        <v>437</v>
      </c>
      <c r="E2486" s="202" t="s">
        <v>672</v>
      </c>
      <c r="F2486" s="202" t="s">
        <v>673</v>
      </c>
      <c r="G2486" s="202" t="s">
        <v>688</v>
      </c>
    </row>
    <row r="2487" spans="1:7" hidden="1">
      <c r="A2487" s="202" t="s">
        <v>675</v>
      </c>
      <c r="B2487" s="203">
        <v>-7000000</v>
      </c>
      <c r="C2487" s="203">
        <v>0</v>
      </c>
      <c r="D2487" s="202" t="s">
        <v>437</v>
      </c>
      <c r="E2487" s="202" t="s">
        <v>672</v>
      </c>
      <c r="F2487" s="202" t="s">
        <v>673</v>
      </c>
      <c r="G2487" s="202" t="s">
        <v>688</v>
      </c>
    </row>
    <row r="2488" spans="1:7" hidden="1">
      <c r="A2488" s="202" t="s">
        <v>676</v>
      </c>
      <c r="B2488" s="203">
        <v>-9800000</v>
      </c>
      <c r="C2488" s="203">
        <v>0</v>
      </c>
      <c r="D2488" s="202" t="s">
        <v>437</v>
      </c>
      <c r="E2488" s="202" t="s">
        <v>672</v>
      </c>
      <c r="F2488" s="202" t="s">
        <v>673</v>
      </c>
      <c r="G2488" s="202" t="s">
        <v>688</v>
      </c>
    </row>
    <row r="2489" spans="1:7" hidden="1">
      <c r="A2489" s="202" t="s">
        <v>364</v>
      </c>
      <c r="B2489" s="203">
        <v>-2805</v>
      </c>
      <c r="C2489" s="203">
        <v>0</v>
      </c>
      <c r="D2489" s="202" t="s">
        <v>480</v>
      </c>
      <c r="E2489" s="202" t="s">
        <v>447</v>
      </c>
      <c r="F2489" s="202" t="s">
        <v>394</v>
      </c>
      <c r="G2489" s="202" t="s">
        <v>688</v>
      </c>
    </row>
    <row r="2490" spans="1:7" hidden="1">
      <c r="A2490" s="202" t="s">
        <v>364</v>
      </c>
      <c r="B2490" s="203">
        <v>2805</v>
      </c>
      <c r="C2490" s="203">
        <v>0</v>
      </c>
      <c r="D2490" s="202" t="s">
        <v>480</v>
      </c>
      <c r="E2490" s="202" t="s">
        <v>447</v>
      </c>
      <c r="F2490" s="202" t="s">
        <v>404</v>
      </c>
      <c r="G2490" s="202" t="s">
        <v>688</v>
      </c>
    </row>
    <row r="2491" spans="1:7" hidden="1">
      <c r="A2491" s="202" t="s">
        <v>364</v>
      </c>
      <c r="B2491" s="203">
        <v>2805</v>
      </c>
      <c r="C2491" s="203">
        <v>0</v>
      </c>
      <c r="D2491" s="202" t="s">
        <v>587</v>
      </c>
      <c r="E2491" s="202" t="s">
        <v>447</v>
      </c>
      <c r="F2491" s="202" t="s">
        <v>394</v>
      </c>
      <c r="G2491" s="202" t="s">
        <v>688</v>
      </c>
    </row>
    <row r="2492" spans="1:7" hidden="1">
      <c r="A2492" s="202" t="s">
        <v>364</v>
      </c>
      <c r="B2492" s="203">
        <v>-2805</v>
      </c>
      <c r="C2492" s="203">
        <v>0</v>
      </c>
      <c r="D2492" s="202" t="s">
        <v>587</v>
      </c>
      <c r="E2492" s="202" t="s">
        <v>447</v>
      </c>
      <c r="F2492" s="202" t="s">
        <v>404</v>
      </c>
      <c r="G2492" s="202" t="s">
        <v>688</v>
      </c>
    </row>
    <row r="2493" spans="1:7">
      <c r="A2493" s="202" t="s">
        <v>364</v>
      </c>
      <c r="B2493" s="203">
        <v>1015</v>
      </c>
      <c r="C2493" s="203">
        <v>0</v>
      </c>
      <c r="D2493" s="202" t="s">
        <v>282</v>
      </c>
      <c r="E2493" s="202" t="s">
        <v>447</v>
      </c>
      <c r="F2493" s="202" t="s">
        <v>394</v>
      </c>
      <c r="G2493" s="202" t="s">
        <v>688</v>
      </c>
    </row>
    <row r="2494" spans="1:7">
      <c r="A2494" s="202" t="s">
        <v>364</v>
      </c>
      <c r="B2494" s="203">
        <v>-809</v>
      </c>
      <c r="C2494" s="203">
        <v>0</v>
      </c>
      <c r="D2494" s="202" t="s">
        <v>282</v>
      </c>
      <c r="E2494" s="202" t="s">
        <v>447</v>
      </c>
      <c r="F2494" s="202" t="s">
        <v>397</v>
      </c>
      <c r="G2494" s="202" t="s">
        <v>688</v>
      </c>
    </row>
    <row r="2495" spans="1:7">
      <c r="A2495" s="202" t="s">
        <v>364</v>
      </c>
      <c r="B2495" s="203">
        <v>-206</v>
      </c>
      <c r="C2495" s="203">
        <v>0</v>
      </c>
      <c r="D2495" s="202" t="s">
        <v>282</v>
      </c>
      <c r="E2495" s="202" t="s">
        <v>447</v>
      </c>
      <c r="F2495" s="202" t="s">
        <v>393</v>
      </c>
      <c r="G2495" s="202" t="s">
        <v>688</v>
      </c>
    </row>
    <row r="2496" spans="1:7" hidden="1">
      <c r="A2496" s="202" t="s">
        <v>87</v>
      </c>
      <c r="B2496" s="203">
        <v>3</v>
      </c>
      <c r="C2496" s="203">
        <v>0</v>
      </c>
      <c r="D2496" s="202" t="s">
        <v>283</v>
      </c>
      <c r="E2496" s="202" t="s">
        <v>317</v>
      </c>
      <c r="F2496" s="202" t="s">
        <v>394</v>
      </c>
      <c r="G2496" s="202" t="s">
        <v>688</v>
      </c>
    </row>
    <row r="2497" spans="1:7" hidden="1">
      <c r="A2497" s="202" t="s">
        <v>87</v>
      </c>
      <c r="B2497" s="203">
        <v>-3</v>
      </c>
      <c r="C2497" s="203">
        <v>0</v>
      </c>
      <c r="D2497" s="202" t="s">
        <v>283</v>
      </c>
      <c r="E2497" s="202" t="s">
        <v>317</v>
      </c>
      <c r="F2497" s="202" t="s">
        <v>441</v>
      </c>
      <c r="G2497" s="202" t="s">
        <v>688</v>
      </c>
    </row>
    <row r="2498" spans="1:7">
      <c r="A2498" s="202" t="s">
        <v>87</v>
      </c>
      <c r="B2498" s="203">
        <v>677</v>
      </c>
      <c r="C2498" s="203">
        <v>0</v>
      </c>
      <c r="D2498" s="202" t="s">
        <v>282</v>
      </c>
      <c r="E2498" s="202" t="s">
        <v>317</v>
      </c>
      <c r="F2498" s="202" t="s">
        <v>394</v>
      </c>
      <c r="G2498" s="202" t="s">
        <v>688</v>
      </c>
    </row>
    <row r="2499" spans="1:7">
      <c r="A2499" s="202" t="s">
        <v>87</v>
      </c>
      <c r="B2499" s="203">
        <v>-232</v>
      </c>
      <c r="C2499" s="203">
        <v>0</v>
      </c>
      <c r="D2499" s="202" t="s">
        <v>282</v>
      </c>
      <c r="E2499" s="202" t="s">
        <v>317</v>
      </c>
      <c r="F2499" s="202" t="s">
        <v>393</v>
      </c>
      <c r="G2499" s="202" t="s">
        <v>688</v>
      </c>
    </row>
    <row r="2500" spans="1:7">
      <c r="A2500" s="202" t="s">
        <v>87</v>
      </c>
      <c r="B2500" s="203">
        <v>-49</v>
      </c>
      <c r="C2500" s="203">
        <v>0</v>
      </c>
      <c r="D2500" s="202" t="s">
        <v>282</v>
      </c>
      <c r="E2500" s="202" t="s">
        <v>317</v>
      </c>
      <c r="F2500" s="202" t="s">
        <v>413</v>
      </c>
      <c r="G2500" s="202" t="s">
        <v>688</v>
      </c>
    </row>
    <row r="2501" spans="1:7">
      <c r="A2501" s="202" t="s">
        <v>87</v>
      </c>
      <c r="B2501" s="203">
        <v>-399</v>
      </c>
      <c r="C2501" s="203">
        <v>0</v>
      </c>
      <c r="D2501" s="202" t="s">
        <v>282</v>
      </c>
      <c r="E2501" s="202" t="s">
        <v>317</v>
      </c>
      <c r="F2501" s="202" t="s">
        <v>403</v>
      </c>
      <c r="G2501" s="202" t="s">
        <v>688</v>
      </c>
    </row>
    <row r="2502" spans="1:7">
      <c r="A2502" s="202" t="s">
        <v>87</v>
      </c>
      <c r="B2502" s="203">
        <v>3</v>
      </c>
      <c r="C2502" s="203">
        <v>0</v>
      </c>
      <c r="D2502" s="202" t="s">
        <v>282</v>
      </c>
      <c r="E2502" s="202" t="s">
        <v>317</v>
      </c>
      <c r="F2502" s="202" t="s">
        <v>441</v>
      </c>
      <c r="G2502" s="202" t="s">
        <v>688</v>
      </c>
    </row>
    <row r="2503" spans="1:7" hidden="1">
      <c r="A2503" s="202" t="s">
        <v>677</v>
      </c>
      <c r="B2503" s="203">
        <v>114626</v>
      </c>
      <c r="C2503" s="203">
        <v>0</v>
      </c>
      <c r="D2503" s="202" t="s">
        <v>440</v>
      </c>
      <c r="E2503" s="202" t="s">
        <v>39</v>
      </c>
      <c r="F2503" s="202" t="s">
        <v>394</v>
      </c>
      <c r="G2503" s="202" t="s">
        <v>688</v>
      </c>
    </row>
    <row r="2504" spans="1:7" hidden="1">
      <c r="A2504" s="202" t="s">
        <v>677</v>
      </c>
      <c r="B2504" s="203">
        <v>-11250</v>
      </c>
      <c r="C2504" s="203">
        <v>0</v>
      </c>
      <c r="D2504" s="202" t="s">
        <v>440</v>
      </c>
      <c r="E2504" s="202" t="s">
        <v>39</v>
      </c>
      <c r="F2504" s="202" t="s">
        <v>441</v>
      </c>
      <c r="G2504" s="202" t="s">
        <v>688</v>
      </c>
    </row>
    <row r="2505" spans="1:7" hidden="1">
      <c r="A2505" s="202" t="s">
        <v>677</v>
      </c>
      <c r="B2505" s="203">
        <v>-11250</v>
      </c>
      <c r="C2505" s="203">
        <v>0</v>
      </c>
      <c r="D2505" s="202" t="s">
        <v>437</v>
      </c>
      <c r="E2505" s="202" t="s">
        <v>39</v>
      </c>
      <c r="F2505" s="202" t="s">
        <v>394</v>
      </c>
      <c r="G2505" s="202" t="s">
        <v>688</v>
      </c>
    </row>
    <row r="2506" spans="1:7" hidden="1">
      <c r="A2506" s="202" t="s">
        <v>677</v>
      </c>
      <c r="B2506" s="203">
        <v>11250</v>
      </c>
      <c r="C2506" s="203">
        <v>0</v>
      </c>
      <c r="D2506" s="202" t="s">
        <v>437</v>
      </c>
      <c r="E2506" s="202" t="s">
        <v>39</v>
      </c>
      <c r="F2506" s="202" t="s">
        <v>441</v>
      </c>
      <c r="G2506" s="202" t="s">
        <v>688</v>
      </c>
    </row>
    <row r="2507" spans="1:7" hidden="1">
      <c r="A2507" s="202" t="s">
        <v>1662</v>
      </c>
      <c r="B2507" s="203">
        <v>283000</v>
      </c>
      <c r="C2507" s="203">
        <v>0</v>
      </c>
      <c r="D2507" s="202" t="s">
        <v>440</v>
      </c>
      <c r="E2507" s="202" t="s">
        <v>692</v>
      </c>
      <c r="F2507" s="202" t="s">
        <v>409</v>
      </c>
      <c r="G2507" s="202" t="s">
        <v>688</v>
      </c>
    </row>
    <row r="2508" spans="1:7">
      <c r="A2508" s="202" t="s">
        <v>678</v>
      </c>
      <c r="B2508" s="203">
        <v>636</v>
      </c>
      <c r="C2508" s="203">
        <v>0</v>
      </c>
      <c r="D2508" s="202" t="s">
        <v>282</v>
      </c>
      <c r="E2508" s="202" t="s">
        <v>317</v>
      </c>
      <c r="F2508" s="202" t="s">
        <v>445</v>
      </c>
      <c r="G2508" s="202" t="s">
        <v>688</v>
      </c>
    </row>
    <row r="2509" spans="1:7">
      <c r="A2509" s="202" t="s">
        <v>678</v>
      </c>
      <c r="B2509" s="203">
        <v>-636</v>
      </c>
      <c r="C2509" s="203">
        <v>0</v>
      </c>
      <c r="D2509" s="202" t="s">
        <v>282</v>
      </c>
      <c r="E2509" s="202" t="s">
        <v>317</v>
      </c>
      <c r="F2509" s="202" t="s">
        <v>393</v>
      </c>
      <c r="G2509" s="202" t="s">
        <v>688</v>
      </c>
    </row>
    <row r="2510" spans="1:7">
      <c r="A2510" s="202" t="s">
        <v>1663</v>
      </c>
      <c r="B2510" s="203">
        <v>76</v>
      </c>
      <c r="C2510" s="203">
        <v>0</v>
      </c>
      <c r="D2510" s="202" t="s">
        <v>282</v>
      </c>
      <c r="E2510" s="202" t="s">
        <v>317</v>
      </c>
      <c r="F2510" s="202" t="s">
        <v>394</v>
      </c>
      <c r="G2510" s="202" t="s">
        <v>688</v>
      </c>
    </row>
    <row r="2511" spans="1:7">
      <c r="A2511" s="202" t="s">
        <v>1663</v>
      </c>
      <c r="B2511" s="203">
        <v>-76</v>
      </c>
      <c r="C2511" s="203">
        <v>0</v>
      </c>
      <c r="D2511" s="202" t="s">
        <v>282</v>
      </c>
      <c r="E2511" s="202" t="s">
        <v>317</v>
      </c>
      <c r="F2511" s="202" t="s">
        <v>449</v>
      </c>
      <c r="G2511" s="202" t="s">
        <v>688</v>
      </c>
    </row>
    <row r="2512" spans="1:7">
      <c r="A2512" s="202" t="s">
        <v>151</v>
      </c>
      <c r="B2512" s="203">
        <v>-1742</v>
      </c>
      <c r="C2512" s="203">
        <v>0</v>
      </c>
      <c r="D2512" s="202" t="s">
        <v>282</v>
      </c>
      <c r="E2512" s="202" t="s">
        <v>317</v>
      </c>
      <c r="F2512" s="202" t="s">
        <v>394</v>
      </c>
      <c r="G2512" s="202" t="s">
        <v>688</v>
      </c>
    </row>
    <row r="2513" spans="1:7">
      <c r="A2513" s="202" t="s">
        <v>151</v>
      </c>
      <c r="B2513" s="203">
        <v>1742</v>
      </c>
      <c r="C2513" s="203">
        <v>0</v>
      </c>
      <c r="D2513" s="202" t="s">
        <v>282</v>
      </c>
      <c r="E2513" s="202" t="s">
        <v>317</v>
      </c>
      <c r="F2513" s="202" t="s">
        <v>411</v>
      </c>
      <c r="G2513" s="202" t="s">
        <v>688</v>
      </c>
    </row>
    <row r="2514" spans="1:7" hidden="1">
      <c r="A2514" s="202" t="s">
        <v>88</v>
      </c>
      <c r="B2514" s="203">
        <v>3630</v>
      </c>
      <c r="C2514" s="203">
        <v>0</v>
      </c>
      <c r="D2514" s="202" t="s">
        <v>283</v>
      </c>
      <c r="E2514" s="202" t="s">
        <v>320</v>
      </c>
      <c r="F2514" s="202" t="s">
        <v>394</v>
      </c>
      <c r="G2514" s="202" t="s">
        <v>688</v>
      </c>
    </row>
    <row r="2515" spans="1:7" hidden="1">
      <c r="A2515" s="202" t="s">
        <v>88</v>
      </c>
      <c r="B2515" s="203">
        <v>-3630</v>
      </c>
      <c r="C2515" s="203">
        <v>0</v>
      </c>
      <c r="D2515" s="202" t="s">
        <v>283</v>
      </c>
      <c r="E2515" s="202" t="s">
        <v>320</v>
      </c>
      <c r="F2515" s="202" t="s">
        <v>441</v>
      </c>
      <c r="G2515" s="202" t="s">
        <v>688</v>
      </c>
    </row>
    <row r="2516" spans="1:7">
      <c r="A2516" s="202" t="s">
        <v>88</v>
      </c>
      <c r="B2516" s="203">
        <v>-378</v>
      </c>
      <c r="C2516" s="203">
        <v>0</v>
      </c>
      <c r="D2516" s="202" t="s">
        <v>282</v>
      </c>
      <c r="E2516" s="202" t="s">
        <v>320</v>
      </c>
      <c r="F2516" s="202" t="s">
        <v>394</v>
      </c>
      <c r="G2516" s="202" t="s">
        <v>688</v>
      </c>
    </row>
    <row r="2517" spans="1:7">
      <c r="A2517" s="202" t="s">
        <v>88</v>
      </c>
      <c r="B2517" s="203">
        <v>-3072</v>
      </c>
      <c r="C2517" s="203">
        <v>0</v>
      </c>
      <c r="D2517" s="202" t="s">
        <v>282</v>
      </c>
      <c r="E2517" s="202" t="s">
        <v>320</v>
      </c>
      <c r="F2517" s="202" t="s">
        <v>445</v>
      </c>
      <c r="G2517" s="202" t="s">
        <v>688</v>
      </c>
    </row>
    <row r="2518" spans="1:7">
      <c r="A2518" s="202" t="s">
        <v>88</v>
      </c>
      <c r="B2518" s="203">
        <v>8294</v>
      </c>
      <c r="C2518" s="203">
        <v>0</v>
      </c>
      <c r="D2518" s="202" t="s">
        <v>282</v>
      </c>
      <c r="E2518" s="202" t="s">
        <v>320</v>
      </c>
      <c r="F2518" s="202" t="s">
        <v>408</v>
      </c>
      <c r="G2518" s="202" t="s">
        <v>688</v>
      </c>
    </row>
    <row r="2519" spans="1:7">
      <c r="A2519" s="202" t="s">
        <v>88</v>
      </c>
      <c r="B2519" s="203">
        <v>-6262</v>
      </c>
      <c r="C2519" s="203">
        <v>0</v>
      </c>
      <c r="D2519" s="202" t="s">
        <v>282</v>
      </c>
      <c r="E2519" s="202" t="s">
        <v>320</v>
      </c>
      <c r="F2519" s="202" t="s">
        <v>393</v>
      </c>
      <c r="G2519" s="202" t="s">
        <v>688</v>
      </c>
    </row>
    <row r="2520" spans="1:7">
      <c r="A2520" s="202" t="s">
        <v>88</v>
      </c>
      <c r="B2520" s="203">
        <v>-2212</v>
      </c>
      <c r="C2520" s="203">
        <v>0</v>
      </c>
      <c r="D2520" s="202" t="s">
        <v>282</v>
      </c>
      <c r="E2520" s="202" t="s">
        <v>320</v>
      </c>
      <c r="F2520" s="202" t="s">
        <v>403</v>
      </c>
      <c r="G2520" s="202" t="s">
        <v>688</v>
      </c>
    </row>
    <row r="2521" spans="1:7">
      <c r="A2521" s="202" t="s">
        <v>88</v>
      </c>
      <c r="B2521" s="203">
        <v>3630</v>
      </c>
      <c r="C2521" s="203">
        <v>0</v>
      </c>
      <c r="D2521" s="202" t="s">
        <v>282</v>
      </c>
      <c r="E2521" s="202" t="s">
        <v>320</v>
      </c>
      <c r="F2521" s="202" t="s">
        <v>441</v>
      </c>
      <c r="G2521" s="202" t="s">
        <v>688</v>
      </c>
    </row>
    <row r="2522" spans="1:7" hidden="1">
      <c r="A2522" s="202" t="s">
        <v>88</v>
      </c>
      <c r="B2522" s="203">
        <v>1172</v>
      </c>
      <c r="C2522" s="203">
        <v>0</v>
      </c>
      <c r="D2522" s="202" t="s">
        <v>442</v>
      </c>
      <c r="E2522" s="202" t="s">
        <v>320</v>
      </c>
      <c r="F2522" s="202" t="s">
        <v>394</v>
      </c>
      <c r="G2522" s="202" t="s">
        <v>688</v>
      </c>
    </row>
    <row r="2523" spans="1:7" hidden="1">
      <c r="A2523" s="202" t="s">
        <v>680</v>
      </c>
      <c r="B2523" s="203">
        <v>-7</v>
      </c>
      <c r="C2523" s="203">
        <v>0</v>
      </c>
      <c r="D2523" s="202" t="s">
        <v>283</v>
      </c>
      <c r="E2523" s="202" t="s">
        <v>324</v>
      </c>
      <c r="F2523" s="202" t="s">
        <v>394</v>
      </c>
      <c r="G2523" s="202" t="s">
        <v>688</v>
      </c>
    </row>
    <row r="2524" spans="1:7" hidden="1">
      <c r="A2524" s="202" t="s">
        <v>680</v>
      </c>
      <c r="B2524" s="203">
        <v>7</v>
      </c>
      <c r="C2524" s="203">
        <v>0</v>
      </c>
      <c r="D2524" s="202" t="s">
        <v>283</v>
      </c>
      <c r="E2524" s="202" t="s">
        <v>324</v>
      </c>
      <c r="F2524" s="202" t="s">
        <v>441</v>
      </c>
      <c r="G2524" s="202" t="s">
        <v>688</v>
      </c>
    </row>
    <row r="2525" spans="1:7">
      <c r="A2525" s="202" t="s">
        <v>680</v>
      </c>
      <c r="B2525" s="203">
        <v>7</v>
      </c>
      <c r="C2525" s="203">
        <v>0</v>
      </c>
      <c r="D2525" s="202" t="s">
        <v>282</v>
      </c>
      <c r="E2525" s="202" t="s">
        <v>324</v>
      </c>
      <c r="F2525" s="202" t="s">
        <v>394</v>
      </c>
      <c r="G2525" s="202" t="s">
        <v>688</v>
      </c>
    </row>
    <row r="2526" spans="1:7">
      <c r="A2526" s="202" t="s">
        <v>680</v>
      </c>
      <c r="B2526" s="203">
        <v>15</v>
      </c>
      <c r="C2526" s="203">
        <v>0</v>
      </c>
      <c r="D2526" s="202" t="s">
        <v>282</v>
      </c>
      <c r="E2526" s="202" t="s">
        <v>324</v>
      </c>
      <c r="F2526" s="202" t="s">
        <v>408</v>
      </c>
      <c r="G2526" s="202" t="s">
        <v>688</v>
      </c>
    </row>
    <row r="2527" spans="1:7">
      <c r="A2527" s="202" t="s">
        <v>680</v>
      </c>
      <c r="B2527" s="203">
        <v>-15</v>
      </c>
      <c r="C2527" s="203">
        <v>0</v>
      </c>
      <c r="D2527" s="202" t="s">
        <v>282</v>
      </c>
      <c r="E2527" s="202" t="s">
        <v>324</v>
      </c>
      <c r="F2527" s="202" t="s">
        <v>393</v>
      </c>
      <c r="G2527" s="202" t="s">
        <v>688</v>
      </c>
    </row>
    <row r="2528" spans="1:7">
      <c r="A2528" s="202" t="s">
        <v>680</v>
      </c>
      <c r="B2528" s="203">
        <v>-7</v>
      </c>
      <c r="C2528" s="203">
        <v>0</v>
      </c>
      <c r="D2528" s="202" t="s">
        <v>282</v>
      </c>
      <c r="E2528" s="202" t="s">
        <v>324</v>
      </c>
      <c r="F2528" s="202" t="s">
        <v>441</v>
      </c>
      <c r="G2528" s="202" t="s">
        <v>688</v>
      </c>
    </row>
    <row r="2529" spans="1:7" hidden="1">
      <c r="A2529" s="202" t="s">
        <v>681</v>
      </c>
      <c r="B2529" s="203">
        <v>-37</v>
      </c>
      <c r="C2529" s="203">
        <v>0</v>
      </c>
      <c r="D2529" s="202" t="s">
        <v>283</v>
      </c>
      <c r="E2529" s="202" t="s">
        <v>324</v>
      </c>
      <c r="F2529" s="202" t="s">
        <v>394</v>
      </c>
      <c r="G2529" s="202" t="s">
        <v>688</v>
      </c>
    </row>
    <row r="2530" spans="1:7" hidden="1">
      <c r="A2530" s="202" t="s">
        <v>681</v>
      </c>
      <c r="B2530" s="203">
        <v>37</v>
      </c>
      <c r="C2530" s="203">
        <v>0</v>
      </c>
      <c r="D2530" s="202" t="s">
        <v>283</v>
      </c>
      <c r="E2530" s="202" t="s">
        <v>324</v>
      </c>
      <c r="F2530" s="202" t="s">
        <v>441</v>
      </c>
      <c r="G2530" s="202" t="s">
        <v>688</v>
      </c>
    </row>
    <row r="2531" spans="1:7">
      <c r="A2531" s="202" t="s">
        <v>681</v>
      </c>
      <c r="B2531" s="203">
        <v>94</v>
      </c>
      <c r="C2531" s="203">
        <v>0</v>
      </c>
      <c r="D2531" s="202" t="s">
        <v>282</v>
      </c>
      <c r="E2531" s="202" t="s">
        <v>324</v>
      </c>
      <c r="F2531" s="202" t="s">
        <v>394</v>
      </c>
      <c r="G2531" s="202" t="s">
        <v>688</v>
      </c>
    </row>
    <row r="2532" spans="1:7">
      <c r="A2532" s="202" t="s">
        <v>681</v>
      </c>
      <c r="B2532" s="203">
        <v>-98</v>
      </c>
      <c r="C2532" s="203">
        <v>0</v>
      </c>
      <c r="D2532" s="202" t="s">
        <v>282</v>
      </c>
      <c r="E2532" s="202" t="s">
        <v>324</v>
      </c>
      <c r="F2532" s="202" t="s">
        <v>408</v>
      </c>
      <c r="G2532" s="202" t="s">
        <v>688</v>
      </c>
    </row>
    <row r="2533" spans="1:7">
      <c r="A2533" s="202" t="s">
        <v>681</v>
      </c>
      <c r="B2533" s="203">
        <v>41</v>
      </c>
      <c r="C2533" s="203">
        <v>0</v>
      </c>
      <c r="D2533" s="202" t="s">
        <v>282</v>
      </c>
      <c r="E2533" s="202" t="s">
        <v>324</v>
      </c>
      <c r="F2533" s="202" t="s">
        <v>393</v>
      </c>
      <c r="G2533" s="202" t="s">
        <v>688</v>
      </c>
    </row>
    <row r="2534" spans="1:7">
      <c r="A2534" s="202" t="s">
        <v>681</v>
      </c>
      <c r="B2534" s="203">
        <v>-37</v>
      </c>
      <c r="C2534" s="203">
        <v>0</v>
      </c>
      <c r="D2534" s="202" t="s">
        <v>282</v>
      </c>
      <c r="E2534" s="202" t="s">
        <v>324</v>
      </c>
      <c r="F2534" s="202" t="s">
        <v>441</v>
      </c>
      <c r="G2534" s="202" t="s">
        <v>688</v>
      </c>
    </row>
    <row r="2535" spans="1:7" hidden="1">
      <c r="A2535" s="202" t="s">
        <v>682</v>
      </c>
      <c r="B2535" s="203">
        <v>110</v>
      </c>
      <c r="C2535" s="203">
        <v>0</v>
      </c>
      <c r="D2535" s="202" t="s">
        <v>437</v>
      </c>
      <c r="E2535" s="202" t="s">
        <v>324</v>
      </c>
      <c r="F2535" s="202" t="s">
        <v>394</v>
      </c>
      <c r="G2535" s="202" t="s">
        <v>688</v>
      </c>
    </row>
    <row r="2536" spans="1:7" hidden="1">
      <c r="A2536" s="202" t="s">
        <v>4</v>
      </c>
      <c r="B2536" s="203">
        <v>-776</v>
      </c>
      <c r="C2536" s="203">
        <v>0</v>
      </c>
      <c r="D2536" s="202" t="s">
        <v>442</v>
      </c>
      <c r="E2536" s="202" t="s">
        <v>320</v>
      </c>
      <c r="F2536" s="202" t="s">
        <v>394</v>
      </c>
      <c r="G2536" s="202" t="s">
        <v>688</v>
      </c>
    </row>
    <row r="2537" spans="1:7" hidden="1">
      <c r="A2537" s="202" t="s">
        <v>142</v>
      </c>
      <c r="B2537" s="203">
        <v>-5679</v>
      </c>
      <c r="C2537" s="203">
        <v>0</v>
      </c>
      <c r="D2537" s="202" t="s">
        <v>283</v>
      </c>
      <c r="E2537" s="202" t="s">
        <v>320</v>
      </c>
      <c r="F2537" s="202" t="s">
        <v>394</v>
      </c>
      <c r="G2537" s="202" t="s">
        <v>688</v>
      </c>
    </row>
    <row r="2538" spans="1:7" hidden="1">
      <c r="A2538" s="202" t="s">
        <v>142</v>
      </c>
      <c r="B2538" s="203">
        <v>1100</v>
      </c>
      <c r="C2538" s="203">
        <v>0</v>
      </c>
      <c r="D2538" s="202" t="s">
        <v>283</v>
      </c>
      <c r="E2538" s="202" t="s">
        <v>320</v>
      </c>
      <c r="F2538" s="202" t="s">
        <v>413</v>
      </c>
      <c r="G2538" s="202" t="s">
        <v>688</v>
      </c>
    </row>
    <row r="2539" spans="1:7" hidden="1">
      <c r="A2539" s="202" t="s">
        <v>142</v>
      </c>
      <c r="B2539" s="203">
        <v>4579</v>
      </c>
      <c r="C2539" s="203">
        <v>0</v>
      </c>
      <c r="D2539" s="202" t="s">
        <v>283</v>
      </c>
      <c r="E2539" s="202" t="s">
        <v>320</v>
      </c>
      <c r="F2539" s="202" t="s">
        <v>441</v>
      </c>
      <c r="G2539" s="202" t="s">
        <v>688</v>
      </c>
    </row>
    <row r="2540" spans="1:7">
      <c r="A2540" s="202" t="s">
        <v>142</v>
      </c>
      <c r="B2540" s="203">
        <v>8054</v>
      </c>
      <c r="C2540" s="203">
        <v>0</v>
      </c>
      <c r="D2540" s="202" t="s">
        <v>282</v>
      </c>
      <c r="E2540" s="202" t="s">
        <v>320</v>
      </c>
      <c r="F2540" s="202" t="s">
        <v>394</v>
      </c>
      <c r="G2540" s="202" t="s">
        <v>688</v>
      </c>
    </row>
    <row r="2541" spans="1:7">
      <c r="A2541" s="202" t="s">
        <v>142</v>
      </c>
      <c r="B2541" s="203">
        <v>-1256</v>
      </c>
      <c r="C2541" s="203">
        <v>0</v>
      </c>
      <c r="D2541" s="202" t="s">
        <v>282</v>
      </c>
      <c r="E2541" s="202" t="s">
        <v>320</v>
      </c>
      <c r="F2541" s="202" t="s">
        <v>393</v>
      </c>
      <c r="G2541" s="202" t="s">
        <v>688</v>
      </c>
    </row>
    <row r="2542" spans="1:7">
      <c r="A2542" s="202" t="s">
        <v>142</v>
      </c>
      <c r="B2542" s="203">
        <v>1100</v>
      </c>
      <c r="C2542" s="203">
        <v>0</v>
      </c>
      <c r="D2542" s="202" t="s">
        <v>282</v>
      </c>
      <c r="E2542" s="202" t="s">
        <v>320</v>
      </c>
      <c r="F2542" s="202" t="s">
        <v>413</v>
      </c>
      <c r="G2542" s="202" t="s">
        <v>688</v>
      </c>
    </row>
    <row r="2543" spans="1:7">
      <c r="A2543" s="202" t="s">
        <v>142</v>
      </c>
      <c r="B2543" s="203">
        <v>-3319</v>
      </c>
      <c r="C2543" s="203">
        <v>0</v>
      </c>
      <c r="D2543" s="202" t="s">
        <v>282</v>
      </c>
      <c r="E2543" s="202" t="s">
        <v>320</v>
      </c>
      <c r="F2543" s="202" t="s">
        <v>403</v>
      </c>
      <c r="G2543" s="202" t="s">
        <v>688</v>
      </c>
    </row>
    <row r="2544" spans="1:7">
      <c r="A2544" s="202" t="s">
        <v>142</v>
      </c>
      <c r="B2544" s="203">
        <v>-4579</v>
      </c>
      <c r="C2544" s="203">
        <v>0</v>
      </c>
      <c r="D2544" s="202" t="s">
        <v>282</v>
      </c>
      <c r="E2544" s="202" t="s">
        <v>320</v>
      </c>
      <c r="F2544" s="202" t="s">
        <v>441</v>
      </c>
      <c r="G2544" s="202" t="s">
        <v>688</v>
      </c>
    </row>
    <row r="2545" spans="1:7" hidden="1">
      <c r="A2545" s="202" t="s">
        <v>683</v>
      </c>
      <c r="B2545" s="203">
        <v>-1401</v>
      </c>
      <c r="C2545" s="203">
        <v>0</v>
      </c>
      <c r="D2545" s="202" t="s">
        <v>440</v>
      </c>
      <c r="E2545" s="202" t="s">
        <v>320</v>
      </c>
      <c r="F2545" s="202" t="s">
        <v>394</v>
      </c>
      <c r="G2545" s="202" t="s">
        <v>688</v>
      </c>
    </row>
    <row r="2546" spans="1:7" hidden="1">
      <c r="A2546" s="202" t="s">
        <v>683</v>
      </c>
      <c r="B2546" s="203">
        <v>590</v>
      </c>
      <c r="C2546" s="203">
        <v>0</v>
      </c>
      <c r="D2546" s="202" t="s">
        <v>440</v>
      </c>
      <c r="E2546" s="202" t="s">
        <v>320</v>
      </c>
      <c r="F2546" s="202" t="s">
        <v>441</v>
      </c>
      <c r="G2546" s="202" t="s">
        <v>688</v>
      </c>
    </row>
    <row r="2547" spans="1:7" hidden="1">
      <c r="A2547" s="202" t="s">
        <v>683</v>
      </c>
      <c r="B2547" s="203">
        <v>590</v>
      </c>
      <c r="C2547" s="203">
        <v>0</v>
      </c>
      <c r="D2547" s="202" t="s">
        <v>437</v>
      </c>
      <c r="E2547" s="202" t="s">
        <v>320</v>
      </c>
      <c r="F2547" s="202" t="s">
        <v>394</v>
      </c>
      <c r="G2547" s="202" t="s">
        <v>688</v>
      </c>
    </row>
    <row r="2548" spans="1:7" hidden="1">
      <c r="A2548" s="202" t="s">
        <v>683</v>
      </c>
      <c r="B2548" s="203">
        <v>-590</v>
      </c>
      <c r="C2548" s="203">
        <v>0</v>
      </c>
      <c r="D2548" s="202" t="s">
        <v>437</v>
      </c>
      <c r="E2548" s="202" t="s">
        <v>320</v>
      </c>
      <c r="F2548" s="202" t="s">
        <v>441</v>
      </c>
      <c r="G2548" s="202" t="s">
        <v>688</v>
      </c>
    </row>
    <row r="2549" spans="1:7" hidden="1">
      <c r="A2549" s="202" t="s">
        <v>683</v>
      </c>
      <c r="B2549" s="203">
        <v>-564</v>
      </c>
      <c r="C2549" s="203">
        <v>0</v>
      </c>
      <c r="D2549" s="202" t="s">
        <v>442</v>
      </c>
      <c r="E2549" s="202" t="s">
        <v>320</v>
      </c>
      <c r="F2549" s="202" t="s">
        <v>394</v>
      </c>
      <c r="G2549" s="202" t="s">
        <v>688</v>
      </c>
    </row>
    <row r="2550" spans="1:7" hidden="1">
      <c r="A2550" s="202" t="s">
        <v>684</v>
      </c>
      <c r="B2550" s="203">
        <v>-38</v>
      </c>
      <c r="C2550" s="203">
        <v>0</v>
      </c>
      <c r="D2550" s="202" t="s">
        <v>440</v>
      </c>
      <c r="E2550" s="202" t="s">
        <v>324</v>
      </c>
      <c r="F2550" s="202" t="s">
        <v>394</v>
      </c>
      <c r="G2550" s="202" t="s">
        <v>688</v>
      </c>
    </row>
    <row r="2551" spans="1:7" hidden="1">
      <c r="A2551" s="202" t="s">
        <v>685</v>
      </c>
      <c r="B2551" s="203">
        <v>38</v>
      </c>
      <c r="C2551" s="203">
        <v>0</v>
      </c>
      <c r="D2551" s="202" t="s">
        <v>440</v>
      </c>
      <c r="E2551" s="202" t="s">
        <v>324</v>
      </c>
      <c r="F2551" s="202" t="s">
        <v>394</v>
      </c>
      <c r="G2551" s="202" t="s">
        <v>688</v>
      </c>
    </row>
    <row r="2552" spans="1:7" hidden="1">
      <c r="A2552" s="202" t="s">
        <v>686</v>
      </c>
      <c r="B2552" s="203">
        <v>38</v>
      </c>
      <c r="C2552" s="203">
        <v>0</v>
      </c>
      <c r="D2552" s="202" t="s">
        <v>440</v>
      </c>
      <c r="E2552" s="202" t="s">
        <v>324</v>
      </c>
      <c r="F2552" s="202" t="s">
        <v>394</v>
      </c>
      <c r="G2552" s="202" t="s">
        <v>688</v>
      </c>
    </row>
    <row r="2553" spans="1:7" hidden="1">
      <c r="A2553" s="202" t="s">
        <v>402</v>
      </c>
      <c r="B2553" s="203">
        <v>44552</v>
      </c>
      <c r="C2553" s="203">
        <v>0</v>
      </c>
      <c r="D2553" s="202" t="s">
        <v>440</v>
      </c>
      <c r="E2553" s="202" t="s">
        <v>317</v>
      </c>
      <c r="F2553" s="202" t="s">
        <v>394</v>
      </c>
      <c r="G2553" s="202" t="s">
        <v>688</v>
      </c>
    </row>
    <row r="2554" spans="1:7" hidden="1">
      <c r="A2554" s="202" t="s">
        <v>402</v>
      </c>
      <c r="B2554" s="203">
        <v>-5630</v>
      </c>
      <c r="C2554" s="203">
        <v>0</v>
      </c>
      <c r="D2554" s="202" t="s">
        <v>440</v>
      </c>
      <c r="E2554" s="202" t="s">
        <v>317</v>
      </c>
      <c r="F2554" s="202" t="s">
        <v>673</v>
      </c>
      <c r="G2554" s="202" t="s">
        <v>688</v>
      </c>
    </row>
    <row r="2555" spans="1:7" hidden="1">
      <c r="A2555" s="202" t="s">
        <v>402</v>
      </c>
      <c r="B2555" s="203">
        <v>-1582</v>
      </c>
      <c r="C2555" s="203">
        <v>0</v>
      </c>
      <c r="D2555" s="202" t="s">
        <v>440</v>
      </c>
      <c r="E2555" s="202" t="s">
        <v>317</v>
      </c>
      <c r="F2555" s="202" t="s">
        <v>393</v>
      </c>
      <c r="G2555" s="202" t="s">
        <v>688</v>
      </c>
    </row>
    <row r="2556" spans="1:7" hidden="1">
      <c r="A2556" s="202" t="s">
        <v>402</v>
      </c>
      <c r="B2556" s="203">
        <v>-5740</v>
      </c>
      <c r="C2556" s="203">
        <v>0</v>
      </c>
      <c r="D2556" s="202" t="s">
        <v>440</v>
      </c>
      <c r="E2556" s="202" t="s">
        <v>317</v>
      </c>
      <c r="F2556" s="202" t="s">
        <v>410</v>
      </c>
      <c r="G2556" s="202" t="s">
        <v>688</v>
      </c>
    </row>
    <row r="2557" spans="1:7" hidden="1">
      <c r="A2557" s="202" t="s">
        <v>402</v>
      </c>
      <c r="B2557" s="203">
        <v>-1740</v>
      </c>
      <c r="C2557" s="203">
        <v>0</v>
      </c>
      <c r="D2557" s="202" t="s">
        <v>440</v>
      </c>
      <c r="E2557" s="202" t="s">
        <v>317</v>
      </c>
      <c r="F2557" s="202" t="s">
        <v>407</v>
      </c>
      <c r="G2557" s="202" t="s">
        <v>688</v>
      </c>
    </row>
    <row r="2558" spans="1:7" hidden="1">
      <c r="A2558" s="202" t="s">
        <v>402</v>
      </c>
      <c r="B2558" s="203">
        <v>-7693</v>
      </c>
      <c r="C2558" s="203">
        <v>0</v>
      </c>
      <c r="D2558" s="202" t="s">
        <v>440</v>
      </c>
      <c r="E2558" s="202" t="s">
        <v>317</v>
      </c>
      <c r="F2558" s="202" t="s">
        <v>411</v>
      </c>
      <c r="G2558" s="202" t="s">
        <v>688</v>
      </c>
    </row>
    <row r="2559" spans="1:7" hidden="1">
      <c r="A2559" s="202" t="s">
        <v>402</v>
      </c>
      <c r="B2559" s="203">
        <v>2576</v>
      </c>
      <c r="C2559" s="203">
        <v>0</v>
      </c>
      <c r="D2559" s="202" t="s">
        <v>442</v>
      </c>
      <c r="E2559" s="202" t="s">
        <v>317</v>
      </c>
      <c r="F2559" s="202" t="s">
        <v>394</v>
      </c>
      <c r="G2559" s="202" t="s">
        <v>688</v>
      </c>
    </row>
    <row r="2560" spans="1:7" hidden="1">
      <c r="A2560" s="202" t="s">
        <v>402</v>
      </c>
      <c r="B2560" s="203">
        <v>-15671</v>
      </c>
      <c r="C2560" s="203">
        <v>0</v>
      </c>
      <c r="D2560" s="202" t="s">
        <v>474</v>
      </c>
      <c r="E2560" s="202" t="s">
        <v>317</v>
      </c>
      <c r="F2560" s="202" t="s">
        <v>394</v>
      </c>
      <c r="G2560" s="202" t="s">
        <v>688</v>
      </c>
    </row>
    <row r="2561" spans="1:7" hidden="1">
      <c r="A2561" s="202" t="s">
        <v>401</v>
      </c>
      <c r="B2561" s="203">
        <v>-950</v>
      </c>
      <c r="C2561" s="203">
        <v>0</v>
      </c>
      <c r="D2561" s="202" t="s">
        <v>442</v>
      </c>
      <c r="E2561" s="202" t="s">
        <v>320</v>
      </c>
      <c r="F2561" s="202" t="s">
        <v>394</v>
      </c>
      <c r="G2561" s="202" t="s">
        <v>688</v>
      </c>
    </row>
    <row r="2562" spans="1:7">
      <c r="A2562" s="202" t="s">
        <v>365</v>
      </c>
      <c r="B2562" s="203">
        <v>6365</v>
      </c>
      <c r="C2562" s="203">
        <v>0</v>
      </c>
      <c r="D2562" s="202" t="s">
        <v>282</v>
      </c>
      <c r="E2562" s="202" t="s">
        <v>687</v>
      </c>
      <c r="F2562" s="202" t="s">
        <v>394</v>
      </c>
      <c r="G2562" s="202" t="s">
        <v>688</v>
      </c>
    </row>
    <row r="2563" spans="1:7">
      <c r="A2563" s="202" t="s">
        <v>365</v>
      </c>
      <c r="B2563" s="203">
        <v>-6365</v>
      </c>
      <c r="C2563" s="203">
        <v>0</v>
      </c>
      <c r="D2563" s="202" t="s">
        <v>282</v>
      </c>
      <c r="E2563" s="202" t="s">
        <v>687</v>
      </c>
      <c r="F2563" s="202" t="s">
        <v>393</v>
      </c>
      <c r="G2563" s="202" t="s">
        <v>688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8" t="s">
        <v>1664</v>
      </c>
      <c r="B1" s="328" t="s">
        <v>313</v>
      </c>
      <c r="C1" s="328" t="s">
        <v>1665</v>
      </c>
      <c r="D1" s="328" t="s">
        <v>174</v>
      </c>
      <c r="E1" s="328" t="s">
        <v>152</v>
      </c>
      <c r="F1" s="328" t="s">
        <v>398</v>
      </c>
      <c r="G1" t="s">
        <v>1684</v>
      </c>
      <c r="R1" t="s">
        <v>1670</v>
      </c>
      <c r="S1" t="s">
        <v>1682</v>
      </c>
      <c r="T1" t="s">
        <v>1683</v>
      </c>
      <c r="U1" t="s">
        <v>1692</v>
      </c>
      <c r="V1" t="s">
        <v>1671</v>
      </c>
      <c r="W1" t="s">
        <v>398</v>
      </c>
    </row>
    <row r="2" spans="1:23">
      <c r="A2" s="329">
        <v>45840</v>
      </c>
      <c r="B2" s="330" t="s">
        <v>282</v>
      </c>
      <c r="C2" s="330" t="s">
        <v>327</v>
      </c>
      <c r="D2" s="330" t="s">
        <v>1734</v>
      </c>
      <c r="E2" s="331">
        <v>-2009465</v>
      </c>
      <c r="F2" s="330">
        <v>-1.78</v>
      </c>
      <c r="G2" s="26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8">
        <f>IF(R2="","",IF(LEN(R2)&gt;9,SUMIFS(Options!$AZ$3:$AZ$26,Options!$B$3:$B$26,'Check result'!R2),SUMIFS('Master P&amp;L'!$AE$11:$AE$93,'Master P&amp;L'!$B$11:$B$93,'Check result'!R2)))</f>
        <v>0</v>
      </c>
      <c r="U2" s="268">
        <f>T2/2</f>
        <v>0</v>
      </c>
      <c r="V2" s="267">
        <f>+S2-U2</f>
        <v>-2009465</v>
      </c>
      <c r="W2">
        <f>+V2/G2*10000</f>
        <v>-1.7800000000000002</v>
      </c>
    </row>
    <row r="3" spans="1:23">
      <c r="A3" s="329">
        <v>45840</v>
      </c>
      <c r="B3" s="330" t="s">
        <v>282</v>
      </c>
      <c r="C3" s="330" t="s">
        <v>327</v>
      </c>
      <c r="D3" s="330" t="s">
        <v>1830</v>
      </c>
      <c r="E3" s="331">
        <v>-754078</v>
      </c>
      <c r="F3" s="330">
        <v>-0.67</v>
      </c>
      <c r="G3" s="26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8">
        <f>IF(R3="","",IF(LEN(R3)&gt;9,SUMIFS(Options!$AZ$3:$AZ$26,Options!$B$3:$B$26,'Check result'!R3),SUMIFS('Master P&amp;L'!$AE$11:$AE$93,'Master P&amp;L'!$B$11:$B$93,'Check result'!R3)))</f>
        <v>0</v>
      </c>
      <c r="U3" s="268">
        <f t="shared" ref="U3:U66" si="3">T3/2</f>
        <v>0</v>
      </c>
      <c r="V3" s="267">
        <f t="shared" ref="V3:V66" si="4">+S3-U3</f>
        <v>-754078</v>
      </c>
      <c r="W3">
        <f t="shared" ref="W3:W66" si="5">+V3/G3*10000</f>
        <v>-0.67</v>
      </c>
    </row>
    <row r="4" spans="1:23">
      <c r="A4" s="329">
        <v>45840</v>
      </c>
      <c r="B4" s="330" t="s">
        <v>282</v>
      </c>
      <c r="C4" s="330" t="s">
        <v>319</v>
      </c>
      <c r="D4" s="330" t="s">
        <v>1806</v>
      </c>
      <c r="E4" s="331">
        <v>-662125</v>
      </c>
      <c r="F4" s="330">
        <v>-0.59</v>
      </c>
      <c r="G4" s="26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8">
        <f>IF(R4="","",IF(LEN(R4)&gt;9,SUMIFS(Options!$AZ$3:$AZ$26,Options!$B$3:$B$26,'Check result'!R4),SUMIFS('Master P&amp;L'!$AE$11:$AE$93,'Master P&amp;L'!$B$11:$B$93,'Check result'!R4)))</f>
        <v>0</v>
      </c>
      <c r="U4" s="268">
        <f t="shared" si="3"/>
        <v>0</v>
      </c>
      <c r="V4" s="267">
        <f t="shared" si="4"/>
        <v>-662125</v>
      </c>
      <c r="W4">
        <f t="shared" si="5"/>
        <v>-0.59</v>
      </c>
    </row>
    <row r="5" spans="1:23">
      <c r="A5" s="329">
        <v>45840</v>
      </c>
      <c r="B5" s="330" t="s">
        <v>282</v>
      </c>
      <c r="C5" s="330" t="s">
        <v>319</v>
      </c>
      <c r="D5" s="330" t="s">
        <v>1739</v>
      </c>
      <c r="E5" s="331">
        <v>-621079</v>
      </c>
      <c r="F5" s="330">
        <v>-0.55000000000000004</v>
      </c>
      <c r="G5" s="26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8">
        <f>IF(R5="","",IF(LEN(R5)&gt;9,SUMIFS(Options!$AZ$3:$AZ$26,Options!$B$3:$B$26,'Check result'!R5),SUMIFS('Master P&amp;L'!$AE$11:$AE$93,'Master P&amp;L'!$B$11:$B$93,'Check result'!R5)))</f>
        <v>0</v>
      </c>
      <c r="U5" s="268">
        <f t="shared" si="3"/>
        <v>0</v>
      </c>
      <c r="V5" s="267">
        <f t="shared" si="4"/>
        <v>-621079</v>
      </c>
      <c r="W5">
        <f t="shared" si="5"/>
        <v>-0.55000000000000004</v>
      </c>
    </row>
    <row r="6" spans="1:23">
      <c r="A6" s="329">
        <v>45840</v>
      </c>
      <c r="B6" s="330" t="s">
        <v>282</v>
      </c>
      <c r="C6" s="330" t="s">
        <v>39</v>
      </c>
      <c r="D6" s="330" t="s">
        <v>1680</v>
      </c>
      <c r="E6" s="331">
        <v>-396008</v>
      </c>
      <c r="F6" s="330">
        <v>-0.35</v>
      </c>
      <c r="G6" s="267">
        <f t="shared" si="0"/>
        <v>11314514285.714287</v>
      </c>
      <c r="R6" t="str">
        <f t="shared" si="1"/>
        <v>TTE</v>
      </c>
      <c r="S6">
        <f t="shared" si="2"/>
        <v>-396008</v>
      </c>
      <c r="T6" s="268">
        <f>IF(R6="","",IF(LEN(R6)&gt;9,SUMIFS(Options!$AZ$3:$AZ$26,Options!$B$3:$B$26,'Check result'!R6),SUMIFS('Master P&amp;L'!$AE$11:$AE$93,'Master P&amp;L'!$B$11:$B$93,'Check result'!R6)))</f>
        <v>0</v>
      </c>
      <c r="U6" s="268">
        <f t="shared" si="3"/>
        <v>0</v>
      </c>
      <c r="V6" s="267">
        <f t="shared" si="4"/>
        <v>-396008</v>
      </c>
      <c r="W6">
        <f t="shared" si="5"/>
        <v>-0.35</v>
      </c>
    </row>
    <row r="7" spans="1:23">
      <c r="A7" s="329">
        <v>45840</v>
      </c>
      <c r="B7" s="330" t="s">
        <v>282</v>
      </c>
      <c r="C7" s="330" t="s">
        <v>319</v>
      </c>
      <c r="D7" s="330" t="s">
        <v>1722</v>
      </c>
      <c r="E7" s="331">
        <v>-380764</v>
      </c>
      <c r="F7" s="330">
        <v>-0.34</v>
      </c>
      <c r="G7" s="26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8">
        <f>IF(R7="","",IF(LEN(R7)&gt;9,SUMIFS(Options!$AZ$3:$AZ$26,Options!$B$3:$B$26,'Check result'!R7),SUMIFS('Master P&amp;L'!$AE$11:$AE$93,'Master P&amp;L'!$B$11:$B$93,'Check result'!R7)))</f>
        <v>0</v>
      </c>
      <c r="U7" s="268">
        <f t="shared" si="3"/>
        <v>0</v>
      </c>
      <c r="V7" s="267">
        <f t="shared" si="4"/>
        <v>-380764</v>
      </c>
      <c r="W7">
        <f t="shared" si="5"/>
        <v>-0.34</v>
      </c>
    </row>
    <row r="8" spans="1:23">
      <c r="A8" s="329">
        <v>45840</v>
      </c>
      <c r="B8" s="330" t="s">
        <v>282</v>
      </c>
      <c r="C8" s="330" t="s">
        <v>39</v>
      </c>
      <c r="D8" s="330" t="s">
        <v>96</v>
      </c>
      <c r="E8" s="331">
        <v>-347251</v>
      </c>
      <c r="F8" s="330">
        <v>-0.31</v>
      </c>
      <c r="G8" s="267">
        <f t="shared" si="0"/>
        <v>11201645161.290323</v>
      </c>
      <c r="R8" t="str">
        <f t="shared" si="1"/>
        <v>TSM</v>
      </c>
      <c r="S8">
        <f t="shared" si="2"/>
        <v>-347251</v>
      </c>
      <c r="T8" s="268">
        <f>IF(R8="","",IF(LEN(R8)&gt;9,SUMIFS(Options!$AZ$3:$AZ$26,Options!$B$3:$B$26,'Check result'!R8),SUMIFS('Master P&amp;L'!$AE$11:$AE$93,'Master P&amp;L'!$B$11:$B$93,'Check result'!R8)))</f>
        <v>0</v>
      </c>
      <c r="U8" s="268">
        <f t="shared" si="3"/>
        <v>0</v>
      </c>
      <c r="V8" s="267">
        <f t="shared" si="4"/>
        <v>-347251</v>
      </c>
      <c r="W8">
        <f t="shared" si="5"/>
        <v>-0.31</v>
      </c>
    </row>
    <row r="9" spans="1:23">
      <c r="A9" s="329">
        <v>45840</v>
      </c>
      <c r="B9" s="330" t="s">
        <v>282</v>
      </c>
      <c r="C9" s="330" t="s">
        <v>317</v>
      </c>
      <c r="D9" s="330" t="s">
        <v>1740</v>
      </c>
      <c r="E9" s="331">
        <v>-317791</v>
      </c>
      <c r="F9" s="330">
        <v>-0.28000000000000003</v>
      </c>
      <c r="G9" s="267">
        <f t="shared" si="0"/>
        <v>11349678571.42857</v>
      </c>
      <c r="R9" t="str">
        <f t="shared" si="1"/>
        <v>HOOD</v>
      </c>
      <c r="S9">
        <f t="shared" si="2"/>
        <v>-317791</v>
      </c>
      <c r="T9" s="268">
        <f>IF(R9="","",IF(LEN(R9)&gt;9,SUMIFS(Options!$AZ$3:$AZ$26,Options!$B$3:$B$26,'Check result'!R9),SUMIFS('Master P&amp;L'!$AE$11:$AE$93,'Master P&amp;L'!$B$11:$B$93,'Check result'!R9)))</f>
        <v>0</v>
      </c>
      <c r="U9" s="268">
        <f t="shared" si="3"/>
        <v>0</v>
      </c>
      <c r="V9" s="267">
        <f t="shared" si="4"/>
        <v>-317791</v>
      </c>
      <c r="W9">
        <f t="shared" si="5"/>
        <v>-0.28000000000000003</v>
      </c>
    </row>
    <row r="10" spans="1:23">
      <c r="A10" s="329">
        <v>45840</v>
      </c>
      <c r="B10" s="330" t="s">
        <v>282</v>
      </c>
      <c r="C10" s="330" t="s">
        <v>324</v>
      </c>
      <c r="D10" s="330" t="s">
        <v>1832</v>
      </c>
      <c r="E10" s="331">
        <v>-203405</v>
      </c>
      <c r="F10" s="330">
        <v>-0.18</v>
      </c>
      <c r="G10" s="26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8">
        <f>IF(R10="","",IF(LEN(R10)&gt;9,SUMIFS(Options!$AZ$3:$AZ$26,Options!$B$3:$B$26,'Check result'!R10),SUMIFS('Master P&amp;L'!$AE$11:$AE$93,'Master P&amp;L'!$B$11:$B$93,'Check result'!R10)))</f>
        <v>0</v>
      </c>
      <c r="U10" s="268">
        <f t="shared" si="3"/>
        <v>0</v>
      </c>
      <c r="V10" s="267">
        <f t="shared" si="4"/>
        <v>-203405</v>
      </c>
      <c r="W10">
        <f t="shared" si="5"/>
        <v>-0.18</v>
      </c>
    </row>
    <row r="11" spans="1:23">
      <c r="A11" s="329">
        <v>45840</v>
      </c>
      <c r="B11" s="330" t="s">
        <v>282</v>
      </c>
      <c r="C11" s="330" t="s">
        <v>324</v>
      </c>
      <c r="D11" s="330" t="s">
        <v>1709</v>
      </c>
      <c r="E11" s="331">
        <v>-189723</v>
      </c>
      <c r="F11" s="330">
        <v>-0.17</v>
      </c>
      <c r="G11" s="26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8">
        <f>IF(R11="","",IF(LEN(R11)&gt;9,SUMIFS(Options!$AZ$3:$AZ$26,Options!$B$3:$B$26,'Check result'!R11),SUMIFS('Master P&amp;L'!$AE$11:$AE$93,'Master P&amp;L'!$B$11:$B$93,'Check result'!R11)))</f>
        <v>0</v>
      </c>
      <c r="U11" s="268">
        <f t="shared" si="3"/>
        <v>0</v>
      </c>
      <c r="V11" s="267">
        <f t="shared" si="4"/>
        <v>-189723</v>
      </c>
      <c r="W11">
        <f t="shared" si="5"/>
        <v>-0.17000000000000004</v>
      </c>
    </row>
    <row r="12" spans="1:23">
      <c r="A12" s="329">
        <v>45840</v>
      </c>
      <c r="B12" s="330" t="s">
        <v>282</v>
      </c>
      <c r="C12" s="330" t="s">
        <v>317</v>
      </c>
      <c r="D12" s="330" t="s">
        <v>326</v>
      </c>
      <c r="E12" s="331">
        <v>-179126</v>
      </c>
      <c r="F12" s="330">
        <v>-0.16</v>
      </c>
      <c r="G12" s="267">
        <f t="shared" si="0"/>
        <v>11195375000</v>
      </c>
      <c r="R12" t="str">
        <f t="shared" si="1"/>
        <v>META US</v>
      </c>
      <c r="S12">
        <f t="shared" si="2"/>
        <v>-179126</v>
      </c>
      <c r="T12" s="268">
        <f>IF(R12="","",IF(LEN(R12)&gt;9,SUMIFS(Options!$AZ$3:$AZ$26,Options!$B$3:$B$26,'Check result'!R12),SUMIFS('Master P&amp;L'!$AE$11:$AE$93,'Master P&amp;L'!$B$11:$B$93,'Check result'!R12)))</f>
        <v>0</v>
      </c>
      <c r="U12" s="268">
        <f t="shared" si="3"/>
        <v>0</v>
      </c>
      <c r="V12" s="267">
        <f t="shared" si="4"/>
        <v>-179126</v>
      </c>
      <c r="W12">
        <f t="shared" si="5"/>
        <v>-0.16</v>
      </c>
    </row>
    <row r="13" spans="1:23">
      <c r="A13" s="329">
        <v>45840</v>
      </c>
      <c r="B13" s="330" t="s">
        <v>282</v>
      </c>
      <c r="C13" s="330" t="s">
        <v>324</v>
      </c>
      <c r="D13" s="330" t="s">
        <v>1724</v>
      </c>
      <c r="E13" s="331">
        <v>-173338</v>
      </c>
      <c r="F13" s="330">
        <v>-0.15</v>
      </c>
      <c r="G13" s="26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8">
        <f>IF(R13="","",IF(LEN(R13)&gt;9,SUMIFS(Options!$AZ$3:$AZ$26,Options!$B$3:$B$26,'Check result'!R13),SUMIFS('Master P&amp;L'!$AE$11:$AE$93,'Master P&amp;L'!$B$11:$B$93,'Check result'!R13)))</f>
        <v>0</v>
      </c>
      <c r="U13" s="268">
        <f t="shared" si="3"/>
        <v>0</v>
      </c>
      <c r="V13" s="267">
        <f t="shared" si="4"/>
        <v>-173338</v>
      </c>
      <c r="W13">
        <f t="shared" si="5"/>
        <v>-0.15</v>
      </c>
    </row>
    <row r="14" spans="1:23">
      <c r="A14" s="329">
        <v>45840</v>
      </c>
      <c r="B14" s="330" t="s">
        <v>282</v>
      </c>
      <c r="C14" s="330" t="s">
        <v>324</v>
      </c>
      <c r="D14" s="330" t="s">
        <v>1787</v>
      </c>
      <c r="E14" s="331">
        <v>-172999</v>
      </c>
      <c r="F14" s="330">
        <v>-0.15</v>
      </c>
      <c r="G14" s="26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8">
        <f>IF(R14="","",IF(LEN(R14)&gt;9,SUMIFS(Options!$AZ$3:$AZ$26,Options!$B$3:$B$26,'Check result'!R14),SUMIFS('Master P&amp;L'!$AE$11:$AE$93,'Master P&amp;L'!$B$11:$B$93,'Check result'!R14)))</f>
        <v>0</v>
      </c>
      <c r="U14" s="268">
        <f t="shared" si="3"/>
        <v>0</v>
      </c>
      <c r="V14" s="267">
        <f t="shared" si="4"/>
        <v>-172999</v>
      </c>
      <c r="W14">
        <f t="shared" si="5"/>
        <v>-0.15</v>
      </c>
    </row>
    <row r="15" spans="1:23">
      <c r="A15" s="329">
        <v>45840</v>
      </c>
      <c r="B15" s="330" t="s">
        <v>282</v>
      </c>
      <c r="C15" s="330" t="s">
        <v>324</v>
      </c>
      <c r="D15" s="330" t="s">
        <v>1818</v>
      </c>
      <c r="E15" s="331">
        <v>-164934</v>
      </c>
      <c r="F15" s="330">
        <v>-0.15</v>
      </c>
      <c r="G15" s="26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8">
        <f>IF(R15="","",IF(LEN(R15)&gt;9,SUMIFS(Options!$AZ$3:$AZ$26,Options!$B$3:$B$26,'Check result'!R15),SUMIFS('Master P&amp;L'!$AE$11:$AE$93,'Master P&amp;L'!$B$11:$B$93,'Check result'!R15)))</f>
        <v>0</v>
      </c>
      <c r="U15" s="268">
        <f t="shared" si="3"/>
        <v>0</v>
      </c>
      <c r="V15" s="267">
        <f t="shared" si="4"/>
        <v>-164934</v>
      </c>
      <c r="W15">
        <f t="shared" si="5"/>
        <v>-0.15</v>
      </c>
    </row>
    <row r="16" spans="1:23">
      <c r="A16" s="329">
        <v>45840</v>
      </c>
      <c r="B16" s="330" t="s">
        <v>282</v>
      </c>
      <c r="C16" s="330" t="s">
        <v>319</v>
      </c>
      <c r="D16" s="330" t="s">
        <v>1814</v>
      </c>
      <c r="E16" s="331">
        <v>-161071</v>
      </c>
      <c r="F16" s="330">
        <v>-0.14000000000000001</v>
      </c>
      <c r="G16" s="26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8">
        <f>IF(R16="","",IF(LEN(R16)&gt;9,SUMIFS(Options!$AZ$3:$AZ$26,Options!$B$3:$B$26,'Check result'!R16),SUMIFS('Master P&amp;L'!$AE$11:$AE$93,'Master P&amp;L'!$B$11:$B$93,'Check result'!R16)))</f>
        <v>0</v>
      </c>
      <c r="U16" s="268">
        <f t="shared" si="3"/>
        <v>0</v>
      </c>
      <c r="V16" s="267">
        <f t="shared" si="4"/>
        <v>-161071</v>
      </c>
      <c r="W16">
        <f t="shared" si="5"/>
        <v>-0.14000000000000004</v>
      </c>
    </row>
    <row r="17" spans="1:23">
      <c r="A17" s="329">
        <v>45840</v>
      </c>
      <c r="B17" s="330" t="s">
        <v>282</v>
      </c>
      <c r="C17" s="330" t="s">
        <v>317</v>
      </c>
      <c r="D17" s="330" t="s">
        <v>90</v>
      </c>
      <c r="E17" s="331">
        <v>-159060</v>
      </c>
      <c r="F17" s="330">
        <v>-0.14000000000000001</v>
      </c>
      <c r="G17" s="267">
        <f t="shared" si="0"/>
        <v>11361428571.42857</v>
      </c>
      <c r="R17" t="str">
        <f t="shared" si="1"/>
        <v>MSFT</v>
      </c>
      <c r="S17">
        <f t="shared" si="2"/>
        <v>-159060</v>
      </c>
      <c r="T17" s="268">
        <f>IF(R17="","",IF(LEN(R17)&gt;9,SUMIFS(Options!$AZ$3:$AZ$26,Options!$B$3:$B$26,'Check result'!R17),SUMIFS('Master P&amp;L'!$AE$11:$AE$93,'Master P&amp;L'!$B$11:$B$93,'Check result'!R17)))</f>
        <v>0</v>
      </c>
      <c r="U17" s="268">
        <f t="shared" si="3"/>
        <v>0</v>
      </c>
      <c r="V17" s="267">
        <f t="shared" si="4"/>
        <v>-159060</v>
      </c>
      <c r="W17">
        <f t="shared" si="5"/>
        <v>-0.14000000000000001</v>
      </c>
    </row>
    <row r="18" spans="1:23">
      <c r="A18" s="329">
        <v>45840</v>
      </c>
      <c r="B18" s="330" t="s">
        <v>282</v>
      </c>
      <c r="C18" s="330" t="s">
        <v>319</v>
      </c>
      <c r="D18" s="330" t="s">
        <v>1720</v>
      </c>
      <c r="E18" s="331">
        <v>-150729</v>
      </c>
      <c r="F18" s="330">
        <v>-0.13</v>
      </c>
      <c r="G18" s="26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8">
        <f>IF(R18="","",IF(LEN(R18)&gt;9,SUMIFS(Options!$AZ$3:$AZ$26,Options!$B$3:$B$26,'Check result'!R18),SUMIFS('Master P&amp;L'!$AE$11:$AE$93,'Master P&amp;L'!$B$11:$B$93,'Check result'!R18)))</f>
        <v>0</v>
      </c>
      <c r="U18" s="268">
        <f t="shared" si="3"/>
        <v>0</v>
      </c>
      <c r="V18" s="267">
        <f t="shared" si="4"/>
        <v>-150729</v>
      </c>
      <c r="W18">
        <f t="shared" si="5"/>
        <v>-0.13000000000000003</v>
      </c>
    </row>
    <row r="19" spans="1:23">
      <c r="A19" s="329">
        <v>45840</v>
      </c>
      <c r="B19" s="330" t="s">
        <v>282</v>
      </c>
      <c r="C19" s="330" t="s">
        <v>317</v>
      </c>
      <c r="D19" s="330" t="s">
        <v>80</v>
      </c>
      <c r="E19" s="331">
        <v>-140779</v>
      </c>
      <c r="F19" s="330">
        <v>-0.12</v>
      </c>
      <c r="G19" s="267">
        <f t="shared" si="0"/>
        <v>11731583333.333334</v>
      </c>
      <c r="R19" t="str">
        <f t="shared" si="1"/>
        <v>COIN</v>
      </c>
      <c r="S19">
        <f t="shared" si="2"/>
        <v>-140779</v>
      </c>
      <c r="T19" s="268">
        <f>IF(R19="","",IF(LEN(R19)&gt;9,SUMIFS(Options!$AZ$3:$AZ$26,Options!$B$3:$B$26,'Check result'!R19),SUMIFS('Master P&amp;L'!$AE$11:$AE$93,'Master P&amp;L'!$B$11:$B$93,'Check result'!R19)))</f>
        <v>0</v>
      </c>
      <c r="U19" s="268">
        <f t="shared" si="3"/>
        <v>0</v>
      </c>
      <c r="V19" s="267">
        <f t="shared" si="4"/>
        <v>-140779</v>
      </c>
      <c r="W19">
        <f t="shared" si="5"/>
        <v>-0.11999999999999998</v>
      </c>
    </row>
    <row r="20" spans="1:23">
      <c r="A20" s="329">
        <v>45840</v>
      </c>
      <c r="B20" s="330" t="s">
        <v>282</v>
      </c>
      <c r="C20" s="330" t="s">
        <v>324</v>
      </c>
      <c r="D20" s="330" t="s">
        <v>1736</v>
      </c>
      <c r="E20" s="331">
        <v>-128119</v>
      </c>
      <c r="F20" s="330">
        <v>-0.11</v>
      </c>
      <c r="G20" s="26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8">
        <f>IF(R20="","",IF(LEN(R20)&gt;9,SUMIFS(Options!$AZ$3:$AZ$26,Options!$B$3:$B$26,'Check result'!R20),SUMIFS('Master P&amp;L'!$AE$11:$AE$93,'Master P&amp;L'!$B$11:$B$93,'Check result'!R20)))</f>
        <v>0</v>
      </c>
      <c r="U20" s="268">
        <f t="shared" si="3"/>
        <v>0</v>
      </c>
      <c r="V20" s="267">
        <f t="shared" si="4"/>
        <v>-128119</v>
      </c>
      <c r="W20">
        <f t="shared" si="5"/>
        <v>-0.11</v>
      </c>
    </row>
    <row r="21" spans="1:23">
      <c r="A21" s="329">
        <v>45840</v>
      </c>
      <c r="B21" s="330" t="s">
        <v>282</v>
      </c>
      <c r="C21" s="330" t="s">
        <v>324</v>
      </c>
      <c r="D21" s="330" t="s">
        <v>1738</v>
      </c>
      <c r="E21" s="331">
        <v>-127659</v>
      </c>
      <c r="F21" s="330">
        <v>-0.11</v>
      </c>
      <c r="G21" s="26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8">
        <f>IF(R21="","",IF(LEN(R21)&gt;9,SUMIFS(Options!$AZ$3:$AZ$26,Options!$B$3:$B$26,'Check result'!R21),SUMIFS('Master P&amp;L'!$AE$11:$AE$93,'Master P&amp;L'!$B$11:$B$93,'Check result'!R21)))</f>
        <v>0</v>
      </c>
      <c r="U21" s="268">
        <f t="shared" si="3"/>
        <v>0</v>
      </c>
      <c r="V21" s="267">
        <f t="shared" si="4"/>
        <v>-127659</v>
      </c>
      <c r="W21">
        <f t="shared" si="5"/>
        <v>-0.11</v>
      </c>
    </row>
    <row r="22" spans="1:23">
      <c r="A22" s="329">
        <v>45840</v>
      </c>
      <c r="B22" s="330" t="s">
        <v>282</v>
      </c>
      <c r="C22" s="330" t="s">
        <v>324</v>
      </c>
      <c r="D22" s="330" t="s">
        <v>1824</v>
      </c>
      <c r="E22" s="331">
        <v>-123172</v>
      </c>
      <c r="F22" s="330">
        <v>-0.11</v>
      </c>
      <c r="G22" s="26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8">
        <f>IF(R22="","",IF(LEN(R22)&gt;9,SUMIFS(Options!$AZ$3:$AZ$26,Options!$B$3:$B$26,'Check result'!R22),SUMIFS('Master P&amp;L'!$AE$11:$AE$93,'Master P&amp;L'!$B$11:$B$93,'Check result'!R22)))</f>
        <v>0</v>
      </c>
      <c r="U22" s="268">
        <f t="shared" si="3"/>
        <v>0</v>
      </c>
      <c r="V22" s="267">
        <f t="shared" si="4"/>
        <v>-123172</v>
      </c>
      <c r="W22">
        <f t="shared" si="5"/>
        <v>-0.11</v>
      </c>
    </row>
    <row r="23" spans="1:23">
      <c r="A23" s="329">
        <v>45840</v>
      </c>
      <c r="B23" s="330" t="s">
        <v>282</v>
      </c>
      <c r="C23" s="330" t="s">
        <v>319</v>
      </c>
      <c r="D23" s="330" t="s">
        <v>1690</v>
      </c>
      <c r="E23" s="331">
        <v>-114511</v>
      </c>
      <c r="F23" s="330">
        <v>-0.1</v>
      </c>
      <c r="G23" s="26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8">
        <f>IF(R23="","",IF(LEN(R23)&gt;9,SUMIFS(Options!$AZ$3:$AZ$26,Options!$B$3:$B$26,'Check result'!R23),SUMIFS('Master P&amp;L'!$AE$11:$AE$93,'Master P&amp;L'!$B$11:$B$93,'Check result'!R23)))</f>
        <v>0</v>
      </c>
      <c r="U23" s="268">
        <f t="shared" si="3"/>
        <v>0</v>
      </c>
      <c r="V23" s="267">
        <f t="shared" si="4"/>
        <v>-114511</v>
      </c>
      <c r="W23">
        <f t="shared" si="5"/>
        <v>-0.1</v>
      </c>
    </row>
    <row r="24" spans="1:23">
      <c r="A24" s="329">
        <v>45840</v>
      </c>
      <c r="B24" s="330" t="s">
        <v>282</v>
      </c>
      <c r="C24" s="330" t="s">
        <v>320</v>
      </c>
      <c r="D24" s="330" t="s">
        <v>401</v>
      </c>
      <c r="E24" s="331">
        <v>-104979</v>
      </c>
      <c r="F24" s="330">
        <v>-0.09</v>
      </c>
      <c r="G24" s="267">
        <f t="shared" si="0"/>
        <v>11664333333.333334</v>
      </c>
      <c r="R24" t="str">
        <f t="shared" si="1"/>
        <v>XRT</v>
      </c>
      <c r="S24">
        <f t="shared" si="2"/>
        <v>-104979</v>
      </c>
      <c r="T24" s="268">
        <f>IF(R24="","",IF(LEN(R24)&gt;9,SUMIFS(Options!$AZ$3:$AZ$26,Options!$B$3:$B$26,'Check result'!R24),SUMIFS('Master P&amp;L'!$AE$11:$AE$93,'Master P&amp;L'!$B$11:$B$93,'Check result'!R24)))</f>
        <v>0</v>
      </c>
      <c r="U24" s="268">
        <f t="shared" si="3"/>
        <v>0</v>
      </c>
      <c r="V24" s="267">
        <f t="shared" si="4"/>
        <v>-104979</v>
      </c>
      <c r="W24">
        <f t="shared" si="5"/>
        <v>-0.09</v>
      </c>
    </row>
    <row r="25" spans="1:23">
      <c r="A25" s="329">
        <v>45840</v>
      </c>
      <c r="B25" s="330" t="s">
        <v>282</v>
      </c>
      <c r="C25" s="330" t="s">
        <v>324</v>
      </c>
      <c r="D25" s="330" t="s">
        <v>1816</v>
      </c>
      <c r="E25" s="331">
        <v>-103084</v>
      </c>
      <c r="F25" s="330">
        <v>-0.09</v>
      </c>
      <c r="G25" s="26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8">
        <f>IF(R25="","",IF(LEN(R25)&gt;9,SUMIFS(Options!$AZ$3:$AZ$26,Options!$B$3:$B$26,'Check result'!R25),SUMIFS('Master P&amp;L'!$AE$11:$AE$93,'Master P&amp;L'!$B$11:$B$93,'Check result'!R25)))</f>
        <v>0</v>
      </c>
      <c r="U25" s="268">
        <f t="shared" si="3"/>
        <v>0</v>
      </c>
      <c r="V25" s="267">
        <f t="shared" si="4"/>
        <v>-103084</v>
      </c>
      <c r="W25">
        <f t="shared" si="5"/>
        <v>-0.09</v>
      </c>
    </row>
    <row r="26" spans="1:23">
      <c r="A26" s="329">
        <v>45840</v>
      </c>
      <c r="B26" s="330" t="s">
        <v>282</v>
      </c>
      <c r="C26" s="330" t="s">
        <v>317</v>
      </c>
      <c r="D26" s="330" t="s">
        <v>128</v>
      </c>
      <c r="E26" s="331">
        <v>-99741</v>
      </c>
      <c r="F26" s="330">
        <v>-0.09</v>
      </c>
      <c r="G26" s="267">
        <f t="shared" si="0"/>
        <v>11082333333.333334</v>
      </c>
      <c r="R26" t="str">
        <f t="shared" si="1"/>
        <v>BKNG</v>
      </c>
      <c r="S26">
        <f t="shared" si="2"/>
        <v>-99741</v>
      </c>
      <c r="T26" s="268">
        <f>IF(R26="","",IF(LEN(R26)&gt;9,SUMIFS(Options!$AZ$3:$AZ$26,Options!$B$3:$B$26,'Check result'!R26),SUMIFS('Master P&amp;L'!$AE$11:$AE$93,'Master P&amp;L'!$B$11:$B$93,'Check result'!R26)))</f>
        <v>0</v>
      </c>
      <c r="U26" s="268">
        <f t="shared" si="3"/>
        <v>0</v>
      </c>
      <c r="V26" s="267">
        <f t="shared" si="4"/>
        <v>-99741</v>
      </c>
      <c r="W26">
        <f t="shared" si="5"/>
        <v>-0.09</v>
      </c>
    </row>
    <row r="27" spans="1:23">
      <c r="A27" s="329">
        <v>45840</v>
      </c>
      <c r="B27" s="330" t="s">
        <v>282</v>
      </c>
      <c r="C27" s="330" t="s">
        <v>319</v>
      </c>
      <c r="D27" s="330" t="s">
        <v>1828</v>
      </c>
      <c r="E27" s="331">
        <v>-92037</v>
      </c>
      <c r="F27" s="330">
        <v>-0.08</v>
      </c>
      <c r="G27" s="26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8">
        <f>IF(R27="","",IF(LEN(R27)&gt;9,SUMIFS(Options!$AZ$3:$AZ$26,Options!$B$3:$B$26,'Check result'!R27),SUMIFS('Master P&amp;L'!$AE$11:$AE$93,'Master P&amp;L'!$B$11:$B$93,'Check result'!R27)))</f>
        <v>0</v>
      </c>
      <c r="U27" s="268">
        <f t="shared" si="3"/>
        <v>0</v>
      </c>
      <c r="V27" s="267">
        <f t="shared" si="4"/>
        <v>-92037</v>
      </c>
      <c r="W27">
        <f t="shared" si="5"/>
        <v>-0.08</v>
      </c>
    </row>
    <row r="28" spans="1:23">
      <c r="A28" s="329">
        <v>45840</v>
      </c>
      <c r="B28" s="330" t="s">
        <v>282</v>
      </c>
      <c r="C28" s="330" t="s">
        <v>319</v>
      </c>
      <c r="D28" s="330" t="s">
        <v>1815</v>
      </c>
      <c r="E28" s="331">
        <v>-73586</v>
      </c>
      <c r="F28" s="330">
        <v>-7.0000000000000007E-2</v>
      </c>
      <c r="G28" s="26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8">
        <f>IF(R28="","",IF(LEN(R28)&gt;9,SUMIFS(Options!$AZ$3:$AZ$26,Options!$B$3:$B$26,'Check result'!R28),SUMIFS('Master P&amp;L'!$AE$11:$AE$93,'Master P&amp;L'!$B$11:$B$93,'Check result'!R28)))</f>
        <v>0</v>
      </c>
      <c r="U28" s="268">
        <f t="shared" si="3"/>
        <v>0</v>
      </c>
      <c r="V28" s="267">
        <f t="shared" si="4"/>
        <v>-73586</v>
      </c>
      <c r="W28">
        <f t="shared" si="5"/>
        <v>-7.0000000000000007E-2</v>
      </c>
    </row>
    <row r="29" spans="1:23">
      <c r="A29" s="329">
        <v>45840</v>
      </c>
      <c r="B29" s="330" t="s">
        <v>282</v>
      </c>
      <c r="C29" s="330" t="s">
        <v>324</v>
      </c>
      <c r="D29" s="330" t="s">
        <v>1771</v>
      </c>
      <c r="E29" s="331">
        <v>-71135</v>
      </c>
      <c r="F29" s="330">
        <v>-0.06</v>
      </c>
      <c r="G29" s="26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8">
        <f>IF(R29="","",IF(LEN(R29)&gt;9,SUMIFS(Options!$AZ$3:$AZ$26,Options!$B$3:$B$26,'Check result'!R29),SUMIFS('Master P&amp;L'!$AE$11:$AE$93,'Master P&amp;L'!$B$11:$B$93,'Check result'!R29)))</f>
        <v>0</v>
      </c>
      <c r="U29" s="268">
        <f t="shared" si="3"/>
        <v>0</v>
      </c>
      <c r="V29" s="267">
        <f t="shared" si="4"/>
        <v>-71135</v>
      </c>
      <c r="W29">
        <f t="shared" si="5"/>
        <v>-5.9999999999999991E-2</v>
      </c>
    </row>
    <row r="30" spans="1:23">
      <c r="A30" s="329">
        <v>45840</v>
      </c>
      <c r="B30" s="330" t="s">
        <v>282</v>
      </c>
      <c r="C30" s="330" t="s">
        <v>319</v>
      </c>
      <c r="D30" s="330" t="s">
        <v>1835</v>
      </c>
      <c r="E30" s="331">
        <v>-70821</v>
      </c>
      <c r="F30" s="330">
        <v>-0.06</v>
      </c>
      <c r="G30" s="267">
        <f t="shared" si="0"/>
        <v>11803500000</v>
      </c>
      <c r="R30" t="str">
        <f t="shared" si="1"/>
        <v>MU US 08/15/25 C135</v>
      </c>
      <c r="S30">
        <f t="shared" si="2"/>
        <v>-70821</v>
      </c>
      <c r="T30" s="268">
        <f>IF(R30="","",IF(LEN(R30)&gt;9,SUMIFS(Options!$AZ$3:$AZ$26,Options!$B$3:$B$26,'Check result'!R30),SUMIFS('Master P&amp;L'!$AE$11:$AE$93,'Master P&amp;L'!$B$11:$B$93,'Check result'!R30)))</f>
        <v>0</v>
      </c>
      <c r="U30" s="268">
        <f t="shared" si="3"/>
        <v>0</v>
      </c>
      <c r="V30" s="267">
        <f t="shared" si="4"/>
        <v>-70821</v>
      </c>
      <c r="W30">
        <f t="shared" si="5"/>
        <v>-6.0000000000000005E-2</v>
      </c>
    </row>
    <row r="31" spans="1:23">
      <c r="A31" s="329">
        <v>45840</v>
      </c>
      <c r="B31" s="330" t="s">
        <v>282</v>
      </c>
      <c r="C31" s="330" t="s">
        <v>319</v>
      </c>
      <c r="D31" s="330" t="s">
        <v>1741</v>
      </c>
      <c r="E31" s="331">
        <v>-69837</v>
      </c>
      <c r="F31" s="330">
        <v>-0.06</v>
      </c>
      <c r="G31" s="26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8">
        <f>IF(R31="","",IF(LEN(R31)&gt;9,SUMIFS(Options!$AZ$3:$AZ$26,Options!$B$3:$B$26,'Check result'!R31),SUMIFS('Master P&amp;L'!$AE$11:$AE$93,'Master P&amp;L'!$B$11:$B$93,'Check result'!R31)))</f>
        <v>0</v>
      </c>
      <c r="U31" s="268">
        <f t="shared" si="3"/>
        <v>0</v>
      </c>
      <c r="V31" s="267">
        <f t="shared" si="4"/>
        <v>-69837</v>
      </c>
      <c r="W31">
        <f t="shared" si="5"/>
        <v>-6.0000000000000005E-2</v>
      </c>
    </row>
    <row r="32" spans="1:23">
      <c r="A32" s="329">
        <v>45840</v>
      </c>
      <c r="B32" s="330" t="s">
        <v>282</v>
      </c>
      <c r="C32" s="330" t="s">
        <v>324</v>
      </c>
      <c r="D32" s="330" t="s">
        <v>1788</v>
      </c>
      <c r="E32" s="331">
        <v>-68578</v>
      </c>
      <c r="F32" s="330">
        <v>-0.06</v>
      </c>
      <c r="G32" s="26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8">
        <f>IF(R32="","",IF(LEN(R32)&gt;9,SUMIFS(Options!$AZ$3:$AZ$26,Options!$B$3:$B$26,'Check result'!R32),SUMIFS('Master P&amp;L'!$AE$11:$AE$93,'Master P&amp;L'!$B$11:$B$93,'Check result'!R32)))</f>
        <v>0</v>
      </c>
      <c r="U32" s="268">
        <f t="shared" si="3"/>
        <v>0</v>
      </c>
      <c r="V32" s="267">
        <f t="shared" si="4"/>
        <v>-68578</v>
      </c>
      <c r="W32">
        <f t="shared" si="5"/>
        <v>-5.9999999999999991E-2</v>
      </c>
    </row>
    <row r="33" spans="1:23">
      <c r="A33" s="329">
        <v>45840</v>
      </c>
      <c r="B33" s="330" t="s">
        <v>282</v>
      </c>
      <c r="C33" s="330" t="s">
        <v>317</v>
      </c>
      <c r="D33" s="330" t="s">
        <v>305</v>
      </c>
      <c r="E33" s="331">
        <v>-63399</v>
      </c>
      <c r="F33" s="330">
        <v>-0.06</v>
      </c>
      <c r="G33" s="267">
        <f t="shared" si="0"/>
        <v>10566500000</v>
      </c>
      <c r="R33" t="str">
        <f t="shared" si="1"/>
        <v>NTGR</v>
      </c>
      <c r="S33">
        <f t="shared" si="2"/>
        <v>-63399</v>
      </c>
      <c r="T33" s="268">
        <f>IF(R33="","",IF(LEN(R33)&gt;9,SUMIFS(Options!$AZ$3:$AZ$26,Options!$B$3:$B$26,'Check result'!R33),SUMIFS('Master P&amp;L'!$AE$11:$AE$93,'Master P&amp;L'!$B$11:$B$93,'Check result'!R33)))</f>
        <v>0</v>
      </c>
      <c r="U33" s="268">
        <f t="shared" si="3"/>
        <v>0</v>
      </c>
      <c r="V33" s="267">
        <f t="shared" si="4"/>
        <v>-63399</v>
      </c>
      <c r="W33">
        <f t="shared" si="5"/>
        <v>-6.0000000000000005E-2</v>
      </c>
    </row>
    <row r="34" spans="1:23">
      <c r="A34" s="329">
        <v>45840</v>
      </c>
      <c r="B34" s="330" t="s">
        <v>282</v>
      </c>
      <c r="C34" s="330" t="s">
        <v>324</v>
      </c>
      <c r="D34" s="330" t="s">
        <v>1778</v>
      </c>
      <c r="E34" s="331">
        <v>-58329</v>
      </c>
      <c r="F34" s="330">
        <v>-0.05</v>
      </c>
      <c r="G34" s="267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8">
        <f>IF(R34="","",IF(LEN(R34)&gt;9,SUMIFS(Options!$AZ$3:$AZ$26,Options!$B$3:$B$26,'Check result'!R34),SUMIFS('Master P&amp;L'!$AE$11:$AE$93,'Master P&amp;L'!$B$11:$B$93,'Check result'!R34)))</f>
        <v>0</v>
      </c>
      <c r="U34" s="268">
        <f t="shared" si="3"/>
        <v>0</v>
      </c>
      <c r="V34" s="267">
        <f t="shared" si="4"/>
        <v>-58329</v>
      </c>
      <c r="W34">
        <f t="shared" si="5"/>
        <v>-0.05</v>
      </c>
    </row>
    <row r="35" spans="1:23">
      <c r="A35" s="329">
        <v>45840</v>
      </c>
      <c r="B35" s="330" t="s">
        <v>282</v>
      </c>
      <c r="C35" s="330" t="s">
        <v>317</v>
      </c>
      <c r="D35" s="330" t="s">
        <v>79</v>
      </c>
      <c r="E35" s="331">
        <v>-56191</v>
      </c>
      <c r="F35" s="330">
        <v>-0.05</v>
      </c>
      <c r="G35" s="267">
        <f t="shared" si="0"/>
        <v>11238200000</v>
      </c>
      <c r="R35" t="str">
        <f t="shared" si="1"/>
        <v>AAPL</v>
      </c>
      <c r="S35">
        <f t="shared" si="2"/>
        <v>-56191</v>
      </c>
      <c r="T35" s="268">
        <f>IF(R35="","",IF(LEN(R35)&gt;9,SUMIFS(Options!$AZ$3:$AZ$26,Options!$B$3:$B$26,'Check result'!R35),SUMIFS('Master P&amp;L'!$AE$11:$AE$93,'Master P&amp;L'!$B$11:$B$93,'Check result'!R35)))</f>
        <v>0</v>
      </c>
      <c r="U35" s="268">
        <f t="shared" si="3"/>
        <v>0</v>
      </c>
      <c r="V35" s="267">
        <f t="shared" si="4"/>
        <v>-56191</v>
      </c>
      <c r="W35">
        <f t="shared" si="5"/>
        <v>-0.05</v>
      </c>
    </row>
    <row r="36" spans="1:23">
      <c r="A36" s="329">
        <v>45840</v>
      </c>
      <c r="B36" s="330" t="s">
        <v>282</v>
      </c>
      <c r="C36" s="330" t="s">
        <v>325</v>
      </c>
      <c r="D36" s="330" t="s">
        <v>304</v>
      </c>
      <c r="E36" s="331">
        <v>-55901</v>
      </c>
      <c r="F36" s="330">
        <v>-0.05</v>
      </c>
      <c r="G36" s="26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8">
        <f>IF(R36="","",IF(LEN(R36)&gt;9,SUMIFS(Options!$AZ$3:$AZ$26,Options!$B$3:$B$26,'Check result'!R36),SUMIFS('Master P&amp;L'!$AE$11:$AE$93,'Master P&amp;L'!$B$11:$B$93,'Check result'!R36)))</f>
        <v>0</v>
      </c>
      <c r="U36" s="268">
        <f t="shared" si="3"/>
        <v>0</v>
      </c>
      <c r="V36" s="267">
        <f t="shared" si="4"/>
        <v>-55901</v>
      </c>
      <c r="W36">
        <f t="shared" si="5"/>
        <v>-0.05</v>
      </c>
    </row>
    <row r="37" spans="1:23">
      <c r="A37" s="329">
        <v>45840</v>
      </c>
      <c r="B37" s="330" t="s">
        <v>282</v>
      </c>
      <c r="C37" s="330" t="s">
        <v>324</v>
      </c>
      <c r="D37" s="330" t="s">
        <v>1826</v>
      </c>
      <c r="E37" s="331">
        <v>-53690</v>
      </c>
      <c r="F37" s="330">
        <v>-0.05</v>
      </c>
      <c r="G37" s="267">
        <f t="shared" si="0"/>
        <v>10738000000</v>
      </c>
      <c r="R37" t="str">
        <f t="shared" si="1"/>
        <v>EWT US 09/19/25 P57</v>
      </c>
      <c r="S37">
        <f t="shared" si="2"/>
        <v>-53690</v>
      </c>
      <c r="T37" s="268">
        <f>IF(R37="","",IF(LEN(R37)&gt;9,SUMIFS(Options!$AZ$3:$AZ$26,Options!$B$3:$B$26,'Check result'!R37),SUMIFS('Master P&amp;L'!$AE$11:$AE$93,'Master P&amp;L'!$B$11:$B$93,'Check result'!R37)))</f>
        <v>0</v>
      </c>
      <c r="U37" s="268">
        <f t="shared" si="3"/>
        <v>0</v>
      </c>
      <c r="V37" s="267">
        <f t="shared" si="4"/>
        <v>-53690</v>
      </c>
      <c r="W37">
        <f t="shared" si="5"/>
        <v>-0.05</v>
      </c>
    </row>
    <row r="38" spans="1:23">
      <c r="A38" s="329">
        <v>45840</v>
      </c>
      <c r="B38" s="330" t="s">
        <v>282</v>
      </c>
      <c r="C38" s="330" t="s">
        <v>324</v>
      </c>
      <c r="D38" s="330" t="s">
        <v>1821</v>
      </c>
      <c r="E38" s="331">
        <v>-51969</v>
      </c>
      <c r="F38" s="330">
        <v>-0.05</v>
      </c>
      <c r="G38" s="267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8">
        <f>IF(R38="","",IF(LEN(R38)&gt;9,SUMIFS(Options!$AZ$3:$AZ$26,Options!$B$3:$B$26,'Check result'!R38),SUMIFS('Master P&amp;L'!$AE$11:$AE$93,'Master P&amp;L'!$B$11:$B$93,'Check result'!R38)))</f>
        <v>0</v>
      </c>
      <c r="U38" s="268">
        <f t="shared" si="3"/>
        <v>0</v>
      </c>
      <c r="V38" s="267">
        <f t="shared" si="4"/>
        <v>-51969</v>
      </c>
      <c r="W38">
        <f t="shared" si="5"/>
        <v>-0.05</v>
      </c>
    </row>
    <row r="39" spans="1:23">
      <c r="A39" s="329">
        <v>45840</v>
      </c>
      <c r="B39" s="330" t="s">
        <v>282</v>
      </c>
      <c r="C39" s="330" t="s">
        <v>324</v>
      </c>
      <c r="D39" s="330" t="s">
        <v>1819</v>
      </c>
      <c r="E39" s="331">
        <v>-50505</v>
      </c>
      <c r="F39" s="330">
        <v>-0.04</v>
      </c>
      <c r="G39" s="267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8">
        <f>IF(R39="","",IF(LEN(R39)&gt;9,SUMIFS(Options!$AZ$3:$AZ$26,Options!$B$3:$B$26,'Check result'!R39),SUMIFS('Master P&amp;L'!$AE$11:$AE$93,'Master P&amp;L'!$B$11:$B$93,'Check result'!R39)))</f>
        <v>0</v>
      </c>
      <c r="U39" s="268">
        <f t="shared" si="3"/>
        <v>0</v>
      </c>
      <c r="V39" s="267">
        <f t="shared" si="4"/>
        <v>-50505</v>
      </c>
      <c r="W39">
        <f t="shared" si="5"/>
        <v>-0.04</v>
      </c>
    </row>
    <row r="40" spans="1:23">
      <c r="A40" s="329">
        <v>45840</v>
      </c>
      <c r="B40" s="330" t="s">
        <v>282</v>
      </c>
      <c r="C40" s="330" t="s">
        <v>324</v>
      </c>
      <c r="D40" s="330" t="s">
        <v>1715</v>
      </c>
      <c r="E40" s="331">
        <v>-47699</v>
      </c>
      <c r="F40" s="330">
        <v>-0.04</v>
      </c>
      <c r="G40" s="267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8">
        <f>IF(R40="","",IF(LEN(R40)&gt;9,SUMIFS(Options!$AZ$3:$AZ$26,Options!$B$3:$B$26,'Check result'!R40),SUMIFS('Master P&amp;L'!$AE$11:$AE$93,'Master P&amp;L'!$B$11:$B$93,'Check result'!R40)))</f>
        <v>0</v>
      </c>
      <c r="U40" s="268">
        <f t="shared" si="3"/>
        <v>0</v>
      </c>
      <c r="V40" s="267">
        <f t="shared" si="4"/>
        <v>-47699</v>
      </c>
      <c r="W40">
        <f t="shared" si="5"/>
        <v>-0.04</v>
      </c>
    </row>
    <row r="41" spans="1:23">
      <c r="A41" s="329">
        <v>45840</v>
      </c>
      <c r="B41" s="330" t="s">
        <v>282</v>
      </c>
      <c r="C41" s="330" t="s">
        <v>39</v>
      </c>
      <c r="D41" s="330" t="s">
        <v>92</v>
      </c>
      <c r="E41" s="331">
        <v>-46605</v>
      </c>
      <c r="F41" s="330">
        <v>-0.04</v>
      </c>
      <c r="G41" s="267">
        <f t="shared" si="0"/>
        <v>11651250000</v>
      </c>
      <c r="R41" t="str">
        <f t="shared" si="1"/>
        <v>LYSDY</v>
      </c>
      <c r="S41">
        <f t="shared" si="2"/>
        <v>-46605</v>
      </c>
      <c r="T41" s="268">
        <f>IF(R41="","",IF(LEN(R41)&gt;9,SUMIFS(Options!$AZ$3:$AZ$26,Options!$B$3:$B$26,'Check result'!R41),SUMIFS('Master P&amp;L'!$AE$11:$AE$93,'Master P&amp;L'!$B$11:$B$93,'Check result'!R41)))</f>
        <v>0</v>
      </c>
      <c r="U41" s="268">
        <f t="shared" si="3"/>
        <v>0</v>
      </c>
      <c r="V41" s="267">
        <f t="shared" si="4"/>
        <v>-46605</v>
      </c>
      <c r="W41">
        <f t="shared" si="5"/>
        <v>-0.04</v>
      </c>
    </row>
    <row r="42" spans="1:23">
      <c r="A42" s="329">
        <v>45840</v>
      </c>
      <c r="B42" s="330" t="s">
        <v>282</v>
      </c>
      <c r="C42" s="330" t="s">
        <v>39</v>
      </c>
      <c r="D42" s="330" t="s">
        <v>1679</v>
      </c>
      <c r="E42" s="331">
        <v>-41345</v>
      </c>
      <c r="F42" s="330">
        <v>-0.04</v>
      </c>
      <c r="G42" s="267">
        <f t="shared" si="0"/>
        <v>10336250000</v>
      </c>
      <c r="R42" t="str">
        <f t="shared" si="1"/>
        <v>SHEL</v>
      </c>
      <c r="S42">
        <f t="shared" si="2"/>
        <v>-41345</v>
      </c>
      <c r="T42" s="268">
        <f>IF(R42="","",IF(LEN(R42)&gt;9,SUMIFS(Options!$AZ$3:$AZ$26,Options!$B$3:$B$26,'Check result'!R42),SUMIFS('Master P&amp;L'!$AE$11:$AE$93,'Master P&amp;L'!$B$11:$B$93,'Check result'!R42)))</f>
        <v>0</v>
      </c>
      <c r="U42" s="268">
        <f t="shared" si="3"/>
        <v>0</v>
      </c>
      <c r="V42" s="267">
        <f t="shared" si="4"/>
        <v>-41345</v>
      </c>
      <c r="W42">
        <f t="shared" si="5"/>
        <v>-0.04</v>
      </c>
    </row>
    <row r="43" spans="1:23">
      <c r="A43" s="329">
        <v>45840</v>
      </c>
      <c r="B43" s="330" t="s">
        <v>282</v>
      </c>
      <c r="C43" s="330" t="s">
        <v>320</v>
      </c>
      <c r="D43" s="330" t="s">
        <v>3</v>
      </c>
      <c r="E43" s="331">
        <v>-39567</v>
      </c>
      <c r="F43" s="330">
        <v>-0.03</v>
      </c>
      <c r="G43" s="267">
        <f t="shared" si="0"/>
        <v>13189000000</v>
      </c>
      <c r="R43" t="str">
        <f t="shared" si="1"/>
        <v>RSP</v>
      </c>
      <c r="S43">
        <f t="shared" si="2"/>
        <v>-39567</v>
      </c>
      <c r="T43" s="268">
        <f>IF(R43="","",IF(LEN(R43)&gt;9,SUMIFS(Options!$AZ$3:$AZ$26,Options!$B$3:$B$26,'Check result'!R43),SUMIFS('Master P&amp;L'!$AE$11:$AE$93,'Master P&amp;L'!$B$11:$B$93,'Check result'!R43)))</f>
        <v>0</v>
      </c>
      <c r="U43" s="268">
        <f t="shared" si="3"/>
        <v>0</v>
      </c>
      <c r="V43" s="267">
        <f t="shared" si="4"/>
        <v>-39567</v>
      </c>
      <c r="W43">
        <f t="shared" si="5"/>
        <v>-3.0000000000000002E-2</v>
      </c>
    </row>
    <row r="44" spans="1:23">
      <c r="A44" s="329">
        <v>45840</v>
      </c>
      <c r="B44" s="330" t="s">
        <v>282</v>
      </c>
      <c r="C44" s="330" t="s">
        <v>320</v>
      </c>
      <c r="D44" s="330" t="s">
        <v>89</v>
      </c>
      <c r="E44" s="331">
        <v>-37821</v>
      </c>
      <c r="F44" s="330">
        <v>-0.03</v>
      </c>
      <c r="G44" s="267">
        <f t="shared" si="0"/>
        <v>12607000000</v>
      </c>
      <c r="R44" t="str">
        <f t="shared" si="1"/>
        <v>IGV</v>
      </c>
      <c r="S44">
        <f t="shared" si="2"/>
        <v>-37821</v>
      </c>
      <c r="T44" s="268">
        <f>IF(R44="","",IF(LEN(R44)&gt;9,SUMIFS(Options!$AZ$3:$AZ$26,Options!$B$3:$B$26,'Check result'!R44),SUMIFS('Master P&amp;L'!$AE$11:$AE$93,'Master P&amp;L'!$B$11:$B$93,'Check result'!R44)))</f>
        <v>0</v>
      </c>
      <c r="U44" s="268">
        <f t="shared" si="3"/>
        <v>0</v>
      </c>
      <c r="V44" s="267">
        <f t="shared" si="4"/>
        <v>-37821</v>
      </c>
      <c r="W44">
        <f t="shared" si="5"/>
        <v>-3.0000000000000002E-2</v>
      </c>
    </row>
    <row r="45" spans="1:23">
      <c r="A45" s="329">
        <v>45840</v>
      </c>
      <c r="B45" s="330" t="s">
        <v>282</v>
      </c>
      <c r="C45" s="330" t="s">
        <v>320</v>
      </c>
      <c r="D45" s="330" t="s">
        <v>1685</v>
      </c>
      <c r="E45" s="331">
        <v>-32666</v>
      </c>
      <c r="F45" s="330">
        <v>-0.03</v>
      </c>
      <c r="G45" s="267">
        <f t="shared" si="0"/>
        <v>10888666666.666668</v>
      </c>
      <c r="R45" t="str">
        <f t="shared" si="1"/>
        <v>XHB</v>
      </c>
      <c r="S45">
        <f t="shared" si="2"/>
        <v>-32666</v>
      </c>
      <c r="T45" s="268">
        <f>IF(R45="","",IF(LEN(R45)&gt;9,SUMIFS(Options!$AZ$3:$AZ$26,Options!$B$3:$B$26,'Check result'!R45),SUMIFS('Master P&amp;L'!$AE$11:$AE$93,'Master P&amp;L'!$B$11:$B$93,'Check result'!R45)))</f>
        <v>0</v>
      </c>
      <c r="U45" s="268">
        <f t="shared" si="3"/>
        <v>0</v>
      </c>
      <c r="V45" s="267">
        <f t="shared" si="4"/>
        <v>-32666</v>
      </c>
      <c r="W45">
        <f t="shared" si="5"/>
        <v>-2.9999999999999995E-2</v>
      </c>
    </row>
    <row r="46" spans="1:23">
      <c r="A46" s="329">
        <v>45840</v>
      </c>
      <c r="B46" s="330" t="s">
        <v>282</v>
      </c>
      <c r="C46" s="330" t="s">
        <v>324</v>
      </c>
      <c r="D46" s="330" t="s">
        <v>1798</v>
      </c>
      <c r="E46" s="331">
        <v>-32490</v>
      </c>
      <c r="F46" s="330">
        <v>-0.03</v>
      </c>
      <c r="G46" s="26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8">
        <f>IF(R46="","",IF(LEN(R46)&gt;9,SUMIFS(Options!$AZ$3:$AZ$26,Options!$B$3:$B$26,'Check result'!R46),SUMIFS('Master P&amp;L'!$AE$11:$AE$93,'Master P&amp;L'!$B$11:$B$93,'Check result'!R46)))</f>
        <v>0</v>
      </c>
      <c r="U46" s="268">
        <f t="shared" si="3"/>
        <v>0</v>
      </c>
      <c r="V46" s="267">
        <f t="shared" si="4"/>
        <v>-32490</v>
      </c>
      <c r="W46">
        <f t="shared" si="5"/>
        <v>-3.0000000000000002E-2</v>
      </c>
    </row>
    <row r="47" spans="1:23">
      <c r="A47" s="329">
        <v>45840</v>
      </c>
      <c r="B47" s="330" t="s">
        <v>282</v>
      </c>
      <c r="C47" s="330" t="s">
        <v>320</v>
      </c>
      <c r="D47" s="330" t="s">
        <v>1689</v>
      </c>
      <c r="E47" s="331">
        <v>-29155</v>
      </c>
      <c r="F47" s="330">
        <v>-0.03</v>
      </c>
      <c r="G47" s="267">
        <f t="shared" si="0"/>
        <v>9718333333.333334</v>
      </c>
      <c r="R47" t="str">
        <f t="shared" si="1"/>
        <v>ITB</v>
      </c>
      <c r="S47">
        <f t="shared" si="2"/>
        <v>-29155</v>
      </c>
      <c r="T47" s="268">
        <f>IF(R47="","",IF(LEN(R47)&gt;9,SUMIFS(Options!$AZ$3:$AZ$26,Options!$B$3:$B$26,'Check result'!R47),SUMIFS('Master P&amp;L'!$AE$11:$AE$93,'Master P&amp;L'!$B$11:$B$93,'Check result'!R47)))</f>
        <v>0</v>
      </c>
      <c r="U47" s="268">
        <f t="shared" si="3"/>
        <v>0</v>
      </c>
      <c r="V47" s="267">
        <f t="shared" si="4"/>
        <v>-29155</v>
      </c>
      <c r="W47">
        <f t="shared" si="5"/>
        <v>-2.9999999999999995E-2</v>
      </c>
    </row>
    <row r="48" spans="1:23">
      <c r="A48" s="329">
        <v>45840</v>
      </c>
      <c r="B48" s="330" t="s">
        <v>282</v>
      </c>
      <c r="C48" s="330" t="s">
        <v>320</v>
      </c>
      <c r="D48" s="330" t="s">
        <v>71</v>
      </c>
      <c r="E48" s="331">
        <v>-27555</v>
      </c>
      <c r="F48" s="330">
        <v>-0.02</v>
      </c>
      <c r="G48" s="267">
        <f t="shared" si="0"/>
        <v>13777500000</v>
      </c>
      <c r="R48" t="str">
        <f t="shared" si="1"/>
        <v>KRE</v>
      </c>
      <c r="S48">
        <f t="shared" si="2"/>
        <v>-27555</v>
      </c>
      <c r="T48" s="268">
        <f>IF(R48="","",IF(LEN(R48)&gt;9,SUMIFS(Options!$AZ$3:$AZ$26,Options!$B$3:$B$26,'Check result'!R48),SUMIFS('Master P&amp;L'!$AE$11:$AE$93,'Master P&amp;L'!$B$11:$B$93,'Check result'!R48)))</f>
        <v>0</v>
      </c>
      <c r="U48" s="268">
        <f t="shared" si="3"/>
        <v>0</v>
      </c>
      <c r="V48" s="267">
        <f t="shared" si="4"/>
        <v>-27555</v>
      </c>
      <c r="W48">
        <f t="shared" si="5"/>
        <v>-0.02</v>
      </c>
    </row>
    <row r="49" spans="1:23">
      <c r="A49" s="329">
        <v>45840</v>
      </c>
      <c r="B49" s="330" t="s">
        <v>282</v>
      </c>
      <c r="C49" s="330" t="s">
        <v>324</v>
      </c>
      <c r="D49" s="330" t="s">
        <v>1710</v>
      </c>
      <c r="E49" s="331">
        <v>-22013</v>
      </c>
      <c r="F49" s="330">
        <v>-0.02</v>
      </c>
      <c r="G49" s="267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8">
        <f>IF(R49="","",IF(LEN(R49)&gt;9,SUMIFS(Options!$AZ$3:$AZ$26,Options!$B$3:$B$26,'Check result'!R49),SUMIFS('Master P&amp;L'!$AE$11:$AE$93,'Master P&amp;L'!$B$11:$B$93,'Check result'!R49)))</f>
        <v>0</v>
      </c>
      <c r="U49" s="268">
        <f t="shared" si="3"/>
        <v>0</v>
      </c>
      <c r="V49" s="267">
        <f t="shared" si="4"/>
        <v>-22013</v>
      </c>
      <c r="W49">
        <f t="shared" si="5"/>
        <v>-0.02</v>
      </c>
    </row>
    <row r="50" spans="1:23">
      <c r="A50" s="329">
        <v>45840</v>
      </c>
      <c r="B50" s="330" t="s">
        <v>282</v>
      </c>
      <c r="C50" s="330" t="s">
        <v>320</v>
      </c>
      <c r="D50" s="330" t="s">
        <v>4</v>
      </c>
      <c r="E50" s="331">
        <v>-18023</v>
      </c>
      <c r="F50" s="330">
        <v>-0.02</v>
      </c>
      <c r="G50" s="267">
        <f t="shared" si="0"/>
        <v>9011500000</v>
      </c>
      <c r="R50" t="str">
        <f t="shared" si="1"/>
        <v>XLP</v>
      </c>
      <c r="S50">
        <f t="shared" si="2"/>
        <v>-18023</v>
      </c>
      <c r="T50" s="268">
        <f>IF(R50="","",IF(LEN(R50)&gt;9,SUMIFS(Options!$AZ$3:$AZ$26,Options!$B$3:$B$26,'Check result'!R50),SUMIFS('Master P&amp;L'!$AE$11:$AE$93,'Master P&amp;L'!$B$11:$B$93,'Check result'!R50)))</f>
        <v>0</v>
      </c>
      <c r="U50" s="268">
        <f t="shared" si="3"/>
        <v>0</v>
      </c>
      <c r="V50" s="267">
        <f t="shared" si="4"/>
        <v>-18023</v>
      </c>
      <c r="W50">
        <f t="shared" si="5"/>
        <v>-0.02</v>
      </c>
    </row>
    <row r="51" spans="1:23">
      <c r="A51" s="329">
        <v>45840</v>
      </c>
      <c r="B51" s="330" t="s">
        <v>282</v>
      </c>
      <c r="C51" s="330" t="s">
        <v>639</v>
      </c>
      <c r="D51" s="330" t="s">
        <v>1728</v>
      </c>
      <c r="E51" s="331">
        <v>-17992</v>
      </c>
      <c r="F51" s="330">
        <v>-0.02</v>
      </c>
      <c r="G51" s="26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8">
        <f>IF(R51="","",IF(LEN(R51)&gt;9,SUMIFS(Options!$AZ$3:$AZ$26,Options!$B$3:$B$26,'Check result'!R51),SUMIFS('Master P&amp;L'!$AE$11:$AE$93,'Master P&amp;L'!$B$11:$B$93,'Check result'!R51)))</f>
        <v>0</v>
      </c>
      <c r="U51" s="268">
        <f t="shared" si="3"/>
        <v>0</v>
      </c>
      <c r="V51" s="267">
        <f t="shared" si="4"/>
        <v>-17992</v>
      </c>
      <c r="W51">
        <f t="shared" si="5"/>
        <v>-0.02</v>
      </c>
    </row>
    <row r="52" spans="1:23">
      <c r="A52" s="329">
        <v>45840</v>
      </c>
      <c r="B52" s="330" t="s">
        <v>282</v>
      </c>
      <c r="C52" s="330" t="s">
        <v>324</v>
      </c>
      <c r="D52" s="330" t="s">
        <v>242</v>
      </c>
      <c r="E52" s="331">
        <v>-17250</v>
      </c>
      <c r="F52" s="330">
        <v>-0.02</v>
      </c>
      <c r="G52" s="267">
        <f t="shared" si="0"/>
        <v>8625000000</v>
      </c>
      <c r="R52" t="str">
        <f t="shared" si="1"/>
        <v>GDX US 07/18/25 C55</v>
      </c>
      <c r="S52">
        <f t="shared" si="2"/>
        <v>-17250</v>
      </c>
      <c r="T52" s="268">
        <f>IF(R52="","",IF(LEN(R52)&gt;9,SUMIFS(Options!$AZ$3:$AZ$26,Options!$B$3:$B$26,'Check result'!R52),SUMIFS('Master P&amp;L'!$AE$11:$AE$93,'Master P&amp;L'!$B$11:$B$93,'Check result'!R52)))</f>
        <v>0</v>
      </c>
      <c r="U52" s="268">
        <f t="shared" si="3"/>
        <v>0</v>
      </c>
      <c r="V52" s="267">
        <f t="shared" si="4"/>
        <v>-17250</v>
      </c>
      <c r="W52">
        <f t="shared" si="5"/>
        <v>-0.02</v>
      </c>
    </row>
    <row r="53" spans="1:23">
      <c r="A53" s="329">
        <v>45840</v>
      </c>
      <c r="B53" s="330" t="s">
        <v>282</v>
      </c>
      <c r="C53" s="330" t="s">
        <v>317</v>
      </c>
      <c r="D53" s="330" t="s">
        <v>82</v>
      </c>
      <c r="E53" s="331">
        <v>-16945</v>
      </c>
      <c r="F53" s="330">
        <v>-0.01</v>
      </c>
      <c r="G53" s="267">
        <f t="shared" si="0"/>
        <v>16945000000</v>
      </c>
      <c r="R53" t="str">
        <f t="shared" si="1"/>
        <v>TTWO</v>
      </c>
      <c r="S53">
        <f t="shared" si="2"/>
        <v>-16945</v>
      </c>
      <c r="T53" s="268">
        <f>IF(R53="","",IF(LEN(R53)&gt;9,SUMIFS(Options!$AZ$3:$AZ$26,Options!$B$3:$B$26,'Check result'!R53),SUMIFS('Master P&amp;L'!$AE$11:$AE$93,'Master P&amp;L'!$B$11:$B$93,'Check result'!R53)))</f>
        <v>0</v>
      </c>
      <c r="U53" s="268">
        <f t="shared" si="3"/>
        <v>0</v>
      </c>
      <c r="V53" s="267">
        <f t="shared" si="4"/>
        <v>-16945</v>
      </c>
      <c r="W53">
        <f t="shared" si="5"/>
        <v>-0.01</v>
      </c>
    </row>
    <row r="54" spans="1:23">
      <c r="A54" s="329">
        <v>45840</v>
      </c>
      <c r="B54" s="330" t="s">
        <v>282</v>
      </c>
      <c r="C54" s="330" t="s">
        <v>319</v>
      </c>
      <c r="D54" s="330" t="s">
        <v>1807</v>
      </c>
      <c r="E54" s="331">
        <v>-16069</v>
      </c>
      <c r="F54" s="330">
        <v>-0.01</v>
      </c>
      <c r="G54" s="267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8">
        <f>IF(R54="","",IF(LEN(R54)&gt;9,SUMIFS(Options!$AZ$3:$AZ$26,Options!$B$3:$B$26,'Check result'!R54),SUMIFS('Master P&amp;L'!$AE$11:$AE$93,'Master P&amp;L'!$B$11:$B$93,'Check result'!R54)))</f>
        <v>0</v>
      </c>
      <c r="U54" s="268">
        <f t="shared" si="3"/>
        <v>0</v>
      </c>
      <c r="V54" s="267">
        <f t="shared" si="4"/>
        <v>-16069</v>
      </c>
      <c r="W54">
        <f t="shared" si="5"/>
        <v>-0.01</v>
      </c>
    </row>
    <row r="55" spans="1:23">
      <c r="A55" s="329">
        <v>45840</v>
      </c>
      <c r="B55" s="330" t="s">
        <v>282</v>
      </c>
      <c r="C55" s="330" t="s">
        <v>319</v>
      </c>
      <c r="D55" s="330" t="s">
        <v>1712</v>
      </c>
      <c r="E55" s="331">
        <v>-13837</v>
      </c>
      <c r="F55" s="330">
        <v>-0.01</v>
      </c>
      <c r="G55" s="26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8">
        <f>IF(R55="","",IF(LEN(R55)&gt;9,SUMIFS(Options!$AZ$3:$AZ$26,Options!$B$3:$B$26,'Check result'!R55),SUMIFS('Master P&amp;L'!$AE$11:$AE$93,'Master P&amp;L'!$B$11:$B$93,'Check result'!R55)))</f>
        <v>0</v>
      </c>
      <c r="U55" s="268">
        <f t="shared" si="3"/>
        <v>0</v>
      </c>
      <c r="V55" s="267">
        <f t="shared" si="4"/>
        <v>-13837</v>
      </c>
      <c r="W55">
        <f t="shared" si="5"/>
        <v>-0.01</v>
      </c>
    </row>
    <row r="56" spans="1:23">
      <c r="A56" s="329">
        <v>45840</v>
      </c>
      <c r="B56" s="330" t="s">
        <v>282</v>
      </c>
      <c r="C56" s="330" t="s">
        <v>320</v>
      </c>
      <c r="D56" s="330" t="s">
        <v>513</v>
      </c>
      <c r="E56" s="331">
        <v>-11755</v>
      </c>
      <c r="F56" s="330">
        <v>-0.01</v>
      </c>
      <c r="G56" s="267">
        <f t="shared" si="0"/>
        <v>11755000000</v>
      </c>
      <c r="R56" t="str">
        <f t="shared" si="1"/>
        <v>EWT</v>
      </c>
      <c r="S56">
        <f t="shared" si="2"/>
        <v>-11755</v>
      </c>
      <c r="T56" s="268">
        <f>IF(R56="","",IF(LEN(R56)&gt;9,SUMIFS(Options!$AZ$3:$AZ$26,Options!$B$3:$B$26,'Check result'!R56),SUMIFS('Master P&amp;L'!$AE$11:$AE$93,'Master P&amp;L'!$B$11:$B$93,'Check result'!R56)))</f>
        <v>0</v>
      </c>
      <c r="U56" s="268">
        <f t="shared" si="3"/>
        <v>0</v>
      </c>
      <c r="V56" s="267">
        <f t="shared" si="4"/>
        <v>-11755</v>
      </c>
      <c r="W56">
        <f t="shared" si="5"/>
        <v>-0.01</v>
      </c>
    </row>
    <row r="57" spans="1:23">
      <c r="A57" s="329">
        <v>45840</v>
      </c>
      <c r="B57" s="330" t="s">
        <v>282</v>
      </c>
      <c r="C57" s="330" t="s">
        <v>319</v>
      </c>
      <c r="D57" s="330" t="s">
        <v>1836</v>
      </c>
      <c r="E57" s="331">
        <v>-11370</v>
      </c>
      <c r="F57" s="330">
        <v>-0.01</v>
      </c>
      <c r="G57" s="267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8">
        <f>IF(R57="","",IF(LEN(R57)&gt;9,SUMIFS(Options!$AZ$3:$AZ$26,Options!$B$3:$B$26,'Check result'!R57),SUMIFS('Master P&amp;L'!$AE$11:$AE$93,'Master P&amp;L'!$B$11:$B$93,'Check result'!R57)))</f>
        <v>0</v>
      </c>
      <c r="U57" s="268">
        <f t="shared" si="3"/>
        <v>0</v>
      </c>
      <c r="V57" s="267">
        <f t="shared" si="4"/>
        <v>-11370</v>
      </c>
      <c r="W57">
        <f t="shared" si="5"/>
        <v>-0.01</v>
      </c>
    </row>
    <row r="58" spans="1:23">
      <c r="A58" s="329">
        <v>45840</v>
      </c>
      <c r="B58" s="330" t="s">
        <v>282</v>
      </c>
      <c r="C58" s="330" t="s">
        <v>324</v>
      </c>
      <c r="D58" s="330" t="s">
        <v>1725</v>
      </c>
      <c r="E58" s="331">
        <v>-10288</v>
      </c>
      <c r="F58" s="330">
        <v>-0.01</v>
      </c>
      <c r="G58" s="26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8">
        <f>IF(R58="","",IF(LEN(R58)&gt;9,SUMIFS(Options!$AZ$3:$AZ$26,Options!$B$3:$B$26,'Check result'!R58),SUMIFS('Master P&amp;L'!$AE$11:$AE$93,'Master P&amp;L'!$B$11:$B$93,'Check result'!R58)))</f>
        <v>0</v>
      </c>
      <c r="U58" s="268">
        <f t="shared" si="3"/>
        <v>0</v>
      </c>
      <c r="V58" s="267">
        <f t="shared" si="4"/>
        <v>-10288</v>
      </c>
      <c r="W58">
        <f t="shared" si="5"/>
        <v>-0.01</v>
      </c>
    </row>
    <row r="59" spans="1:23">
      <c r="A59" s="329">
        <v>45840</v>
      </c>
      <c r="B59" s="330" t="s">
        <v>282</v>
      </c>
      <c r="C59" s="330" t="s">
        <v>319</v>
      </c>
      <c r="D59" s="330" t="s">
        <v>1810</v>
      </c>
      <c r="E59" s="331">
        <v>-10085</v>
      </c>
      <c r="F59" s="330">
        <v>-0.01</v>
      </c>
      <c r="G59" s="26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8">
        <f>IF(R59="","",IF(LEN(R59)&gt;9,SUMIFS(Options!$AZ$3:$AZ$26,Options!$B$3:$B$26,'Check result'!R59),SUMIFS('Master P&amp;L'!$AE$11:$AE$93,'Master P&amp;L'!$B$11:$B$93,'Check result'!R59)))</f>
        <v>0</v>
      </c>
      <c r="U59" s="268">
        <f t="shared" si="3"/>
        <v>0</v>
      </c>
      <c r="V59" s="267">
        <f t="shared" si="4"/>
        <v>-10085</v>
      </c>
      <c r="W59">
        <f t="shared" si="5"/>
        <v>-0.01</v>
      </c>
    </row>
    <row r="60" spans="1:23">
      <c r="A60" s="329">
        <v>45840</v>
      </c>
      <c r="B60" s="330" t="s">
        <v>282</v>
      </c>
      <c r="C60" s="330" t="s">
        <v>319</v>
      </c>
      <c r="D60" s="330" t="s">
        <v>1697</v>
      </c>
      <c r="E60" s="331">
        <v>-9651</v>
      </c>
      <c r="F60" s="330">
        <v>-0.01</v>
      </c>
      <c r="G60" s="267">
        <f t="shared" si="0"/>
        <v>9651000000</v>
      </c>
      <c r="R60" t="str">
        <f t="shared" si="1"/>
        <v>UBER US 07/18/25 C90</v>
      </c>
      <c r="S60">
        <f t="shared" si="2"/>
        <v>-9651</v>
      </c>
      <c r="T60" s="268">
        <f>IF(R60="","",IF(LEN(R60)&gt;9,SUMIFS(Options!$AZ$3:$AZ$26,Options!$B$3:$B$26,'Check result'!R60),SUMIFS('Master P&amp;L'!$AE$11:$AE$93,'Master P&amp;L'!$B$11:$B$93,'Check result'!R60)))</f>
        <v>0</v>
      </c>
      <c r="U60" s="268">
        <f t="shared" si="3"/>
        <v>0</v>
      </c>
      <c r="V60" s="267">
        <f t="shared" si="4"/>
        <v>-9651</v>
      </c>
      <c r="W60">
        <f t="shared" si="5"/>
        <v>-0.01</v>
      </c>
    </row>
    <row r="61" spans="1:23">
      <c r="A61" s="329">
        <v>45840</v>
      </c>
      <c r="B61" s="330" t="s">
        <v>282</v>
      </c>
      <c r="C61" s="330" t="s">
        <v>317</v>
      </c>
      <c r="D61" s="330" t="s">
        <v>86</v>
      </c>
      <c r="E61" s="331">
        <v>-9135</v>
      </c>
      <c r="F61" s="330">
        <v>-0.01</v>
      </c>
      <c r="G61" s="267">
        <f t="shared" si="0"/>
        <v>9135000000</v>
      </c>
      <c r="R61" t="str">
        <f t="shared" si="1"/>
        <v>MA</v>
      </c>
      <c r="S61">
        <f t="shared" si="2"/>
        <v>-9135</v>
      </c>
      <c r="T61" s="268">
        <f>IF(R61="","",IF(LEN(R61)&gt;9,SUMIFS(Options!$AZ$3:$AZ$26,Options!$B$3:$B$26,'Check result'!R61),SUMIFS('Master P&amp;L'!$AE$11:$AE$93,'Master P&amp;L'!$B$11:$B$93,'Check result'!R61)))</f>
        <v>0</v>
      </c>
      <c r="U61" s="268">
        <f t="shared" si="3"/>
        <v>0</v>
      </c>
      <c r="V61" s="267">
        <f t="shared" si="4"/>
        <v>-9135</v>
      </c>
      <c r="W61">
        <f t="shared" si="5"/>
        <v>-0.01</v>
      </c>
    </row>
    <row r="62" spans="1:23">
      <c r="A62" s="329">
        <v>45840</v>
      </c>
      <c r="B62" s="330" t="s">
        <v>282</v>
      </c>
      <c r="C62" s="330" t="s">
        <v>477</v>
      </c>
      <c r="D62" s="330" t="s">
        <v>1772</v>
      </c>
      <c r="E62" s="331">
        <v>-8852</v>
      </c>
      <c r="F62" s="330">
        <v>-0.01</v>
      </c>
      <c r="G62" s="267">
        <f t="shared" si="0"/>
        <v>8852000000</v>
      </c>
      <c r="R62" t="str">
        <f t="shared" si="1"/>
        <v>CHINAGOV 06/20/30</v>
      </c>
      <c r="S62">
        <f t="shared" si="2"/>
        <v>-8852</v>
      </c>
      <c r="T62" s="268">
        <f>IF(R62="","",IF(LEN(R62)&gt;9,SUMIFS(Options!$AZ$3:$AZ$26,Options!$B$3:$B$26,'Check result'!R62),SUMIFS('Master P&amp;L'!$AE$11:$AE$93,'Master P&amp;L'!$B$11:$B$93,'Check result'!R62)))</f>
        <v>0</v>
      </c>
      <c r="U62" s="268">
        <f t="shared" si="3"/>
        <v>0</v>
      </c>
      <c r="V62" s="267">
        <f t="shared" si="4"/>
        <v>-8852</v>
      </c>
      <c r="W62">
        <f t="shared" si="5"/>
        <v>-0.01</v>
      </c>
    </row>
    <row r="63" spans="1:23">
      <c r="A63" s="329">
        <v>45840</v>
      </c>
      <c r="B63" s="330" t="s">
        <v>282</v>
      </c>
      <c r="C63" s="330" t="s">
        <v>327</v>
      </c>
      <c r="D63" s="330" t="s">
        <v>1688</v>
      </c>
      <c r="E63" s="331">
        <v>-8458</v>
      </c>
      <c r="F63" s="330">
        <v>-0.01</v>
      </c>
      <c r="G63" s="267">
        <f t="shared" si="0"/>
        <v>8458000000</v>
      </c>
      <c r="R63" t="str">
        <f t="shared" si="1"/>
        <v>TEVA US 07/18/25 C19</v>
      </c>
      <c r="S63">
        <f t="shared" si="2"/>
        <v>-8458</v>
      </c>
      <c r="T63" s="268">
        <f>IF(R63="","",IF(LEN(R63)&gt;9,SUMIFS(Options!$AZ$3:$AZ$26,Options!$B$3:$B$26,'Check result'!R63),SUMIFS('Master P&amp;L'!$AE$11:$AE$93,'Master P&amp;L'!$B$11:$B$93,'Check result'!R63)))</f>
        <v>0</v>
      </c>
      <c r="U63" s="268">
        <f t="shared" si="3"/>
        <v>0</v>
      </c>
      <c r="V63" s="267">
        <f t="shared" si="4"/>
        <v>-8458</v>
      </c>
      <c r="W63">
        <f t="shared" si="5"/>
        <v>-0.01</v>
      </c>
    </row>
    <row r="64" spans="1:23">
      <c r="A64" s="329">
        <v>45840</v>
      </c>
      <c r="B64" s="330" t="s">
        <v>282</v>
      </c>
      <c r="C64" s="330" t="s">
        <v>319</v>
      </c>
      <c r="D64" s="330" t="s">
        <v>1706</v>
      </c>
      <c r="E64" s="331">
        <v>-8344</v>
      </c>
      <c r="F64" s="330">
        <v>-0.01</v>
      </c>
      <c r="G64" s="267">
        <f t="shared" si="0"/>
        <v>8344000000</v>
      </c>
      <c r="R64" t="str">
        <f t="shared" si="1"/>
        <v>MSFT US 07/18/25 P455</v>
      </c>
      <c r="S64">
        <f t="shared" si="2"/>
        <v>-8344</v>
      </c>
      <c r="T64" s="268">
        <f>IF(R64="","",IF(LEN(R64)&gt;9,SUMIFS(Options!$AZ$3:$AZ$26,Options!$B$3:$B$26,'Check result'!R64),SUMIFS('Master P&amp;L'!$AE$11:$AE$93,'Master P&amp;L'!$B$11:$B$93,'Check result'!R64)))</f>
        <v>0</v>
      </c>
      <c r="U64" s="268">
        <f t="shared" si="3"/>
        <v>0</v>
      </c>
      <c r="V64" s="267">
        <f t="shared" si="4"/>
        <v>-8344</v>
      </c>
      <c r="W64">
        <f t="shared" si="5"/>
        <v>-0.01</v>
      </c>
    </row>
    <row r="65" spans="1:23">
      <c r="A65" s="329">
        <v>45840</v>
      </c>
      <c r="B65" s="330" t="s">
        <v>282</v>
      </c>
      <c r="C65" s="330" t="s">
        <v>324</v>
      </c>
      <c r="D65" s="330" t="s">
        <v>1730</v>
      </c>
      <c r="E65" s="331">
        <v>-7523</v>
      </c>
      <c r="F65" s="330">
        <v>-0.01</v>
      </c>
      <c r="G65" s="267">
        <f t="shared" si="0"/>
        <v>7523000000</v>
      </c>
      <c r="R65" t="str">
        <f t="shared" si="1"/>
        <v>XLF US 07/18/25 P48</v>
      </c>
      <c r="S65">
        <f t="shared" si="2"/>
        <v>-7523</v>
      </c>
      <c r="T65" s="268">
        <f>IF(R65="","",IF(LEN(R65)&gt;9,SUMIFS(Options!$AZ$3:$AZ$26,Options!$B$3:$B$26,'Check result'!R65),SUMIFS('Master P&amp;L'!$AE$11:$AE$93,'Master P&amp;L'!$B$11:$B$93,'Check result'!R65)))</f>
        <v>0</v>
      </c>
      <c r="U65" s="268">
        <f t="shared" si="3"/>
        <v>0</v>
      </c>
      <c r="V65" s="267">
        <f t="shared" si="4"/>
        <v>-7523</v>
      </c>
      <c r="W65">
        <f t="shared" si="5"/>
        <v>-0.01</v>
      </c>
    </row>
    <row r="66" spans="1:23">
      <c r="A66" s="329">
        <v>45840</v>
      </c>
      <c r="B66" s="330" t="s">
        <v>282</v>
      </c>
      <c r="C66" s="330" t="s">
        <v>319</v>
      </c>
      <c r="D66" s="330" t="s">
        <v>1745</v>
      </c>
      <c r="E66" s="331">
        <v>-6029</v>
      </c>
      <c r="F66" s="330">
        <v>-0.01</v>
      </c>
      <c r="G66" s="267">
        <f t="shared" si="0"/>
        <v>6029000000</v>
      </c>
      <c r="R66" t="str">
        <f t="shared" si="1"/>
        <v>MSFT US 07/18/25 P465</v>
      </c>
      <c r="S66">
        <f t="shared" si="2"/>
        <v>-6029</v>
      </c>
      <c r="T66" s="268">
        <f>IF(R66="","",IF(LEN(R66)&gt;9,SUMIFS(Options!$AZ$3:$AZ$26,Options!$B$3:$B$26,'Check result'!R66),SUMIFS('Master P&amp;L'!$AE$11:$AE$93,'Master P&amp;L'!$B$11:$B$93,'Check result'!R66)))</f>
        <v>0</v>
      </c>
      <c r="U66" s="268">
        <f t="shared" si="3"/>
        <v>0</v>
      </c>
      <c r="V66" s="267">
        <f t="shared" si="4"/>
        <v>-6029</v>
      </c>
      <c r="W66">
        <f t="shared" si="5"/>
        <v>-0.01</v>
      </c>
    </row>
    <row r="67" spans="1:23">
      <c r="A67" s="329">
        <v>45840</v>
      </c>
      <c r="B67" s="330" t="s">
        <v>282</v>
      </c>
      <c r="C67" s="330" t="s">
        <v>324</v>
      </c>
      <c r="D67" s="330" t="s">
        <v>1773</v>
      </c>
      <c r="E67" s="331">
        <v>-6029</v>
      </c>
      <c r="F67" s="330">
        <v>-0.01</v>
      </c>
      <c r="G67" s="26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8">
        <f>IF(R67="","",IF(LEN(R67)&gt;9,SUMIFS(Options!$AZ$3:$AZ$26,Options!$B$3:$B$26,'Check result'!R67),SUMIFS('Master P&amp;L'!$AE$11:$AE$93,'Master P&amp;L'!$B$11:$B$93,'Check result'!R67)))</f>
        <v>0</v>
      </c>
      <c r="U67" s="268">
        <f t="shared" ref="U67:U112" si="9">T67/2</f>
        <v>0</v>
      </c>
      <c r="V67" s="267">
        <f t="shared" ref="V67:V112" si="10">+S67-U67</f>
        <v>-6029</v>
      </c>
      <c r="W67">
        <f t="shared" ref="W67:W112" si="11">+V67/G67*10000</f>
        <v>-0.01</v>
      </c>
    </row>
    <row r="68" spans="1:23">
      <c r="A68" s="329">
        <v>45840</v>
      </c>
      <c r="B68" s="330" t="s">
        <v>282</v>
      </c>
      <c r="C68" s="330" t="s">
        <v>319</v>
      </c>
      <c r="D68" s="330" t="s">
        <v>234</v>
      </c>
      <c r="E68" s="331">
        <v>-5618</v>
      </c>
      <c r="F68" s="330">
        <v>0</v>
      </c>
      <c r="G68" s="26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8">
        <f>IF(R68="","",IF(LEN(R68)&gt;9,SUMIFS(Options!$AZ$3:$AZ$26,Options!$B$3:$B$26,'Check result'!R68),SUMIFS('Master P&amp;L'!$AE$11:$AE$93,'Master P&amp;L'!$B$11:$B$93,'Check result'!R68)))</f>
        <v>0</v>
      </c>
      <c r="U68" s="268">
        <f t="shared" si="9"/>
        <v>0</v>
      </c>
      <c r="V68" s="267">
        <f t="shared" si="10"/>
        <v>-5618</v>
      </c>
      <c r="W68" t="e">
        <f t="shared" si="11"/>
        <v>#DIV/0!</v>
      </c>
    </row>
    <row r="69" spans="1:23">
      <c r="A69" s="329">
        <v>45840</v>
      </c>
      <c r="B69" s="330" t="s">
        <v>282</v>
      </c>
      <c r="C69" s="330" t="s">
        <v>319</v>
      </c>
      <c r="D69" s="330" t="s">
        <v>1795</v>
      </c>
      <c r="E69" s="331">
        <v>-5612</v>
      </c>
      <c r="F69" s="330">
        <v>0</v>
      </c>
      <c r="G69" s="26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8">
        <f>IF(R69="","",IF(LEN(R69)&gt;9,SUMIFS(Options!$AZ$3:$AZ$26,Options!$B$3:$B$26,'Check result'!R69),SUMIFS('Master P&amp;L'!$AE$11:$AE$93,'Master P&amp;L'!$B$11:$B$93,'Check result'!R69)))</f>
        <v>0</v>
      </c>
      <c r="U69" s="268">
        <f t="shared" si="9"/>
        <v>0</v>
      </c>
      <c r="V69" s="267">
        <f t="shared" si="10"/>
        <v>-5612</v>
      </c>
      <c r="W69" t="e">
        <f t="shared" si="11"/>
        <v>#DIV/0!</v>
      </c>
    </row>
    <row r="70" spans="1:23">
      <c r="A70" s="329">
        <v>45840</v>
      </c>
      <c r="B70" s="330" t="s">
        <v>282</v>
      </c>
      <c r="C70" s="330" t="s">
        <v>319</v>
      </c>
      <c r="D70" s="330" t="s">
        <v>1800</v>
      </c>
      <c r="E70" s="331">
        <v>-3475</v>
      </c>
      <c r="F70" s="330">
        <v>0</v>
      </c>
      <c r="G70" s="267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8">
        <f>IF(R70="","",IF(LEN(R70)&gt;9,SUMIFS(Options!$AZ$3:$AZ$26,Options!$B$3:$B$26,'Check result'!R70),SUMIFS('Master P&amp;L'!$AE$11:$AE$93,'Master P&amp;L'!$B$11:$B$93,'Check result'!R70)))</f>
        <v>0</v>
      </c>
      <c r="U70" s="268">
        <f t="shared" si="9"/>
        <v>0</v>
      </c>
      <c r="V70" s="267">
        <f t="shared" si="10"/>
        <v>-3475</v>
      </c>
      <c r="W70" t="e">
        <f t="shared" si="11"/>
        <v>#DIV/0!</v>
      </c>
    </row>
    <row r="71" spans="1:23">
      <c r="A71" s="329">
        <v>45840</v>
      </c>
      <c r="B71" s="330" t="s">
        <v>282</v>
      </c>
      <c r="C71" s="330" t="s">
        <v>317</v>
      </c>
      <c r="D71" s="330" t="s">
        <v>1803</v>
      </c>
      <c r="E71" s="331">
        <v>-2977</v>
      </c>
      <c r="F71" s="330">
        <v>0</v>
      </c>
      <c r="G71" s="267" t="e">
        <f t="shared" si="6"/>
        <v>#DIV/0!</v>
      </c>
      <c r="R71" t="str">
        <f t="shared" si="7"/>
        <v>KKR</v>
      </c>
      <c r="S71">
        <f t="shared" si="8"/>
        <v>-2977</v>
      </c>
      <c r="T71" s="268">
        <f>IF(R71="","",IF(LEN(R71)&gt;9,SUMIFS(Options!$AZ$3:$AZ$26,Options!$B$3:$B$26,'Check result'!R71),SUMIFS('Master P&amp;L'!$AE$11:$AE$93,'Master P&amp;L'!$B$11:$B$93,'Check result'!R71)))</f>
        <v>0</v>
      </c>
      <c r="U71" s="268">
        <f t="shared" si="9"/>
        <v>0</v>
      </c>
      <c r="V71" s="267">
        <f t="shared" si="10"/>
        <v>-2977</v>
      </c>
      <c r="W71" t="e">
        <f t="shared" si="11"/>
        <v>#DIV/0!</v>
      </c>
    </row>
    <row r="72" spans="1:23">
      <c r="A72" s="329">
        <v>45840</v>
      </c>
      <c r="B72" s="330" t="s">
        <v>282</v>
      </c>
      <c r="C72" s="330" t="s">
        <v>319</v>
      </c>
      <c r="D72" s="330" t="s">
        <v>1752</v>
      </c>
      <c r="E72" s="331">
        <v>-2451</v>
      </c>
      <c r="F72" s="330">
        <v>0</v>
      </c>
      <c r="G72" s="267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8">
        <f>IF(R72="","",IF(LEN(R72)&gt;9,SUMIFS(Options!$AZ$3:$AZ$26,Options!$B$3:$B$26,'Check result'!R72),SUMIFS('Master P&amp;L'!$AE$11:$AE$93,'Master P&amp;L'!$B$11:$B$93,'Check result'!R72)))</f>
        <v>0</v>
      </c>
      <c r="U72" s="268">
        <f t="shared" si="9"/>
        <v>0</v>
      </c>
      <c r="V72" s="267">
        <f t="shared" si="10"/>
        <v>-2451</v>
      </c>
      <c r="W72" t="e">
        <f t="shared" si="11"/>
        <v>#DIV/0!</v>
      </c>
    </row>
    <row r="73" spans="1:23">
      <c r="A73" s="329">
        <v>45840</v>
      </c>
      <c r="B73" s="330" t="s">
        <v>282</v>
      </c>
      <c r="C73" s="330" t="s">
        <v>319</v>
      </c>
      <c r="D73" s="330" t="s">
        <v>1748</v>
      </c>
      <c r="E73" s="331">
        <v>-2120</v>
      </c>
      <c r="F73" s="330">
        <v>0</v>
      </c>
      <c r="G73" s="26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8">
        <f>IF(R73="","",IF(LEN(R73)&gt;9,SUMIFS(Options!$AZ$3:$AZ$26,Options!$B$3:$B$26,'Check result'!R73),SUMIFS('Master P&amp;L'!$AE$11:$AE$93,'Master P&amp;L'!$B$11:$B$93,'Check result'!R73)))</f>
        <v>0</v>
      </c>
      <c r="U73" s="268">
        <f t="shared" si="9"/>
        <v>0</v>
      </c>
      <c r="V73" s="267">
        <f t="shared" si="10"/>
        <v>-2120</v>
      </c>
      <c r="W73" t="e">
        <f t="shared" si="11"/>
        <v>#DIV/0!</v>
      </c>
    </row>
    <row r="74" spans="1:23">
      <c r="A74" s="329">
        <v>45840</v>
      </c>
      <c r="B74" s="330" t="s">
        <v>282</v>
      </c>
      <c r="C74" s="330" t="s">
        <v>324</v>
      </c>
      <c r="D74" s="330" t="s">
        <v>1797</v>
      </c>
      <c r="E74" s="331">
        <v>-1937</v>
      </c>
      <c r="F74" s="330">
        <v>0</v>
      </c>
      <c r="G74" s="267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8">
        <f>IF(R74="","",IF(LEN(R74)&gt;9,SUMIFS(Options!$AZ$3:$AZ$26,Options!$B$3:$B$26,'Check result'!R74),SUMIFS('Master P&amp;L'!$AE$11:$AE$93,'Master P&amp;L'!$B$11:$B$93,'Check result'!R74)))</f>
        <v>0</v>
      </c>
      <c r="U74" s="268">
        <f t="shared" si="9"/>
        <v>0</v>
      </c>
      <c r="V74" s="267">
        <f t="shared" si="10"/>
        <v>-1937</v>
      </c>
      <c r="W74" t="e">
        <f t="shared" si="11"/>
        <v>#DIV/0!</v>
      </c>
    </row>
    <row r="75" spans="1:23">
      <c r="A75" s="329">
        <v>45840</v>
      </c>
      <c r="B75" s="330" t="s">
        <v>282</v>
      </c>
      <c r="C75" s="330" t="s">
        <v>319</v>
      </c>
      <c r="D75" s="330" t="s">
        <v>1837</v>
      </c>
      <c r="E75" s="331">
        <v>-1895</v>
      </c>
      <c r="F75" s="330">
        <v>0</v>
      </c>
      <c r="G75" s="26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8">
        <f>IF(R75="","",IF(LEN(R75)&gt;9,SUMIFS(Options!$AZ$3:$AZ$26,Options!$B$3:$B$26,'Check result'!R75),SUMIFS('Master P&amp;L'!$AE$11:$AE$93,'Master P&amp;L'!$B$11:$B$93,'Check result'!R75)))</f>
        <v>0</v>
      </c>
      <c r="U75" s="268">
        <f t="shared" si="9"/>
        <v>0</v>
      </c>
      <c r="V75" s="267">
        <f t="shared" si="10"/>
        <v>-1895</v>
      </c>
      <c r="W75" t="e">
        <f t="shared" si="11"/>
        <v>#DIV/0!</v>
      </c>
    </row>
    <row r="76" spans="1:23">
      <c r="A76" s="329">
        <v>45840</v>
      </c>
      <c r="B76" s="330" t="s">
        <v>282</v>
      </c>
      <c r="C76" s="330" t="s">
        <v>324</v>
      </c>
      <c r="D76" s="330" t="s">
        <v>1789</v>
      </c>
      <c r="E76" s="331">
        <v>-1518</v>
      </c>
      <c r="F76" s="330">
        <v>0</v>
      </c>
      <c r="G76" s="26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8">
        <f>IF(R76="","",IF(LEN(R76)&gt;9,SUMIFS(Options!$AZ$3:$AZ$26,Options!$B$3:$B$26,'Check result'!R76),SUMIFS('Master P&amp;L'!$AE$11:$AE$93,'Master P&amp;L'!$B$11:$B$93,'Check result'!R76)))</f>
        <v>0</v>
      </c>
      <c r="U76" s="268">
        <f t="shared" si="9"/>
        <v>0</v>
      </c>
      <c r="V76" s="267">
        <f t="shared" si="10"/>
        <v>-1518</v>
      </c>
      <c r="W76" t="e">
        <f t="shared" si="11"/>
        <v>#DIV/0!</v>
      </c>
    </row>
    <row r="77" spans="1:23">
      <c r="A77" s="329">
        <v>45840</v>
      </c>
      <c r="B77" s="330" t="s">
        <v>282</v>
      </c>
      <c r="C77" s="330" t="s">
        <v>319</v>
      </c>
      <c r="D77" s="330" t="s">
        <v>1783</v>
      </c>
      <c r="E77" s="330">
        <v>-640</v>
      </c>
      <c r="F77" s="330">
        <v>0</v>
      </c>
      <c r="G77" s="267" t="e">
        <f t="shared" si="6"/>
        <v>#DIV/0!</v>
      </c>
      <c r="R77" t="str">
        <f t="shared" si="7"/>
        <v>V US 07/11/25 P335</v>
      </c>
      <c r="S77">
        <f t="shared" si="8"/>
        <v>-640</v>
      </c>
      <c r="T77" s="268">
        <f>IF(R77="","",IF(LEN(R77)&gt;9,SUMIFS(Options!$AZ$3:$AZ$26,Options!$B$3:$B$26,'Check result'!R77),SUMIFS('Master P&amp;L'!$AE$11:$AE$93,'Master P&amp;L'!$B$11:$B$93,'Check result'!R77)))</f>
        <v>0</v>
      </c>
      <c r="U77" s="268">
        <f t="shared" si="9"/>
        <v>0</v>
      </c>
      <c r="V77" s="267">
        <f t="shared" si="10"/>
        <v>-640</v>
      </c>
      <c r="W77" t="e">
        <f t="shared" si="11"/>
        <v>#DIV/0!</v>
      </c>
    </row>
    <row r="78" spans="1:23">
      <c r="A78" s="329">
        <v>45840</v>
      </c>
      <c r="B78" s="330" t="s">
        <v>282</v>
      </c>
      <c r="C78" s="330" t="s">
        <v>327</v>
      </c>
      <c r="D78" s="330" t="s">
        <v>1705</v>
      </c>
      <c r="E78" s="330">
        <v>-530</v>
      </c>
      <c r="F78" s="330">
        <v>0</v>
      </c>
      <c r="G78" s="267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8">
        <f>IF(R78="","",IF(LEN(R78)&gt;9,SUMIFS(Options!$AZ$3:$AZ$26,Options!$B$3:$B$26,'Check result'!R78),SUMIFS('Master P&amp;L'!$AE$11:$AE$93,'Master P&amp;L'!$B$11:$B$93,'Check result'!R78)))</f>
        <v>0</v>
      </c>
      <c r="U78" s="268">
        <f t="shared" si="9"/>
        <v>0</v>
      </c>
      <c r="V78" s="267">
        <f t="shared" si="10"/>
        <v>-530</v>
      </c>
      <c r="W78" t="e">
        <f t="shared" si="11"/>
        <v>#DIV/0!</v>
      </c>
    </row>
    <row r="79" spans="1:23">
      <c r="A79" s="329">
        <v>45840</v>
      </c>
      <c r="B79" s="330" t="s">
        <v>282</v>
      </c>
      <c r="C79" s="330" t="s">
        <v>321</v>
      </c>
      <c r="D79" s="330" t="s">
        <v>296</v>
      </c>
      <c r="E79" s="330">
        <v>-417</v>
      </c>
      <c r="F79" s="330">
        <v>0</v>
      </c>
      <c r="G79" s="267" t="e">
        <f t="shared" si="6"/>
        <v>#DIV/0!</v>
      </c>
      <c r="R79" t="str">
        <f t="shared" si="7"/>
        <v>Cash CHF</v>
      </c>
      <c r="S79">
        <f t="shared" si="8"/>
        <v>-417</v>
      </c>
      <c r="T79" s="268">
        <f>IF(R79="","",IF(LEN(R79)&gt;9,SUMIFS(Options!$AZ$3:$AZ$26,Options!$B$3:$B$26,'Check result'!R79),SUMIFS('Master P&amp;L'!$AE$11:$AE$93,'Master P&amp;L'!$B$11:$B$93,'Check result'!R79)))</f>
        <v>0</v>
      </c>
      <c r="U79" s="268">
        <f t="shared" si="9"/>
        <v>0</v>
      </c>
      <c r="V79" s="267">
        <f t="shared" si="10"/>
        <v>-417</v>
      </c>
      <c r="W79" t="e">
        <f t="shared" si="11"/>
        <v>#DIV/0!</v>
      </c>
    </row>
    <row r="80" spans="1:23">
      <c r="A80" s="329">
        <v>45840</v>
      </c>
      <c r="B80" s="330" t="s">
        <v>282</v>
      </c>
      <c r="C80" s="330" t="s">
        <v>319</v>
      </c>
      <c r="D80" s="330" t="s">
        <v>1718</v>
      </c>
      <c r="E80" s="330">
        <v>-255</v>
      </c>
      <c r="F80" s="330">
        <v>0</v>
      </c>
      <c r="G80" s="26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8">
        <f>IF(R80="","",IF(LEN(R80)&gt;9,SUMIFS(Options!$AZ$3:$AZ$26,Options!$B$3:$B$26,'Check result'!R80),SUMIFS('Master P&amp;L'!$AE$11:$AE$93,'Master P&amp;L'!$B$11:$B$93,'Check result'!R80)))</f>
        <v>0</v>
      </c>
      <c r="U80" s="268">
        <f t="shared" si="9"/>
        <v>0</v>
      </c>
      <c r="V80" s="267">
        <f t="shared" si="10"/>
        <v>-255</v>
      </c>
      <c r="W80" t="e">
        <f t="shared" si="11"/>
        <v>#DIV/0!</v>
      </c>
    </row>
    <row r="81" spans="1:23">
      <c r="A81" s="329">
        <v>45840</v>
      </c>
      <c r="B81" s="330" t="s">
        <v>282</v>
      </c>
      <c r="C81" s="330" t="s">
        <v>321</v>
      </c>
      <c r="D81" s="330" t="s">
        <v>295</v>
      </c>
      <c r="E81" s="330">
        <v>0</v>
      </c>
      <c r="F81" s="330">
        <v>0</v>
      </c>
      <c r="G81" s="267" t="e">
        <f t="shared" si="6"/>
        <v>#DIV/0!</v>
      </c>
      <c r="R81" t="str">
        <f t="shared" si="7"/>
        <v>Cash CAD</v>
      </c>
      <c r="S81">
        <f t="shared" si="8"/>
        <v>0</v>
      </c>
      <c r="T81" s="268">
        <f>IF(R81="","",IF(LEN(R81)&gt;9,SUMIFS(Options!$AZ$3:$AZ$26,Options!$B$3:$B$26,'Check result'!R81),SUMIFS('Master P&amp;L'!$AE$11:$AE$93,'Master P&amp;L'!$B$11:$B$93,'Check result'!R81)))</f>
        <v>0</v>
      </c>
      <c r="U81" s="268">
        <f t="shared" si="9"/>
        <v>0</v>
      </c>
      <c r="V81" s="267">
        <f t="shared" si="10"/>
        <v>0</v>
      </c>
      <c r="W81" t="e">
        <f t="shared" si="11"/>
        <v>#DIV/0!</v>
      </c>
    </row>
    <row r="82" spans="1:23">
      <c r="A82" s="329">
        <v>45840</v>
      </c>
      <c r="B82" s="330" t="s">
        <v>282</v>
      </c>
      <c r="C82" s="330" t="s">
        <v>319</v>
      </c>
      <c r="D82" s="330" t="s">
        <v>1822</v>
      </c>
      <c r="E82" s="330">
        <v>0</v>
      </c>
      <c r="F82" s="330">
        <v>0</v>
      </c>
      <c r="G82" s="267" t="e">
        <f t="shared" si="6"/>
        <v>#DIV/0!</v>
      </c>
      <c r="R82" t="str">
        <f t="shared" si="7"/>
        <v>MU US 07/03/25 C140</v>
      </c>
      <c r="S82">
        <f t="shared" si="8"/>
        <v>0</v>
      </c>
      <c r="T82" s="268">
        <f>IF(R82="","",IF(LEN(R82)&gt;9,SUMIFS(Options!$AZ$3:$AZ$26,Options!$B$3:$B$26,'Check result'!R82),SUMIFS('Master P&amp;L'!$AE$11:$AE$93,'Master P&amp;L'!$B$11:$B$93,'Check result'!R82)))</f>
        <v>0</v>
      </c>
      <c r="U82" s="268">
        <f t="shared" si="9"/>
        <v>0</v>
      </c>
      <c r="V82" s="267">
        <f t="shared" si="10"/>
        <v>0</v>
      </c>
      <c r="W82" t="e">
        <f t="shared" si="11"/>
        <v>#DIV/0!</v>
      </c>
    </row>
    <row r="83" spans="1:23">
      <c r="A83" s="329">
        <v>45840</v>
      </c>
      <c r="B83" s="330" t="s">
        <v>282</v>
      </c>
      <c r="C83" s="330" t="s">
        <v>318</v>
      </c>
      <c r="D83" s="330" t="s">
        <v>1777</v>
      </c>
      <c r="E83" s="330">
        <v>0</v>
      </c>
      <c r="F83" s="330">
        <v>0</v>
      </c>
      <c r="G83" s="267" t="e">
        <f t="shared" si="6"/>
        <v>#DIV/0!</v>
      </c>
      <c r="R83" t="str">
        <f t="shared" si="7"/>
        <v>TTE DIVIDEND_</v>
      </c>
      <c r="S83">
        <f t="shared" si="8"/>
        <v>0</v>
      </c>
      <c r="T83" s="268">
        <f>IF(R83="","",IF(LEN(R83)&gt;9,SUMIFS(Options!$AZ$3:$AZ$26,Options!$B$3:$B$26,'Check result'!R83),SUMIFS('Master P&amp;L'!$AE$11:$AE$93,'Master P&amp;L'!$B$11:$B$93,'Check result'!R83)))</f>
        <v>0</v>
      </c>
      <c r="U83" s="268">
        <f t="shared" si="9"/>
        <v>0</v>
      </c>
      <c r="V83" s="267">
        <f t="shared" si="10"/>
        <v>0</v>
      </c>
      <c r="W83" t="e">
        <f t="shared" si="11"/>
        <v>#DIV/0!</v>
      </c>
    </row>
    <row r="84" spans="1:23">
      <c r="A84" s="329">
        <v>45840</v>
      </c>
      <c r="B84" s="330" t="s">
        <v>282</v>
      </c>
      <c r="C84" s="330" t="s">
        <v>318</v>
      </c>
      <c r="D84" s="330" t="s">
        <v>1757</v>
      </c>
      <c r="E84" s="330">
        <v>0</v>
      </c>
      <c r="F84" s="330">
        <v>0</v>
      </c>
      <c r="G84" s="267" t="e">
        <f t="shared" si="6"/>
        <v>#DIV/0!</v>
      </c>
      <c r="R84" t="str">
        <f t="shared" si="7"/>
        <v>NVDA DIVIDEND_</v>
      </c>
      <c r="S84">
        <f t="shared" si="8"/>
        <v>0</v>
      </c>
      <c r="T84" s="268">
        <f>IF(R84="","",IF(LEN(R84)&gt;9,SUMIFS(Options!$AZ$3:$AZ$26,Options!$B$3:$B$26,'Check result'!R84),SUMIFS('Master P&amp;L'!$AE$11:$AE$93,'Master P&amp;L'!$B$11:$B$93,'Check result'!R84)))</f>
        <v>0</v>
      </c>
      <c r="U84" s="268">
        <f t="shared" si="9"/>
        <v>0</v>
      </c>
      <c r="V84" s="267">
        <f t="shared" si="10"/>
        <v>0</v>
      </c>
      <c r="W84" t="e">
        <f t="shared" si="11"/>
        <v>#DIV/0!</v>
      </c>
    </row>
    <row r="85" spans="1:23">
      <c r="A85" s="329">
        <v>45840</v>
      </c>
      <c r="B85" s="330" t="s">
        <v>282</v>
      </c>
      <c r="C85" s="330" t="s">
        <v>318</v>
      </c>
      <c r="D85" s="330" t="s">
        <v>1759</v>
      </c>
      <c r="E85" s="330">
        <v>0</v>
      </c>
      <c r="F85" s="330">
        <v>0</v>
      </c>
      <c r="G85" s="267" t="e">
        <f t="shared" si="6"/>
        <v>#DIV/0!</v>
      </c>
      <c r="R85" t="str">
        <f t="shared" si="7"/>
        <v>TSM DIVIDEND_</v>
      </c>
      <c r="S85">
        <f t="shared" si="8"/>
        <v>0</v>
      </c>
      <c r="T85" s="268">
        <f>IF(R85="","",IF(LEN(R85)&gt;9,SUMIFS(Options!$AZ$3:$AZ$26,Options!$B$3:$B$26,'Check result'!R85),SUMIFS('Master P&amp;L'!$AE$11:$AE$93,'Master P&amp;L'!$B$11:$B$93,'Check result'!R85)))</f>
        <v>0</v>
      </c>
      <c r="U85" s="268">
        <f t="shared" si="9"/>
        <v>0</v>
      </c>
      <c r="V85" s="267">
        <f t="shared" si="10"/>
        <v>0</v>
      </c>
      <c r="W85" t="e">
        <f t="shared" si="11"/>
        <v>#DIV/0!</v>
      </c>
    </row>
    <row r="86" spans="1:23">
      <c r="A86" s="329">
        <v>45840</v>
      </c>
      <c r="B86" s="330" t="s">
        <v>282</v>
      </c>
      <c r="C86" s="330" t="s">
        <v>318</v>
      </c>
      <c r="D86" s="330" t="s">
        <v>1833</v>
      </c>
      <c r="E86" s="330">
        <v>0</v>
      </c>
      <c r="F86" s="330">
        <v>0</v>
      </c>
      <c r="G86" s="267" t="e">
        <f t="shared" si="6"/>
        <v>#DIV/0!</v>
      </c>
      <c r="R86" t="str">
        <f t="shared" si="7"/>
        <v>COPX DIVIDEND_</v>
      </c>
      <c r="S86">
        <f t="shared" si="8"/>
        <v>0</v>
      </c>
      <c r="T86" s="268">
        <f>IF(R86="","",IF(LEN(R86)&gt;9,SUMIFS(Options!$AZ$3:$AZ$26,Options!$B$3:$B$26,'Check result'!R86),SUMIFS('Master P&amp;L'!$AE$11:$AE$93,'Master P&amp;L'!$B$11:$B$93,'Check result'!R86)))</f>
        <v>0</v>
      </c>
      <c r="U86" s="268">
        <f t="shared" si="9"/>
        <v>0</v>
      </c>
      <c r="V86" s="267">
        <f t="shared" si="10"/>
        <v>0</v>
      </c>
      <c r="W86" t="e">
        <f t="shared" si="11"/>
        <v>#DIV/0!</v>
      </c>
    </row>
    <row r="87" spans="1:23">
      <c r="A87" s="329">
        <v>45840</v>
      </c>
      <c r="B87" s="330" t="s">
        <v>282</v>
      </c>
      <c r="C87" s="330" t="s">
        <v>318</v>
      </c>
      <c r="D87" s="330" t="s">
        <v>337</v>
      </c>
      <c r="E87" s="330">
        <v>0</v>
      </c>
      <c r="F87" s="330">
        <v>0</v>
      </c>
      <c r="G87" s="26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8">
        <f>IF(R87="","",IF(LEN(R87)&gt;9,SUMIFS(Options!$AZ$3:$AZ$26,Options!$B$3:$B$26,'Check result'!R87),SUMIFS('Master P&amp;L'!$AE$11:$AE$93,'Master P&amp;L'!$B$11:$B$93,'Check result'!R87)))</f>
        <v>0</v>
      </c>
      <c r="U87" s="268">
        <f t="shared" si="9"/>
        <v>0</v>
      </c>
      <c r="V87" s="267">
        <f t="shared" si="10"/>
        <v>0</v>
      </c>
      <c r="W87" t="e">
        <f t="shared" si="11"/>
        <v>#DIV/0!</v>
      </c>
    </row>
    <row r="88" spans="1:23">
      <c r="A88" s="329">
        <v>45840</v>
      </c>
      <c r="B88" s="330" t="s">
        <v>282</v>
      </c>
      <c r="C88" s="330" t="s">
        <v>318</v>
      </c>
      <c r="D88" s="330" t="s">
        <v>1838</v>
      </c>
      <c r="E88" s="330">
        <v>0</v>
      </c>
      <c r="F88" s="330">
        <v>0</v>
      </c>
      <c r="G88" s="26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8">
        <f>IF(R88="","",IF(LEN(R88)&gt;9,SUMIFS(Options!$AZ$3:$AZ$26,Options!$B$3:$B$26,'Check result'!R88),SUMIFS('Master P&amp;L'!$AE$11:$AE$93,'Master P&amp;L'!$B$11:$B$93,'Check result'!R88)))</f>
        <v>0</v>
      </c>
      <c r="U88" s="268">
        <f t="shared" si="9"/>
        <v>0</v>
      </c>
      <c r="V88" s="267">
        <f t="shared" si="10"/>
        <v>0</v>
      </c>
      <c r="W88" t="e">
        <f t="shared" si="11"/>
        <v>#DIV/0!</v>
      </c>
    </row>
    <row r="89" spans="1:23">
      <c r="A89" s="329">
        <v>45840</v>
      </c>
      <c r="B89" s="330" t="s">
        <v>282</v>
      </c>
      <c r="C89" s="330" t="s">
        <v>318</v>
      </c>
      <c r="D89" s="330" t="s">
        <v>338</v>
      </c>
      <c r="E89" s="330">
        <v>0</v>
      </c>
      <c r="F89" s="330">
        <v>0</v>
      </c>
      <c r="G89" s="267" t="e">
        <f t="shared" si="6"/>
        <v>#DIV/0!</v>
      </c>
      <c r="R89" t="str">
        <f>D89</f>
        <v>QQQ DIVIDEND_</v>
      </c>
      <c r="S89">
        <f t="shared" si="8"/>
        <v>0</v>
      </c>
      <c r="T89" s="268">
        <f>IF(R89="","",IF(LEN(R89)&gt;9,SUMIFS(Options!$AZ$3:$AZ$26,Options!$B$3:$B$26,'Check result'!R89),SUMIFS('Master P&amp;L'!$AE$11:$AE$93,'Master P&amp;L'!$B$11:$B$93,'Check result'!R89)))</f>
        <v>0</v>
      </c>
      <c r="U89" s="268">
        <f t="shared" si="9"/>
        <v>0</v>
      </c>
      <c r="V89" s="267">
        <f t="shared" si="10"/>
        <v>0</v>
      </c>
      <c r="W89" t="e">
        <f t="shared" si="11"/>
        <v>#DIV/0!</v>
      </c>
    </row>
    <row r="90" spans="1:23">
      <c r="A90" s="329">
        <v>45840</v>
      </c>
      <c r="B90" s="330" t="s">
        <v>282</v>
      </c>
      <c r="C90" s="330" t="s">
        <v>318</v>
      </c>
      <c r="D90" s="330" t="s">
        <v>1775</v>
      </c>
      <c r="E90" s="330">
        <v>0</v>
      </c>
      <c r="F90" s="330">
        <v>0</v>
      </c>
      <c r="G90" s="26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8">
        <f>IF(R90="","",IF(LEN(R90)&gt;9,SUMIFS(Options!$AZ$3:$AZ$26,Options!$B$3:$B$26,'Check result'!R90),SUMIFS('Master P&amp;L'!$AE$11:$AE$93,'Master P&amp;L'!$B$11:$B$93,'Check result'!R90)))</f>
        <v>0</v>
      </c>
      <c r="U90" s="268">
        <f t="shared" si="9"/>
        <v>0</v>
      </c>
      <c r="V90" s="267">
        <f t="shared" si="10"/>
        <v>0</v>
      </c>
      <c r="W90" t="e">
        <f t="shared" si="11"/>
        <v>#DIV/0!</v>
      </c>
    </row>
    <row r="91" spans="1:23">
      <c r="A91" s="329">
        <v>45840</v>
      </c>
      <c r="B91" s="330" t="s">
        <v>282</v>
      </c>
      <c r="C91" s="330" t="s">
        <v>318</v>
      </c>
      <c r="D91" s="330" t="s">
        <v>306</v>
      </c>
      <c r="E91" s="330">
        <v>0</v>
      </c>
      <c r="F91" s="330">
        <v>0</v>
      </c>
      <c r="G91" s="267" t="e">
        <f t="shared" si="6"/>
        <v>#DIV/0!</v>
      </c>
      <c r="R91" t="str">
        <f t="shared" si="12"/>
        <v>Provision ETF USD_</v>
      </c>
      <c r="S91">
        <f t="shared" si="8"/>
        <v>0</v>
      </c>
      <c r="T91" s="268">
        <f>IF(R91="","",IF(LEN(R91)&gt;9,SUMIFS(Options!$AZ$3:$AZ$26,Options!$B$3:$B$26,'Check result'!R91),SUMIFS('Master P&amp;L'!$AE$11:$AE$93,'Master P&amp;L'!$B$11:$B$93,'Check result'!R91)))</f>
        <v>0</v>
      </c>
      <c r="U91" s="268">
        <f t="shared" si="9"/>
        <v>0</v>
      </c>
      <c r="V91" s="267">
        <f t="shared" si="10"/>
        <v>0</v>
      </c>
      <c r="W91" t="e">
        <f t="shared" si="11"/>
        <v>#DIV/0!</v>
      </c>
    </row>
    <row r="92" spans="1:23">
      <c r="A92" s="329">
        <v>45840</v>
      </c>
      <c r="B92" s="330" t="s">
        <v>282</v>
      </c>
      <c r="C92" s="330" t="s">
        <v>318</v>
      </c>
      <c r="D92" s="330" t="s">
        <v>307</v>
      </c>
      <c r="E92" s="330">
        <v>0</v>
      </c>
      <c r="F92" s="330">
        <v>0</v>
      </c>
      <c r="G92" s="26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8">
        <f>IF(R92="","",IF(LEN(R92)&gt;9,SUMIFS(Options!$AZ$3:$AZ$26,Options!$B$3:$B$26,'Check result'!R92),SUMIFS('Master P&amp;L'!$AE$11:$AE$93,'Master P&amp;L'!$B$11:$B$93,'Check result'!R92)))</f>
        <v>0</v>
      </c>
      <c r="U92" s="268">
        <f t="shared" si="9"/>
        <v>0</v>
      </c>
      <c r="V92" s="267">
        <f t="shared" si="10"/>
        <v>0</v>
      </c>
      <c r="W92" t="e">
        <f t="shared" si="11"/>
        <v>#DIV/0!</v>
      </c>
    </row>
    <row r="93" spans="1:23">
      <c r="A93" s="329">
        <v>45840</v>
      </c>
      <c r="B93" s="330" t="s">
        <v>282</v>
      </c>
      <c r="C93" s="330" t="s">
        <v>318</v>
      </c>
      <c r="D93" s="330" t="s">
        <v>1666</v>
      </c>
      <c r="E93" s="330">
        <v>0</v>
      </c>
      <c r="F93" s="330">
        <v>0</v>
      </c>
      <c r="G93" s="267" t="e">
        <f t="shared" si="6"/>
        <v>#DIV/0!</v>
      </c>
      <c r="R93" t="str">
        <f t="shared" si="12"/>
        <v>Provision NYSE USD_</v>
      </c>
      <c r="S93">
        <f t="shared" si="8"/>
        <v>0</v>
      </c>
      <c r="T93" s="268">
        <f>IF(R93="","",IF(LEN(R93)&gt;9,SUMIFS(Options!$AZ$3:$AZ$26,Options!$B$3:$B$26,'Check result'!R93),SUMIFS('Master P&amp;L'!$AE$11:$AE$93,'Master P&amp;L'!$B$11:$B$93,'Check result'!R93)))</f>
        <v>0</v>
      </c>
      <c r="U93" s="268">
        <f t="shared" si="9"/>
        <v>0</v>
      </c>
      <c r="V93" s="267">
        <f t="shared" si="10"/>
        <v>0</v>
      </c>
      <c r="W93" t="e">
        <f t="shared" si="11"/>
        <v>#DIV/0!</v>
      </c>
    </row>
    <row r="94" spans="1:23">
      <c r="A94" s="329">
        <v>45840</v>
      </c>
      <c r="B94" s="330" t="s">
        <v>282</v>
      </c>
      <c r="C94" s="330" t="s">
        <v>324</v>
      </c>
      <c r="D94" s="330" t="s">
        <v>1801</v>
      </c>
      <c r="E94" s="330">
        <v>0</v>
      </c>
      <c r="F94" s="330">
        <v>0</v>
      </c>
      <c r="G94" s="267" t="e">
        <f t="shared" si="6"/>
        <v>#DIV/0!</v>
      </c>
      <c r="R94" t="str">
        <f t="shared" si="12"/>
        <v>XLF US 07/18/25 C53.5</v>
      </c>
      <c r="S94">
        <f t="shared" si="8"/>
        <v>0</v>
      </c>
      <c r="T94" s="268">
        <f>IF(R94="","",IF(LEN(R94)&gt;9,SUMIFS(Options!$AZ$3:$AZ$26,Options!$B$3:$B$26,'Check result'!R94),SUMIFS('Master P&amp;L'!$AE$11:$AE$93,'Master P&amp;L'!$B$11:$B$93,'Check result'!R94)))</f>
        <v>0</v>
      </c>
      <c r="U94" s="268">
        <f t="shared" si="9"/>
        <v>0</v>
      </c>
      <c r="V94" s="267">
        <f t="shared" si="10"/>
        <v>0</v>
      </c>
      <c r="W94" t="e">
        <f t="shared" si="11"/>
        <v>#DIV/0!</v>
      </c>
    </row>
    <row r="95" spans="1:23">
      <c r="A95" s="329">
        <v>45840</v>
      </c>
      <c r="B95" s="330" t="s">
        <v>282</v>
      </c>
      <c r="C95" s="330" t="s">
        <v>321</v>
      </c>
      <c r="D95" s="330" t="s">
        <v>300</v>
      </c>
      <c r="E95" s="330">
        <v>0</v>
      </c>
      <c r="F95" s="330">
        <v>0</v>
      </c>
      <c r="G95" s="267" t="e">
        <f t="shared" si="6"/>
        <v>#DIV/0!</v>
      </c>
      <c r="R95" t="str">
        <f t="shared" si="12"/>
        <v>Cash HKD</v>
      </c>
      <c r="S95">
        <f t="shared" si="8"/>
        <v>0</v>
      </c>
      <c r="T95" s="268">
        <f>IF(R95="","",IF(LEN(R95)&gt;9,SUMIFS(Options!$AZ$3:$AZ$26,Options!$B$3:$B$26,'Check result'!R95),SUMIFS('Master P&amp;L'!$AE$11:$AE$93,'Master P&amp;L'!$B$11:$B$93,'Check result'!R95)))</f>
        <v>0</v>
      </c>
      <c r="U95" s="268">
        <f t="shared" si="9"/>
        <v>0</v>
      </c>
      <c r="V95" s="267">
        <f t="shared" si="10"/>
        <v>0</v>
      </c>
      <c r="W95" t="e">
        <f t="shared" si="11"/>
        <v>#DIV/0!</v>
      </c>
    </row>
    <row r="96" spans="1:23">
      <c r="A96" s="329">
        <v>45840</v>
      </c>
      <c r="B96" s="330" t="s">
        <v>282</v>
      </c>
      <c r="C96" s="330" t="s">
        <v>321</v>
      </c>
      <c r="D96" s="330" t="s">
        <v>302</v>
      </c>
      <c r="E96" s="330">
        <v>0</v>
      </c>
      <c r="F96" s="330">
        <v>0</v>
      </c>
      <c r="G96" s="267" t="e">
        <f t="shared" si="6"/>
        <v>#DIV/0!</v>
      </c>
      <c r="R96" t="str">
        <f t="shared" si="12"/>
        <v>Cash USD</v>
      </c>
      <c r="S96">
        <f t="shared" si="8"/>
        <v>0</v>
      </c>
      <c r="T96" s="268">
        <f>IF(R96="","",IF(LEN(R96)&gt;9,SUMIFS(Options!$AZ$3:$AZ$26,Options!$B$3:$B$26,'Check result'!R96),SUMIFS('Master P&amp;L'!$AE$11:$AE$93,'Master P&amp;L'!$B$11:$B$93,'Check result'!R96)))</f>
        <v>0</v>
      </c>
      <c r="U96" s="268">
        <f t="shared" si="9"/>
        <v>0</v>
      </c>
      <c r="V96" s="267">
        <f t="shared" si="10"/>
        <v>0</v>
      </c>
      <c r="W96" t="e">
        <f t="shared" si="11"/>
        <v>#DIV/0!</v>
      </c>
    </row>
    <row r="97" spans="1:23">
      <c r="A97" s="329">
        <v>45840</v>
      </c>
      <c r="B97" s="330" t="s">
        <v>1667</v>
      </c>
      <c r="C97" s="330" t="s">
        <v>1668</v>
      </c>
      <c r="D97" s="330" t="s">
        <v>1669</v>
      </c>
      <c r="E97" s="330">
        <v>0</v>
      </c>
      <c r="F97" s="330">
        <v>0</v>
      </c>
      <c r="G97" s="267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8">
        <f>IF(R97="","",IF(LEN(R97)&gt;9,SUMIFS(Options!$AZ$3:$AZ$26,Options!$B$3:$B$26,'Check result'!R97),SUMIFS('Master P&amp;L'!$AE$11:$AE$93,'Master P&amp;L'!$B$11:$B$93,'Check result'!R97)))</f>
        <v>0</v>
      </c>
      <c r="U97" s="268">
        <f t="shared" si="9"/>
        <v>0</v>
      </c>
      <c r="V97" s="267">
        <f t="shared" si="10"/>
        <v>0</v>
      </c>
      <c r="W97" t="e">
        <f t="shared" si="11"/>
        <v>#DIV/0!</v>
      </c>
    </row>
    <row r="98" spans="1:23">
      <c r="A98" s="329">
        <v>45840</v>
      </c>
      <c r="B98" s="330" t="s">
        <v>282</v>
      </c>
      <c r="C98" s="330" t="s">
        <v>321</v>
      </c>
      <c r="D98" s="330" t="s">
        <v>301</v>
      </c>
      <c r="E98" s="330">
        <v>0</v>
      </c>
      <c r="F98" s="330">
        <v>0</v>
      </c>
      <c r="G98" s="267" t="e">
        <f t="shared" si="6"/>
        <v>#DIV/0!</v>
      </c>
      <c r="R98" t="str">
        <f t="shared" si="12"/>
        <v>Cash KRW</v>
      </c>
      <c r="S98">
        <f t="shared" si="8"/>
        <v>0</v>
      </c>
      <c r="T98" s="268">
        <f>IF(R98="","",IF(LEN(R98)&gt;9,SUMIFS(Options!$AZ$3:$AZ$26,Options!$B$3:$B$26,'Check result'!R98),SUMIFS('Master P&amp;L'!$AE$11:$AE$93,'Master P&amp;L'!$B$11:$B$93,'Check result'!R98)))</f>
        <v>0</v>
      </c>
      <c r="U98" s="268">
        <f t="shared" si="9"/>
        <v>0</v>
      </c>
      <c r="V98" s="267">
        <f t="shared" si="10"/>
        <v>0</v>
      </c>
      <c r="W98" t="e">
        <f t="shared" si="11"/>
        <v>#DIV/0!</v>
      </c>
    </row>
    <row r="99" spans="1:23">
      <c r="A99" s="329">
        <v>45840</v>
      </c>
      <c r="B99" s="330" t="s">
        <v>282</v>
      </c>
      <c r="C99" s="330" t="s">
        <v>321</v>
      </c>
      <c r="D99" s="330" t="s">
        <v>297</v>
      </c>
      <c r="E99" s="330">
        <v>0</v>
      </c>
      <c r="F99" s="330">
        <v>0</v>
      </c>
      <c r="G99" s="267" t="e">
        <f t="shared" si="6"/>
        <v>#DIV/0!</v>
      </c>
      <c r="R99" t="str">
        <f t="shared" si="12"/>
        <v>Cash CNH</v>
      </c>
      <c r="S99">
        <f t="shared" si="8"/>
        <v>0</v>
      </c>
      <c r="T99" s="268">
        <f>IF(R99="","",IF(LEN(R99)&gt;9,SUMIFS(Options!$AZ$3:$AZ$26,Options!$B$3:$B$26,'Check result'!R99),SUMIFS('Master P&amp;L'!$AE$11:$AE$93,'Master P&amp;L'!$B$11:$B$93,'Check result'!R99)))</f>
        <v>0</v>
      </c>
      <c r="U99" s="268">
        <f t="shared" si="9"/>
        <v>0</v>
      </c>
      <c r="V99" s="267">
        <f t="shared" si="10"/>
        <v>0</v>
      </c>
      <c r="W99" t="e">
        <f t="shared" si="11"/>
        <v>#DIV/0!</v>
      </c>
    </row>
    <row r="100" spans="1:23">
      <c r="A100" s="329">
        <v>45840</v>
      </c>
      <c r="B100" s="330" t="s">
        <v>282</v>
      </c>
      <c r="C100" s="330" t="s">
        <v>321</v>
      </c>
      <c r="D100" s="330" t="s">
        <v>299</v>
      </c>
      <c r="E100" s="330">
        <v>0</v>
      </c>
      <c r="F100" s="330">
        <v>0</v>
      </c>
      <c r="G100" s="267" t="e">
        <f t="shared" si="6"/>
        <v>#DIV/0!</v>
      </c>
      <c r="R100" t="str">
        <f t="shared" si="12"/>
        <v>Cash GBP</v>
      </c>
      <c r="S100">
        <f t="shared" si="8"/>
        <v>0</v>
      </c>
      <c r="T100" s="268">
        <f>IF(R100="","",IF(LEN(R100)&gt;9,SUMIFS(Options!$AZ$3:$AZ$26,Options!$B$3:$B$26,'Check result'!R100),SUMIFS('Master P&amp;L'!$AE$11:$AE$93,'Master P&amp;L'!$B$11:$B$93,'Check result'!R100)))</f>
        <v>0</v>
      </c>
      <c r="U100" s="268">
        <f t="shared" si="9"/>
        <v>0</v>
      </c>
      <c r="V100" s="267">
        <f t="shared" si="10"/>
        <v>0</v>
      </c>
      <c r="W100" t="e">
        <f t="shared" si="11"/>
        <v>#DIV/0!</v>
      </c>
    </row>
    <row r="101" spans="1:23">
      <c r="A101" s="329">
        <v>45840</v>
      </c>
      <c r="B101" s="330" t="s">
        <v>282</v>
      </c>
      <c r="C101" s="330" t="s">
        <v>319</v>
      </c>
      <c r="D101" s="330" t="s">
        <v>1823</v>
      </c>
      <c r="E101" s="330">
        <v>11</v>
      </c>
      <c r="F101" s="330">
        <v>0</v>
      </c>
      <c r="G101" s="26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8">
        <f>IF(R101="","",IF(LEN(R101)&gt;9,SUMIFS(Options!$AZ$3:$AZ$26,Options!$B$3:$B$26,'Check result'!R101),SUMIFS('Master P&amp;L'!$AE$11:$AE$93,'Master P&amp;L'!$B$11:$B$93,'Check result'!R101)))</f>
        <v>0</v>
      </c>
      <c r="U101" s="268">
        <f t="shared" si="9"/>
        <v>0</v>
      </c>
      <c r="V101" s="267">
        <f t="shared" si="10"/>
        <v>11</v>
      </c>
      <c r="W101" t="e">
        <f t="shared" si="11"/>
        <v>#DIV/0!</v>
      </c>
    </row>
    <row r="102" spans="1:23">
      <c r="A102" s="329">
        <v>45840</v>
      </c>
      <c r="B102" s="330" t="s">
        <v>282</v>
      </c>
      <c r="C102" s="330" t="s">
        <v>319</v>
      </c>
      <c r="D102" s="330" t="s">
        <v>1784</v>
      </c>
      <c r="E102" s="330">
        <v>160</v>
      </c>
      <c r="F102" s="330">
        <v>0</v>
      </c>
      <c r="G102" s="26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8">
        <f>IF(R102="","",IF(LEN(R102)&gt;9,SUMIFS(Options!$AZ$3:$AZ$26,Options!$B$3:$B$26,'Check result'!R102),SUMIFS('Master P&amp;L'!$AE$11:$AE$93,'Master P&amp;L'!$B$11:$B$93,'Check result'!R102)))</f>
        <v>0</v>
      </c>
      <c r="U102" s="268">
        <f t="shared" si="9"/>
        <v>0</v>
      </c>
      <c r="V102" s="267">
        <f t="shared" si="10"/>
        <v>160</v>
      </c>
      <c r="W102" t="e">
        <f t="shared" si="11"/>
        <v>#DIV/0!</v>
      </c>
    </row>
    <row r="103" spans="1:23">
      <c r="A103" s="329">
        <v>45840</v>
      </c>
      <c r="B103" s="330" t="s">
        <v>282</v>
      </c>
      <c r="C103" s="330" t="s">
        <v>321</v>
      </c>
      <c r="D103" s="330" t="s">
        <v>298</v>
      </c>
      <c r="E103" s="330">
        <v>462</v>
      </c>
      <c r="F103" s="330">
        <v>0</v>
      </c>
      <c r="G103" s="267" t="e">
        <f t="shared" si="6"/>
        <v>#DIV/0!</v>
      </c>
      <c r="R103" t="str">
        <f t="shared" si="12"/>
        <v>Cash EUR</v>
      </c>
      <c r="S103">
        <f t="shared" si="8"/>
        <v>462</v>
      </c>
      <c r="T103" s="268">
        <f>IF(R103="","",IF(LEN(R103)&gt;9,SUMIFS(Options!$AZ$3:$AZ$26,Options!$B$3:$B$26,'Check result'!R103),SUMIFS('Master P&amp;L'!$AE$11:$AE$93,'Master P&amp;L'!$B$11:$B$93,'Check result'!R103)))</f>
        <v>0</v>
      </c>
      <c r="U103" s="268">
        <f t="shared" si="9"/>
        <v>0</v>
      </c>
      <c r="V103" s="267">
        <f t="shared" si="10"/>
        <v>462</v>
      </c>
      <c r="W103" t="e">
        <f t="shared" si="11"/>
        <v>#DIV/0!</v>
      </c>
    </row>
    <row r="104" spans="1:23">
      <c r="A104" s="329">
        <v>45840</v>
      </c>
      <c r="B104" s="330" t="s">
        <v>282</v>
      </c>
      <c r="C104" s="330" t="s">
        <v>324</v>
      </c>
      <c r="D104" s="330" t="s">
        <v>1790</v>
      </c>
      <c r="E104" s="330">
        <v>759</v>
      </c>
      <c r="F104" s="330">
        <v>0</v>
      </c>
      <c r="G104" s="26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8">
        <f>IF(R104="","",IF(LEN(R104)&gt;9,SUMIFS(Options!$AZ$3:$AZ$26,Options!$B$3:$B$26,'Check result'!R104),SUMIFS('Master P&amp;L'!$AE$11:$AE$93,'Master P&amp;L'!$B$11:$B$93,'Check result'!R104)))</f>
        <v>0</v>
      </c>
      <c r="U104" s="268">
        <f t="shared" si="9"/>
        <v>0</v>
      </c>
      <c r="V104" s="267">
        <f t="shared" si="10"/>
        <v>759</v>
      </c>
      <c r="W104" t="e">
        <f t="shared" si="11"/>
        <v>#DIV/0!</v>
      </c>
    </row>
    <row r="105" spans="1:23">
      <c r="A105" s="329">
        <v>45840</v>
      </c>
      <c r="B105" s="330" t="s">
        <v>282</v>
      </c>
      <c r="C105" s="330" t="s">
        <v>317</v>
      </c>
      <c r="D105" s="330" t="s">
        <v>129</v>
      </c>
      <c r="E105" s="330">
        <v>787</v>
      </c>
      <c r="F105" s="330">
        <v>0</v>
      </c>
      <c r="G105" s="267" t="e">
        <f t="shared" si="6"/>
        <v>#DIV/0!</v>
      </c>
      <c r="R105" t="str">
        <f t="shared" si="12"/>
        <v>ABNB</v>
      </c>
      <c r="S105">
        <f t="shared" si="8"/>
        <v>787</v>
      </c>
      <c r="T105" s="268">
        <f>IF(R105="","",IF(LEN(R105)&gt;9,SUMIFS(Options!$AZ$3:$AZ$26,Options!$B$3:$B$26,'Check result'!R105),SUMIFS('Master P&amp;L'!$AE$11:$AE$93,'Master P&amp;L'!$B$11:$B$93,'Check result'!R105)))</f>
        <v>0</v>
      </c>
      <c r="U105" s="268">
        <f t="shared" si="9"/>
        <v>0</v>
      </c>
      <c r="V105" s="267">
        <f t="shared" si="10"/>
        <v>787</v>
      </c>
      <c r="W105" t="e">
        <f t="shared" si="11"/>
        <v>#DIV/0!</v>
      </c>
    </row>
    <row r="106" spans="1:23">
      <c r="A106" s="329">
        <v>45840</v>
      </c>
      <c r="B106" s="330" t="s">
        <v>282</v>
      </c>
      <c r="C106" s="330" t="s">
        <v>319</v>
      </c>
      <c r="D106" s="330" t="s">
        <v>1811</v>
      </c>
      <c r="E106" s="331">
        <v>1513</v>
      </c>
      <c r="F106" s="330">
        <v>0</v>
      </c>
      <c r="G106" s="26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8">
        <f>IF(R106="","",IF(LEN(R106)&gt;9,SUMIFS(Options!$AZ$3:$AZ$26,Options!$B$3:$B$26,'Check result'!R106),SUMIFS('Master P&amp;L'!$AE$11:$AE$93,'Master P&amp;L'!$B$11:$B$93,'Check result'!R106)))</f>
        <v>0</v>
      </c>
      <c r="U106" s="268">
        <f t="shared" si="9"/>
        <v>0</v>
      </c>
      <c r="V106" s="267">
        <f t="shared" si="10"/>
        <v>1513</v>
      </c>
      <c r="W106" t="e">
        <f t="shared" si="11"/>
        <v>#DIV/0!</v>
      </c>
    </row>
    <row r="107" spans="1:23">
      <c r="A107" s="329">
        <v>45840</v>
      </c>
      <c r="B107" s="330" t="s">
        <v>282</v>
      </c>
      <c r="C107" s="330" t="s">
        <v>317</v>
      </c>
      <c r="D107" s="330" t="s">
        <v>83</v>
      </c>
      <c r="E107" s="331">
        <v>1726</v>
      </c>
      <c r="F107" s="330">
        <v>0</v>
      </c>
      <c r="G107" s="267" t="e">
        <f t="shared" si="6"/>
        <v>#DIV/0!</v>
      </c>
      <c r="R107" t="str">
        <f t="shared" si="12"/>
        <v>UBER</v>
      </c>
      <c r="S107">
        <f t="shared" si="8"/>
        <v>1726</v>
      </c>
      <c r="T107" s="268">
        <f>IF(R107="","",IF(LEN(R107)&gt;9,SUMIFS(Options!$AZ$3:$AZ$26,Options!$B$3:$B$26,'Check result'!R107),SUMIFS('Master P&amp;L'!$AE$11:$AE$93,'Master P&amp;L'!$B$11:$B$93,'Check result'!R107)))</f>
        <v>0</v>
      </c>
      <c r="U107" s="268">
        <f t="shared" si="9"/>
        <v>0</v>
      </c>
      <c r="V107" s="267">
        <f t="shared" si="10"/>
        <v>1726</v>
      </c>
      <c r="W107" t="e">
        <f t="shared" si="11"/>
        <v>#DIV/0!</v>
      </c>
    </row>
    <row r="108" spans="1:23">
      <c r="A108" s="329">
        <v>45840</v>
      </c>
      <c r="B108" s="330" t="s">
        <v>282</v>
      </c>
      <c r="C108" s="330" t="s">
        <v>324</v>
      </c>
      <c r="D108" s="330" t="s">
        <v>1729</v>
      </c>
      <c r="E108" s="331">
        <v>2508</v>
      </c>
      <c r="F108" s="330">
        <v>0</v>
      </c>
      <c r="G108" s="26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8">
        <f>IF(R108="","",IF(LEN(R108)&gt;9,SUMIFS(Options!$AZ$3:$AZ$26,Options!$B$3:$B$26,'Check result'!R108),SUMIFS('Master P&amp;L'!$AE$11:$AE$93,'Master P&amp;L'!$B$11:$B$93,'Check result'!R108)))</f>
        <v>0</v>
      </c>
      <c r="U108" s="268">
        <f t="shared" si="9"/>
        <v>0</v>
      </c>
      <c r="V108" s="267">
        <f t="shared" si="10"/>
        <v>2508</v>
      </c>
      <c r="W108" t="e">
        <f t="shared" si="11"/>
        <v>#DIV/0!</v>
      </c>
    </row>
    <row r="109" spans="1:23">
      <c r="A109" s="329">
        <v>45840</v>
      </c>
      <c r="B109" s="330" t="s">
        <v>282</v>
      </c>
      <c r="C109" s="330" t="s">
        <v>319</v>
      </c>
      <c r="D109" s="330" t="s">
        <v>1691</v>
      </c>
      <c r="E109" s="331">
        <v>2521</v>
      </c>
      <c r="F109" s="330">
        <v>0</v>
      </c>
      <c r="G109" s="26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8">
        <f>IF(R109="","",IF(LEN(R109)&gt;9,SUMIFS(Options!$AZ$3:$AZ$26,Options!$B$3:$B$26,'Check result'!R109),SUMIFS('Master P&amp;L'!$AE$11:$AE$93,'Master P&amp;L'!$B$11:$B$93,'Check result'!R109)))</f>
        <v>0</v>
      </c>
      <c r="U109" s="268">
        <f t="shared" si="9"/>
        <v>0</v>
      </c>
      <c r="V109" s="267">
        <f t="shared" si="10"/>
        <v>2521</v>
      </c>
      <c r="W109" t="e">
        <f t="shared" si="11"/>
        <v>#DIV/0!</v>
      </c>
    </row>
    <row r="110" spans="1:23">
      <c r="A110" s="329">
        <v>45840</v>
      </c>
      <c r="B110" s="330" t="s">
        <v>282</v>
      </c>
      <c r="C110" s="330" t="s">
        <v>324</v>
      </c>
      <c r="D110" s="330" t="s">
        <v>1726</v>
      </c>
      <c r="E110" s="331">
        <v>2806</v>
      </c>
      <c r="F110" s="330">
        <v>0</v>
      </c>
      <c r="G110" s="26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8">
        <f>IF(R110="","",IF(LEN(R110)&gt;9,SUMIFS(Options!$AZ$3:$AZ$26,Options!$B$3:$B$26,'Check result'!R110),SUMIFS('Master P&amp;L'!$AE$11:$AE$93,'Master P&amp;L'!$B$11:$B$93,'Check result'!R110)))</f>
        <v>0</v>
      </c>
      <c r="U110" s="268">
        <f t="shared" si="9"/>
        <v>0</v>
      </c>
      <c r="V110" s="267">
        <f t="shared" si="10"/>
        <v>2806</v>
      </c>
      <c r="W110" t="e">
        <f t="shared" si="11"/>
        <v>#DIV/0!</v>
      </c>
    </row>
    <row r="111" spans="1:23">
      <c r="A111" s="329">
        <v>45840</v>
      </c>
      <c r="B111" s="330" t="s">
        <v>282</v>
      </c>
      <c r="C111" s="330" t="s">
        <v>319</v>
      </c>
      <c r="D111" s="330" t="s">
        <v>1713</v>
      </c>
      <c r="E111" s="331">
        <v>4403</v>
      </c>
      <c r="F111" s="330">
        <v>0</v>
      </c>
      <c r="G111" s="26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8">
        <f>IF(R111="","",IF(LEN(R111)&gt;9,SUMIFS(Options!$AZ$3:$AZ$26,Options!$B$3:$B$26,'Check result'!R111),SUMIFS('Master P&amp;L'!$AE$11:$AE$93,'Master P&amp;L'!$B$11:$B$93,'Check result'!R111)))</f>
        <v>0</v>
      </c>
      <c r="U111" s="268">
        <f t="shared" si="9"/>
        <v>0</v>
      </c>
      <c r="V111" s="267">
        <f t="shared" si="10"/>
        <v>4403</v>
      </c>
      <c r="W111" t="e">
        <f t="shared" si="11"/>
        <v>#DIV/0!</v>
      </c>
    </row>
    <row r="112" spans="1:23">
      <c r="A112" s="329">
        <v>45840</v>
      </c>
      <c r="B112" s="330" t="s">
        <v>282</v>
      </c>
      <c r="C112" s="330" t="s">
        <v>319</v>
      </c>
      <c r="D112" s="330" t="s">
        <v>1746</v>
      </c>
      <c r="E112" s="331">
        <v>7108</v>
      </c>
      <c r="F112" s="330">
        <v>0.01</v>
      </c>
      <c r="G112" s="26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8">
        <f>IF(R112="","",IF(LEN(R112)&gt;9,SUMIFS(Options!$AZ$3:$AZ$26,Options!$B$3:$B$26,'Check result'!R112),SUMIFS('Master P&amp;L'!$AE$11:$AE$93,'Master P&amp;L'!$B$11:$B$93,'Check result'!R112)))</f>
        <v>0</v>
      </c>
      <c r="U112" s="268">
        <f t="shared" si="9"/>
        <v>0</v>
      </c>
      <c r="V112" s="267">
        <f t="shared" si="10"/>
        <v>7108</v>
      </c>
      <c r="W112">
        <f t="shared" si="11"/>
        <v>0.01</v>
      </c>
    </row>
    <row r="113" spans="1:23">
      <c r="A113" s="329">
        <v>45840</v>
      </c>
      <c r="B113" s="330" t="s">
        <v>282</v>
      </c>
      <c r="C113" s="330" t="s">
        <v>319</v>
      </c>
      <c r="D113" s="330" t="s">
        <v>1794</v>
      </c>
      <c r="E113" s="331">
        <v>10288</v>
      </c>
      <c r="F113" s="330">
        <v>0.01</v>
      </c>
      <c r="G113" s="26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8">
        <f>IF(R113="","",IF(LEN(R113)&gt;9,SUMIFS(Options!$AZ$3:$AZ$26,Options!$B$3:$B$26,'Check result'!R113),SUMIFS('Master P&amp;L'!$AE$11:$AE$93,'Master P&amp;L'!$B$11:$B$93,'Check result'!R113)))</f>
        <v>0</v>
      </c>
      <c r="U113" s="268">
        <f t="shared" ref="U113:U165" si="15">T113/2</f>
        <v>0</v>
      </c>
      <c r="V113" s="267">
        <f t="shared" ref="V113:V165" si="16">+S113-U113</f>
        <v>10288</v>
      </c>
      <c r="W113">
        <f t="shared" ref="W113:W165" si="17">+V113/G113*10000</f>
        <v>0.01</v>
      </c>
    </row>
    <row r="114" spans="1:23">
      <c r="A114" s="329">
        <v>45840</v>
      </c>
      <c r="B114" s="330" t="s">
        <v>282</v>
      </c>
      <c r="C114" s="330" t="s">
        <v>319</v>
      </c>
      <c r="D114" s="330" t="s">
        <v>1716</v>
      </c>
      <c r="E114" s="331">
        <v>10410</v>
      </c>
      <c r="F114" s="330">
        <v>0.01</v>
      </c>
      <c r="G114" s="26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8">
        <f>IF(R114="","",IF(LEN(R114)&gt;9,SUMIFS(Options!$AZ$3:$AZ$26,Options!$B$3:$B$26,'Check result'!R114),SUMIFS('Master P&amp;L'!$AE$11:$AE$93,'Master P&amp;L'!$B$11:$B$93,'Check result'!R114)))</f>
        <v>0</v>
      </c>
      <c r="U114" s="268">
        <f t="shared" si="15"/>
        <v>0</v>
      </c>
      <c r="V114" s="267">
        <f t="shared" si="16"/>
        <v>10410</v>
      </c>
      <c r="W114">
        <f t="shared" si="17"/>
        <v>0.01</v>
      </c>
    </row>
    <row r="115" spans="1:23">
      <c r="A115" s="329">
        <v>45840</v>
      </c>
      <c r="B115" s="330" t="s">
        <v>282</v>
      </c>
      <c r="C115" s="330" t="s">
        <v>324</v>
      </c>
      <c r="D115" s="330" t="s">
        <v>1711</v>
      </c>
      <c r="E115" s="331">
        <v>11950</v>
      </c>
      <c r="F115" s="330">
        <v>0.01</v>
      </c>
      <c r="G115" s="26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8">
        <f>IF(R115="","",IF(LEN(R115)&gt;9,SUMIFS(Options!$AZ$3:$AZ$26,Options!$B$3:$B$26,'Check result'!R115),SUMIFS('Master P&amp;L'!$AE$11:$AE$93,'Master P&amp;L'!$B$11:$B$93,'Check result'!R115)))</f>
        <v>0</v>
      </c>
      <c r="U115" s="268">
        <f t="shared" si="15"/>
        <v>0</v>
      </c>
      <c r="V115" s="267">
        <f t="shared" si="16"/>
        <v>11950</v>
      </c>
      <c r="W115">
        <f t="shared" si="17"/>
        <v>0.01</v>
      </c>
    </row>
    <row r="116" spans="1:23">
      <c r="A116" s="329">
        <v>45840</v>
      </c>
      <c r="B116" s="330" t="s">
        <v>282</v>
      </c>
      <c r="C116" s="330" t="s">
        <v>319</v>
      </c>
      <c r="D116" s="330" t="s">
        <v>1796</v>
      </c>
      <c r="E116" s="331">
        <v>13284</v>
      </c>
      <c r="F116" s="330">
        <v>0.01</v>
      </c>
      <c r="G116" s="26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8">
        <f>IF(R116="","",IF(LEN(R116)&gt;9,SUMIFS(Options!$AZ$3:$AZ$26,Options!$B$3:$B$26,'Check result'!R116),SUMIFS('Master P&amp;L'!$AE$11:$AE$93,'Master P&amp;L'!$B$11:$B$93,'Check result'!R116)))</f>
        <v>0</v>
      </c>
      <c r="U116" s="268">
        <f t="shared" si="15"/>
        <v>0</v>
      </c>
      <c r="V116" s="267">
        <f t="shared" si="16"/>
        <v>13284</v>
      </c>
      <c r="W116">
        <f t="shared" si="17"/>
        <v>0.01</v>
      </c>
    </row>
    <row r="117" spans="1:23">
      <c r="A117" s="329">
        <v>45840</v>
      </c>
      <c r="B117" s="330" t="s">
        <v>282</v>
      </c>
      <c r="C117" s="330" t="s">
        <v>320</v>
      </c>
      <c r="D117" s="330" t="s">
        <v>95</v>
      </c>
      <c r="E117" s="331">
        <v>15275</v>
      </c>
      <c r="F117" s="330">
        <v>0.01</v>
      </c>
      <c r="G117" s="267">
        <f t="shared" si="6"/>
        <v>15275000000</v>
      </c>
      <c r="R117" t="str">
        <f t="shared" si="13"/>
        <v>SOXX</v>
      </c>
      <c r="S117">
        <f t="shared" si="14"/>
        <v>15275</v>
      </c>
      <c r="T117" s="268">
        <f>IF(R117="","",IF(LEN(R117)&gt;9,SUMIFS(Options!$AZ$3:$AZ$26,Options!$B$3:$B$26,'Check result'!R117),SUMIFS('Master P&amp;L'!$AE$11:$AE$93,'Master P&amp;L'!$B$11:$B$93,'Check result'!R117)))</f>
        <v>0</v>
      </c>
      <c r="U117" s="268">
        <f t="shared" si="15"/>
        <v>0</v>
      </c>
      <c r="V117" s="267">
        <f t="shared" si="16"/>
        <v>15275</v>
      </c>
      <c r="W117">
        <f t="shared" si="17"/>
        <v>0.01</v>
      </c>
    </row>
    <row r="118" spans="1:23">
      <c r="A118" s="329">
        <v>45840</v>
      </c>
      <c r="B118" s="330" t="s">
        <v>282</v>
      </c>
      <c r="C118" s="330" t="s">
        <v>319</v>
      </c>
      <c r="D118" s="330" t="s">
        <v>1808</v>
      </c>
      <c r="E118" s="331">
        <v>15290</v>
      </c>
      <c r="F118" s="330">
        <v>0.01</v>
      </c>
      <c r="G118" s="26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8">
        <f>IF(R118="","",IF(LEN(R118)&gt;9,SUMIFS(Options!$AZ$3:$AZ$26,Options!$B$3:$B$26,'Check result'!R118),SUMIFS('Master P&amp;L'!$AE$11:$AE$93,'Master P&amp;L'!$B$11:$B$93,'Check result'!R118)))</f>
        <v>0</v>
      </c>
      <c r="U118" s="268">
        <f t="shared" si="15"/>
        <v>0</v>
      </c>
      <c r="V118" s="267">
        <f t="shared" si="16"/>
        <v>15290</v>
      </c>
      <c r="W118">
        <f t="shared" si="17"/>
        <v>0.01</v>
      </c>
    </row>
    <row r="119" spans="1:23">
      <c r="A119" s="329">
        <v>45840</v>
      </c>
      <c r="B119" s="330" t="s">
        <v>282</v>
      </c>
      <c r="C119" s="330" t="s">
        <v>319</v>
      </c>
      <c r="D119" s="330" t="s">
        <v>1747</v>
      </c>
      <c r="E119" s="331">
        <v>16211</v>
      </c>
      <c r="F119" s="330">
        <v>0.01</v>
      </c>
      <c r="G119" s="26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8">
        <f>IF(R119="","",IF(LEN(R119)&gt;9,SUMIFS(Options!$AZ$3:$AZ$26,Options!$B$3:$B$26,'Check result'!R119),SUMIFS('Master P&amp;L'!$AE$11:$AE$93,'Master P&amp;L'!$B$11:$B$93,'Check result'!R119)))</f>
        <v>0</v>
      </c>
      <c r="U119" s="268">
        <f t="shared" si="15"/>
        <v>0</v>
      </c>
      <c r="V119" s="267">
        <f t="shared" si="16"/>
        <v>16211</v>
      </c>
      <c r="W119">
        <f t="shared" si="17"/>
        <v>0.01</v>
      </c>
    </row>
    <row r="120" spans="1:23">
      <c r="A120" s="329">
        <v>45840</v>
      </c>
      <c r="B120" s="330" t="s">
        <v>282</v>
      </c>
      <c r="C120" s="330" t="s">
        <v>320</v>
      </c>
      <c r="D120" s="330" t="s">
        <v>1754</v>
      </c>
      <c r="E120" s="331">
        <v>16359</v>
      </c>
      <c r="F120" s="330">
        <v>0.01</v>
      </c>
      <c r="G120" s="267">
        <f t="shared" si="6"/>
        <v>16359000000</v>
      </c>
      <c r="R120" t="str">
        <f t="shared" si="13"/>
        <v>EWY</v>
      </c>
      <c r="S120">
        <f t="shared" si="14"/>
        <v>16359</v>
      </c>
      <c r="T120" s="268">
        <f>IF(R120="","",IF(LEN(R120)&gt;9,SUMIFS(Options!$AZ$3:$AZ$26,Options!$B$3:$B$26,'Check result'!R120),SUMIFS('Master P&amp;L'!$AE$11:$AE$93,'Master P&amp;L'!$B$11:$B$93,'Check result'!R120)))</f>
        <v>0</v>
      </c>
      <c r="U120" s="268">
        <f t="shared" si="15"/>
        <v>0</v>
      </c>
      <c r="V120" s="267">
        <f t="shared" si="16"/>
        <v>16359</v>
      </c>
      <c r="W120">
        <f t="shared" si="17"/>
        <v>0.01</v>
      </c>
    </row>
    <row r="121" spans="1:23">
      <c r="A121" s="329">
        <v>45840</v>
      </c>
      <c r="B121" s="330" t="s">
        <v>282</v>
      </c>
      <c r="C121" s="330" t="s">
        <v>324</v>
      </c>
      <c r="D121" s="330" t="s">
        <v>1825</v>
      </c>
      <c r="E121" s="331">
        <v>19031</v>
      </c>
      <c r="F121" s="330">
        <v>0.02</v>
      </c>
      <c r="G121" s="26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8">
        <f>IF(R121="","",IF(LEN(R121)&gt;9,SUMIFS(Options!$AZ$3:$AZ$26,Options!$B$3:$B$26,'Check result'!R121),SUMIFS('Master P&amp;L'!$AE$11:$AE$93,'Master P&amp;L'!$B$11:$B$93,'Check result'!R121)))</f>
        <v>0</v>
      </c>
      <c r="U121" s="268">
        <f t="shared" si="15"/>
        <v>0</v>
      </c>
      <c r="V121" s="267">
        <f t="shared" si="16"/>
        <v>19031</v>
      </c>
      <c r="W121">
        <f t="shared" si="17"/>
        <v>0.02</v>
      </c>
    </row>
    <row r="122" spans="1:23">
      <c r="A122" s="329">
        <v>45840</v>
      </c>
      <c r="B122" s="330" t="s">
        <v>282</v>
      </c>
      <c r="C122" s="330" t="s">
        <v>324</v>
      </c>
      <c r="D122" s="330" t="s">
        <v>1786</v>
      </c>
      <c r="E122" s="331">
        <v>21895</v>
      </c>
      <c r="F122" s="330">
        <v>0.02</v>
      </c>
      <c r="G122" s="26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8">
        <f>IF(R122="","",IF(LEN(R122)&gt;9,SUMIFS(Options!$AZ$3:$AZ$26,Options!$B$3:$B$26,'Check result'!R122),SUMIFS('Master P&amp;L'!$AE$11:$AE$93,'Master P&amp;L'!$B$11:$B$93,'Check result'!R122)))</f>
        <v>0</v>
      </c>
      <c r="U122" s="268">
        <f t="shared" si="15"/>
        <v>0</v>
      </c>
      <c r="V122" s="267">
        <f t="shared" si="16"/>
        <v>21895</v>
      </c>
      <c r="W122">
        <f t="shared" si="17"/>
        <v>0.02</v>
      </c>
    </row>
    <row r="123" spans="1:23">
      <c r="A123" s="329">
        <v>45840</v>
      </c>
      <c r="B123" s="330" t="s">
        <v>282</v>
      </c>
      <c r="C123" s="330" t="s">
        <v>317</v>
      </c>
      <c r="D123" s="330" t="s">
        <v>400</v>
      </c>
      <c r="E123" s="331">
        <v>22327</v>
      </c>
      <c r="F123" s="330">
        <v>0.02</v>
      </c>
      <c r="G123" s="267">
        <f t="shared" si="6"/>
        <v>11163500000</v>
      </c>
      <c r="R123" t="str">
        <f t="shared" si="13"/>
        <v>ACN</v>
      </c>
      <c r="S123">
        <f t="shared" si="14"/>
        <v>22327</v>
      </c>
      <c r="T123" s="268">
        <f>IF(R123="","",IF(LEN(R123)&gt;9,SUMIFS(Options!$AZ$3:$AZ$26,Options!$B$3:$B$26,'Check result'!R123),SUMIFS('Master P&amp;L'!$AE$11:$AE$93,'Master P&amp;L'!$B$11:$B$93,'Check result'!R123)))</f>
        <v>0</v>
      </c>
      <c r="U123" s="268">
        <f t="shared" si="15"/>
        <v>0</v>
      </c>
      <c r="V123" s="267">
        <f t="shared" si="16"/>
        <v>22327</v>
      </c>
      <c r="W123">
        <f t="shared" si="17"/>
        <v>0.02</v>
      </c>
    </row>
    <row r="124" spans="1:23">
      <c r="A124" s="329">
        <v>45840</v>
      </c>
      <c r="B124" s="330" t="s">
        <v>282</v>
      </c>
      <c r="C124" s="330" t="s">
        <v>319</v>
      </c>
      <c r="D124" s="330" t="s">
        <v>1809</v>
      </c>
      <c r="E124" s="331">
        <v>24209</v>
      </c>
      <c r="F124" s="330">
        <v>0.02</v>
      </c>
      <c r="G124" s="26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8">
        <f>IF(R124="","",IF(LEN(R124)&gt;9,SUMIFS(Options!$AZ$3:$AZ$26,Options!$B$3:$B$26,'Check result'!R124),SUMIFS('Master P&amp;L'!$AE$11:$AE$93,'Master P&amp;L'!$B$11:$B$93,'Check result'!R124)))</f>
        <v>0</v>
      </c>
      <c r="U124" s="268">
        <f t="shared" si="15"/>
        <v>0</v>
      </c>
      <c r="V124" s="267">
        <f t="shared" si="16"/>
        <v>24209</v>
      </c>
      <c r="W124">
        <f t="shared" si="17"/>
        <v>0.02</v>
      </c>
    </row>
    <row r="125" spans="1:23">
      <c r="A125" s="329">
        <v>45840</v>
      </c>
      <c r="B125" s="330" t="s">
        <v>282</v>
      </c>
      <c r="C125" s="330" t="s">
        <v>317</v>
      </c>
      <c r="D125" s="330" t="s">
        <v>87</v>
      </c>
      <c r="E125" s="331">
        <v>25173</v>
      </c>
      <c r="F125" s="330">
        <v>0.02</v>
      </c>
      <c r="G125" s="267">
        <f t="shared" si="6"/>
        <v>12586500000</v>
      </c>
      <c r="R125" t="str">
        <f t="shared" si="13"/>
        <v>V</v>
      </c>
      <c r="S125">
        <f t="shared" si="14"/>
        <v>25173</v>
      </c>
      <c r="T125" s="268">
        <f>IF(R125="","",IF(LEN(R125)&gt;9,SUMIFS(Options!$AZ$3:$AZ$26,Options!$B$3:$B$26,'Check result'!R125),SUMIFS('Master P&amp;L'!$AE$11:$AE$93,'Master P&amp;L'!$B$11:$B$93,'Check result'!R125)))</f>
        <v>0</v>
      </c>
      <c r="U125" s="268">
        <f t="shared" si="15"/>
        <v>0</v>
      </c>
      <c r="V125" s="267">
        <f t="shared" si="16"/>
        <v>25173</v>
      </c>
      <c r="W125">
        <f t="shared" si="17"/>
        <v>0.02</v>
      </c>
    </row>
    <row r="126" spans="1:23">
      <c r="A126" s="329">
        <v>45840</v>
      </c>
      <c r="B126" s="330" t="s">
        <v>282</v>
      </c>
      <c r="C126" s="330" t="s">
        <v>317</v>
      </c>
      <c r="D126" s="330" t="s">
        <v>1743</v>
      </c>
      <c r="E126" s="331">
        <v>28939</v>
      </c>
      <c r="F126" s="330">
        <v>0.03</v>
      </c>
      <c r="G126" s="267">
        <f t="shared" si="6"/>
        <v>9646333333.333334</v>
      </c>
      <c r="R126" t="str">
        <f t="shared" si="13"/>
        <v>CPNG</v>
      </c>
      <c r="S126">
        <f t="shared" si="14"/>
        <v>28939</v>
      </c>
      <c r="T126" s="268">
        <f>IF(R126="","",IF(LEN(R126)&gt;9,SUMIFS(Options!$AZ$3:$AZ$26,Options!$B$3:$B$26,'Check result'!R126),SUMIFS('Master P&amp;L'!$AE$11:$AE$93,'Master P&amp;L'!$B$11:$B$93,'Check result'!R126)))</f>
        <v>0</v>
      </c>
      <c r="U126" s="268">
        <f t="shared" si="15"/>
        <v>0</v>
      </c>
      <c r="V126" s="267">
        <f t="shared" si="16"/>
        <v>28939</v>
      </c>
      <c r="W126">
        <f t="shared" si="17"/>
        <v>2.9999999999999995E-2</v>
      </c>
    </row>
    <row r="127" spans="1:23">
      <c r="A127" s="329">
        <v>45840</v>
      </c>
      <c r="B127" s="330" t="s">
        <v>282</v>
      </c>
      <c r="C127" s="330" t="s">
        <v>320</v>
      </c>
      <c r="D127" s="330" t="s">
        <v>1693</v>
      </c>
      <c r="E127" s="331">
        <v>29919</v>
      </c>
      <c r="F127" s="330">
        <v>0.03</v>
      </c>
      <c r="G127" s="267">
        <f t="shared" si="6"/>
        <v>9973000000</v>
      </c>
      <c r="R127" t="str">
        <f t="shared" si="13"/>
        <v>GLD</v>
      </c>
      <c r="S127">
        <f t="shared" si="14"/>
        <v>29919</v>
      </c>
      <c r="T127" s="268">
        <f>IF(R127="","",IF(LEN(R127)&gt;9,SUMIFS(Options!$AZ$3:$AZ$26,Options!$B$3:$B$26,'Check result'!R127),SUMIFS('Master P&amp;L'!$AE$11:$AE$93,'Master P&amp;L'!$B$11:$B$93,'Check result'!R127)))</f>
        <v>0</v>
      </c>
      <c r="U127" s="268">
        <f t="shared" si="15"/>
        <v>0</v>
      </c>
      <c r="V127" s="267">
        <f t="shared" si="16"/>
        <v>29919</v>
      </c>
      <c r="W127">
        <f t="shared" si="17"/>
        <v>3.0000000000000002E-2</v>
      </c>
    </row>
    <row r="128" spans="1:23">
      <c r="A128" s="329">
        <v>45840</v>
      </c>
      <c r="B128" s="330" t="s">
        <v>282</v>
      </c>
      <c r="C128" s="330" t="s">
        <v>324</v>
      </c>
      <c r="D128" s="330" t="s">
        <v>1763</v>
      </c>
      <c r="E128" s="331">
        <v>31799</v>
      </c>
      <c r="F128" s="330">
        <v>0.03</v>
      </c>
      <c r="G128" s="26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8">
        <f>IF(R128="","",IF(LEN(R128)&gt;9,SUMIFS(Options!$AZ$3:$AZ$26,Options!$B$3:$B$26,'Check result'!R128),SUMIFS('Master P&amp;L'!$AE$11:$AE$93,'Master P&amp;L'!$B$11:$B$93,'Check result'!R128)))</f>
        <v>0</v>
      </c>
      <c r="U128" s="268">
        <f t="shared" si="15"/>
        <v>0</v>
      </c>
      <c r="V128" s="267">
        <f t="shared" si="16"/>
        <v>31799</v>
      </c>
      <c r="W128">
        <f t="shared" si="17"/>
        <v>2.9999999999999995E-2</v>
      </c>
    </row>
    <row r="129" spans="1:23">
      <c r="A129" s="329">
        <v>45840</v>
      </c>
      <c r="B129" s="330" t="s">
        <v>282</v>
      </c>
      <c r="C129" s="330" t="s">
        <v>324</v>
      </c>
      <c r="D129" s="330" t="s">
        <v>1820</v>
      </c>
      <c r="E129" s="331">
        <v>32144</v>
      </c>
      <c r="F129" s="330">
        <v>0.03</v>
      </c>
      <c r="G129" s="26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8">
        <f>IF(R129="","",IF(LEN(R129)&gt;9,SUMIFS(Options!$AZ$3:$AZ$26,Options!$B$3:$B$26,'Check result'!R129),SUMIFS('Master P&amp;L'!$AE$11:$AE$93,'Master P&amp;L'!$B$11:$B$93,'Check result'!R129)))</f>
        <v>0</v>
      </c>
      <c r="U129" s="268">
        <f t="shared" si="15"/>
        <v>0</v>
      </c>
      <c r="V129" s="267">
        <f t="shared" si="16"/>
        <v>32144</v>
      </c>
      <c r="W129">
        <f t="shared" si="17"/>
        <v>2.9999999999999995E-2</v>
      </c>
    </row>
    <row r="130" spans="1:23">
      <c r="A130" s="329">
        <v>45840</v>
      </c>
      <c r="B130" s="330" t="s">
        <v>282</v>
      </c>
      <c r="C130" s="330" t="s">
        <v>324</v>
      </c>
      <c r="D130" s="330" t="s">
        <v>1779</v>
      </c>
      <c r="E130" s="331">
        <v>32258</v>
      </c>
      <c r="F130" s="330">
        <v>0.03</v>
      </c>
      <c r="G130" s="26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8">
        <f>IF(R130="","",IF(LEN(R130)&gt;9,SUMIFS(Options!$AZ$3:$AZ$26,Options!$B$3:$B$26,'Check result'!R130),SUMIFS('Master P&amp;L'!$AE$11:$AE$93,'Master P&amp;L'!$B$11:$B$93,'Check result'!R130)))</f>
        <v>0</v>
      </c>
      <c r="U130" s="268">
        <f t="shared" si="15"/>
        <v>0</v>
      </c>
      <c r="V130" s="267">
        <f t="shared" si="16"/>
        <v>32258</v>
      </c>
      <c r="W130">
        <f t="shared" si="17"/>
        <v>2.9999999999999995E-2</v>
      </c>
    </row>
    <row r="131" spans="1:23">
      <c r="A131" s="329">
        <v>45840</v>
      </c>
      <c r="B131" s="330" t="s">
        <v>282</v>
      </c>
      <c r="C131" s="330" t="s">
        <v>317</v>
      </c>
      <c r="D131" s="330" t="s">
        <v>85</v>
      </c>
      <c r="E131" s="331">
        <v>32799</v>
      </c>
      <c r="F131" s="330">
        <v>0.03</v>
      </c>
      <c r="G131" s="26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8">
        <f>IF(R131="","",IF(LEN(R131)&gt;9,SUMIFS(Options!$AZ$3:$AZ$26,Options!$B$3:$B$26,'Check result'!R131),SUMIFS('Master P&amp;L'!$AE$11:$AE$93,'Master P&amp;L'!$B$11:$B$93,'Check result'!R131)))</f>
        <v>0</v>
      </c>
      <c r="U131" s="268">
        <f t="shared" si="15"/>
        <v>0</v>
      </c>
      <c r="V131" s="267">
        <f t="shared" si="16"/>
        <v>32799</v>
      </c>
      <c r="W131">
        <f t="shared" si="17"/>
        <v>3.0000000000000002E-2</v>
      </c>
    </row>
    <row r="132" spans="1:23">
      <c r="A132" s="329">
        <v>45840</v>
      </c>
      <c r="B132" s="330" t="s">
        <v>282</v>
      </c>
      <c r="C132" s="330" t="s">
        <v>319</v>
      </c>
      <c r="D132" s="330" t="s">
        <v>1698</v>
      </c>
      <c r="E132" s="331">
        <v>34180</v>
      </c>
      <c r="F132" s="330">
        <v>0.03</v>
      </c>
      <c r="G132" s="26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8">
        <f>IF(R132="","",IF(LEN(R132)&gt;9,SUMIFS(Options!$AZ$3:$AZ$26,Options!$B$3:$B$26,'Check result'!R132),SUMIFS('Master P&amp;L'!$AE$11:$AE$93,'Master P&amp;L'!$B$11:$B$93,'Check result'!R132)))</f>
        <v>0</v>
      </c>
      <c r="U132" s="268">
        <f t="shared" si="15"/>
        <v>0</v>
      </c>
      <c r="V132" s="267">
        <f t="shared" si="16"/>
        <v>34180</v>
      </c>
      <c r="W132">
        <f t="shared" si="17"/>
        <v>2.9999999999999995E-2</v>
      </c>
    </row>
    <row r="133" spans="1:23">
      <c r="A133" s="329">
        <v>45840</v>
      </c>
      <c r="B133" s="330" t="s">
        <v>282</v>
      </c>
      <c r="C133" s="330" t="s">
        <v>319</v>
      </c>
      <c r="D133" s="330" t="s">
        <v>1799</v>
      </c>
      <c r="E133" s="331">
        <v>36549</v>
      </c>
      <c r="F133" s="330">
        <v>0.03</v>
      </c>
      <c r="G133" s="26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8">
        <f>IF(R133="","",IF(LEN(R133)&gt;9,SUMIFS(Options!$AZ$3:$AZ$26,Options!$B$3:$B$26,'Check result'!R133),SUMIFS('Master P&amp;L'!$AE$11:$AE$93,'Master P&amp;L'!$B$11:$B$93,'Check result'!R133)))</f>
        <v>0</v>
      </c>
      <c r="U133" s="268">
        <f t="shared" si="15"/>
        <v>0</v>
      </c>
      <c r="V133" s="267">
        <f t="shared" si="16"/>
        <v>36549</v>
      </c>
      <c r="W133">
        <f t="shared" si="17"/>
        <v>3.0000000000000002E-2</v>
      </c>
    </row>
    <row r="134" spans="1:23">
      <c r="A134" s="329">
        <v>45840</v>
      </c>
      <c r="B134" s="330" t="s">
        <v>282</v>
      </c>
      <c r="C134" s="330" t="s">
        <v>39</v>
      </c>
      <c r="D134" s="330" t="s">
        <v>1686</v>
      </c>
      <c r="E134" s="331">
        <v>42081</v>
      </c>
      <c r="F134" s="330">
        <v>0.04</v>
      </c>
      <c r="G134" s="267">
        <f t="shared" si="18"/>
        <v>10520250000</v>
      </c>
      <c r="R134" t="str">
        <f t="shared" si="13"/>
        <v>TEVA</v>
      </c>
      <c r="S134">
        <f t="shared" si="14"/>
        <v>42081</v>
      </c>
      <c r="T134" s="268">
        <f>IF(R134="","",IF(LEN(R134)&gt;9,SUMIFS(Options!$AZ$3:$AZ$26,Options!$B$3:$B$26,'Check result'!R134),SUMIFS('Master P&amp;L'!$AE$11:$AE$93,'Master P&amp;L'!$B$11:$B$93,'Check result'!R134)))</f>
        <v>0</v>
      </c>
      <c r="U134" s="268">
        <f t="shared" si="15"/>
        <v>0</v>
      </c>
      <c r="V134" s="267">
        <f t="shared" si="16"/>
        <v>42081</v>
      </c>
      <c r="W134">
        <f t="shared" si="17"/>
        <v>0.04</v>
      </c>
    </row>
    <row r="135" spans="1:23">
      <c r="A135" s="329">
        <v>45840</v>
      </c>
      <c r="B135" s="330" t="s">
        <v>282</v>
      </c>
      <c r="C135" s="330" t="s">
        <v>324</v>
      </c>
      <c r="D135" s="330" t="s">
        <v>1817</v>
      </c>
      <c r="E135" s="331">
        <v>42819</v>
      </c>
      <c r="F135" s="330">
        <v>0.04</v>
      </c>
      <c r="G135" s="26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8">
        <f>IF(R135="","",IF(LEN(R135)&gt;9,SUMIFS(Options!$AZ$3:$AZ$26,Options!$B$3:$B$26,'Check result'!R135),SUMIFS('Master P&amp;L'!$AE$11:$AE$93,'Master P&amp;L'!$B$11:$B$93,'Check result'!R135)))</f>
        <v>0</v>
      </c>
      <c r="U135" s="268">
        <f t="shared" si="15"/>
        <v>0</v>
      </c>
      <c r="V135" s="267">
        <f t="shared" si="16"/>
        <v>42819</v>
      </c>
      <c r="W135">
        <f t="shared" si="17"/>
        <v>0.04</v>
      </c>
    </row>
    <row r="136" spans="1:23">
      <c r="A136" s="329">
        <v>45840</v>
      </c>
      <c r="B136" s="330" t="s">
        <v>282</v>
      </c>
      <c r="C136" s="330" t="s">
        <v>317</v>
      </c>
      <c r="D136" s="330" t="s">
        <v>1753</v>
      </c>
      <c r="E136" s="331">
        <v>45078</v>
      </c>
      <c r="F136" s="330">
        <v>0.04</v>
      </c>
      <c r="G136" s="267">
        <f t="shared" si="18"/>
        <v>11269500000</v>
      </c>
      <c r="R136" t="str">
        <f t="shared" si="13"/>
        <v>WDAY</v>
      </c>
      <c r="S136">
        <f t="shared" si="14"/>
        <v>45078</v>
      </c>
      <c r="T136" s="268">
        <f>IF(R136="","",IF(LEN(R136)&gt;9,SUMIFS(Options!$AZ$3:$AZ$26,Options!$B$3:$B$26,'Check result'!R136),SUMIFS('Master P&amp;L'!$AE$11:$AE$93,'Master P&amp;L'!$B$11:$B$93,'Check result'!R136)))</f>
        <v>0</v>
      </c>
      <c r="U136" s="268">
        <f t="shared" si="15"/>
        <v>0</v>
      </c>
      <c r="V136" s="267">
        <f t="shared" si="16"/>
        <v>45078</v>
      </c>
      <c r="W136">
        <f t="shared" si="17"/>
        <v>0.04</v>
      </c>
    </row>
    <row r="137" spans="1:23">
      <c r="A137" s="329">
        <v>45840</v>
      </c>
      <c r="B137" s="330" t="s">
        <v>282</v>
      </c>
      <c r="C137" s="330" t="s">
        <v>319</v>
      </c>
      <c r="D137" s="330" t="s">
        <v>1769</v>
      </c>
      <c r="E137" s="331">
        <v>46113</v>
      </c>
      <c r="F137" s="330">
        <v>0.04</v>
      </c>
      <c r="G137" s="26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8">
        <f>IF(R137="","",IF(LEN(R137)&gt;9,SUMIFS(Options!$AZ$3:$AZ$26,Options!$B$3:$B$26,'Check result'!R137),SUMIFS('Master P&amp;L'!$AE$11:$AE$93,'Master P&amp;L'!$B$11:$B$93,'Check result'!R137)))</f>
        <v>0</v>
      </c>
      <c r="U137" s="268">
        <f t="shared" si="15"/>
        <v>0</v>
      </c>
      <c r="V137" s="267">
        <f t="shared" si="16"/>
        <v>46113</v>
      </c>
      <c r="W137">
        <f t="shared" si="17"/>
        <v>0.04</v>
      </c>
    </row>
    <row r="138" spans="1:23">
      <c r="A138" s="329">
        <v>45840</v>
      </c>
      <c r="B138" s="330" t="s">
        <v>282</v>
      </c>
      <c r="C138" s="330" t="s">
        <v>319</v>
      </c>
      <c r="D138" s="330" t="s">
        <v>1802</v>
      </c>
      <c r="E138" s="331">
        <v>46520</v>
      </c>
      <c r="F138" s="330">
        <v>0.04</v>
      </c>
      <c r="G138" s="26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8">
        <f>IF(R138="","",IF(LEN(R138)&gt;9,SUMIFS(Options!$AZ$3:$AZ$26,Options!$B$3:$B$26,'Check result'!R138),SUMIFS('Master P&amp;L'!$AE$11:$AE$93,'Master P&amp;L'!$B$11:$B$93,'Check result'!R138)))</f>
        <v>0</v>
      </c>
      <c r="U138" s="268">
        <f t="shared" si="15"/>
        <v>0</v>
      </c>
      <c r="V138" s="267">
        <f t="shared" si="16"/>
        <v>46520</v>
      </c>
      <c r="W138">
        <f t="shared" si="17"/>
        <v>0.04</v>
      </c>
    </row>
    <row r="139" spans="1:23">
      <c r="A139" s="329">
        <v>45840</v>
      </c>
      <c r="B139" s="330" t="s">
        <v>282</v>
      </c>
      <c r="C139" s="330" t="s">
        <v>324</v>
      </c>
      <c r="D139" s="330" t="s">
        <v>1812</v>
      </c>
      <c r="E139" s="331">
        <v>51858</v>
      </c>
      <c r="F139" s="330">
        <v>0.05</v>
      </c>
      <c r="G139" s="26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8">
        <f>IF(R139="","",IF(LEN(R139)&gt;9,SUMIFS(Options!$AZ$3:$AZ$26,Options!$B$3:$B$26,'Check result'!R139),SUMIFS('Master P&amp;L'!$AE$11:$AE$93,'Master P&amp;L'!$B$11:$B$93,'Check result'!R139)))</f>
        <v>0</v>
      </c>
      <c r="U139" s="268">
        <f t="shared" si="15"/>
        <v>0</v>
      </c>
      <c r="V139" s="267">
        <f t="shared" si="16"/>
        <v>51858</v>
      </c>
      <c r="W139">
        <f t="shared" si="17"/>
        <v>0.05</v>
      </c>
    </row>
    <row r="140" spans="1:23">
      <c r="A140" s="329">
        <v>45840</v>
      </c>
      <c r="B140" s="330" t="s">
        <v>282</v>
      </c>
      <c r="C140" s="330" t="s">
        <v>319</v>
      </c>
      <c r="D140" s="330" t="s">
        <v>1785</v>
      </c>
      <c r="E140" s="331">
        <v>51982</v>
      </c>
      <c r="F140" s="330">
        <v>0.05</v>
      </c>
      <c r="G140" s="26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8">
        <f>IF(R140="","",IF(LEN(R140)&gt;9,SUMIFS(Options!$AZ$3:$AZ$26,Options!$B$3:$B$26,'Check result'!R140),SUMIFS('Master P&amp;L'!$AE$11:$AE$93,'Master P&amp;L'!$B$11:$B$93,'Check result'!R140)))</f>
        <v>0</v>
      </c>
      <c r="U140" s="268">
        <f t="shared" si="15"/>
        <v>0</v>
      </c>
      <c r="V140" s="267">
        <f t="shared" si="16"/>
        <v>51982</v>
      </c>
      <c r="W140">
        <f t="shared" si="17"/>
        <v>0.05</v>
      </c>
    </row>
    <row r="141" spans="1:23">
      <c r="A141" s="329">
        <v>45840</v>
      </c>
      <c r="B141" s="330" t="s">
        <v>282</v>
      </c>
      <c r="C141" s="330" t="s">
        <v>324</v>
      </c>
      <c r="D141" s="330" t="s">
        <v>1737</v>
      </c>
      <c r="E141" s="331">
        <v>54165</v>
      </c>
      <c r="F141" s="330">
        <v>0.05</v>
      </c>
      <c r="G141" s="26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8">
        <f>IF(R141="","",IF(LEN(R141)&gt;9,SUMIFS(Options!$AZ$3:$AZ$26,Options!$B$3:$B$26,'Check result'!R141),SUMIFS('Master P&amp;L'!$AE$11:$AE$93,'Master P&amp;L'!$B$11:$B$93,'Check result'!R141)))</f>
        <v>0</v>
      </c>
      <c r="U141" s="268">
        <f t="shared" si="15"/>
        <v>0</v>
      </c>
      <c r="V141" s="267">
        <f t="shared" si="16"/>
        <v>54165</v>
      </c>
      <c r="W141">
        <f t="shared" si="17"/>
        <v>0.05</v>
      </c>
    </row>
    <row r="142" spans="1:23">
      <c r="A142" s="329">
        <v>45840</v>
      </c>
      <c r="B142" s="330" t="s">
        <v>282</v>
      </c>
      <c r="C142" s="330" t="s">
        <v>317</v>
      </c>
      <c r="D142" s="330" t="s">
        <v>569</v>
      </c>
      <c r="E142" s="331">
        <v>55012</v>
      </c>
      <c r="F142" s="330">
        <v>0.05</v>
      </c>
      <c r="G142" s="267">
        <f t="shared" si="18"/>
        <v>11002400000</v>
      </c>
      <c r="R142" t="str">
        <f t="shared" si="13"/>
        <v>MU</v>
      </c>
      <c r="S142">
        <f t="shared" si="14"/>
        <v>55012</v>
      </c>
      <c r="T142" s="268">
        <f>IF(R142="","",IF(LEN(R142)&gt;9,SUMIFS(Options!$AZ$3:$AZ$26,Options!$B$3:$B$26,'Check result'!R142),SUMIFS('Master P&amp;L'!$AE$11:$AE$93,'Master P&amp;L'!$B$11:$B$93,'Check result'!R142)))</f>
        <v>0</v>
      </c>
      <c r="U142" s="268">
        <f t="shared" si="15"/>
        <v>0</v>
      </c>
      <c r="V142" s="267">
        <f t="shared" si="16"/>
        <v>55012</v>
      </c>
      <c r="W142">
        <f t="shared" si="17"/>
        <v>0.05</v>
      </c>
    </row>
    <row r="143" spans="1:23">
      <c r="A143" s="329">
        <v>45840</v>
      </c>
      <c r="B143" s="330" t="s">
        <v>282</v>
      </c>
      <c r="C143" s="330" t="s">
        <v>324</v>
      </c>
      <c r="D143" s="330" t="s">
        <v>241</v>
      </c>
      <c r="E143" s="331">
        <v>56117</v>
      </c>
      <c r="F143" s="330">
        <v>0.05</v>
      </c>
      <c r="G143" s="26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8">
        <f>IF(R143="","",IF(LEN(R143)&gt;9,SUMIFS(Options!$AZ$3:$AZ$26,Options!$B$3:$B$26,'Check result'!R143),SUMIFS('Master P&amp;L'!$AE$11:$AE$93,'Master P&amp;L'!$B$11:$B$93,'Check result'!R143)))</f>
        <v>0</v>
      </c>
      <c r="U143" s="268">
        <f t="shared" si="15"/>
        <v>0</v>
      </c>
      <c r="V143" s="267">
        <f t="shared" si="16"/>
        <v>56117</v>
      </c>
      <c r="W143">
        <f t="shared" si="17"/>
        <v>0.05</v>
      </c>
    </row>
    <row r="144" spans="1:23">
      <c r="A144" s="329">
        <v>45840</v>
      </c>
      <c r="B144" s="330" t="s">
        <v>282</v>
      </c>
      <c r="C144" s="330" t="s">
        <v>317</v>
      </c>
      <c r="D144" s="330" t="s">
        <v>1774</v>
      </c>
      <c r="E144" s="331">
        <v>60666</v>
      </c>
      <c r="F144" s="330">
        <v>0.05</v>
      </c>
      <c r="G144" s="267">
        <f t="shared" si="18"/>
        <v>12133200000</v>
      </c>
      <c r="R144" t="str">
        <f t="shared" si="13"/>
        <v>ADBE</v>
      </c>
      <c r="S144">
        <f t="shared" si="14"/>
        <v>60666</v>
      </c>
      <c r="T144" s="268">
        <f>IF(R144="","",IF(LEN(R144)&gt;9,SUMIFS(Options!$AZ$3:$AZ$26,Options!$B$3:$B$26,'Check result'!R144),SUMIFS('Master P&amp;L'!$AE$11:$AE$93,'Master P&amp;L'!$B$11:$B$93,'Check result'!R144)))</f>
        <v>0</v>
      </c>
      <c r="U144" s="268">
        <f t="shared" si="15"/>
        <v>0</v>
      </c>
      <c r="V144" s="267">
        <f t="shared" si="16"/>
        <v>60666</v>
      </c>
      <c r="W144">
        <f t="shared" si="17"/>
        <v>0.05</v>
      </c>
    </row>
    <row r="145" spans="1:23">
      <c r="A145" s="329">
        <v>45840</v>
      </c>
      <c r="B145" s="330" t="s">
        <v>282</v>
      </c>
      <c r="C145" s="330" t="s">
        <v>319</v>
      </c>
      <c r="D145" s="330" t="s">
        <v>1721</v>
      </c>
      <c r="E145" s="331">
        <v>65269</v>
      </c>
      <c r="F145" s="330">
        <v>0.06</v>
      </c>
      <c r="G145" s="26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8">
        <f>IF(R145="","",IF(LEN(R145)&gt;9,SUMIFS(Options!$AZ$3:$AZ$26,Options!$B$3:$B$26,'Check result'!R145),SUMIFS('Master P&amp;L'!$AE$11:$AE$93,'Master P&amp;L'!$B$11:$B$93,'Check result'!R145)))</f>
        <v>0</v>
      </c>
      <c r="U145" s="268">
        <f t="shared" si="15"/>
        <v>0</v>
      </c>
      <c r="V145" s="267">
        <f t="shared" si="16"/>
        <v>65269</v>
      </c>
      <c r="W145">
        <f t="shared" si="17"/>
        <v>5.9999999999999991E-2</v>
      </c>
    </row>
    <row r="146" spans="1:23">
      <c r="A146" s="329">
        <v>45840</v>
      </c>
      <c r="B146" s="330" t="s">
        <v>282</v>
      </c>
      <c r="C146" s="330" t="s">
        <v>317</v>
      </c>
      <c r="D146" s="330" t="s">
        <v>134</v>
      </c>
      <c r="E146" s="331">
        <v>77763</v>
      </c>
      <c r="F146" s="330">
        <v>7.0000000000000007E-2</v>
      </c>
      <c r="G146" s="267">
        <f t="shared" si="18"/>
        <v>11109000000</v>
      </c>
      <c r="R146" t="str">
        <f t="shared" si="13"/>
        <v>CRM</v>
      </c>
      <c r="S146">
        <f t="shared" si="14"/>
        <v>77763</v>
      </c>
      <c r="T146" s="268">
        <f>IF(R146="","",IF(LEN(R146)&gt;9,SUMIFS(Options!$AZ$3:$AZ$26,Options!$B$3:$B$26,'Check result'!R146),SUMIFS('Master P&amp;L'!$AE$11:$AE$93,'Master P&amp;L'!$B$11:$B$93,'Check result'!R146)))</f>
        <v>0</v>
      </c>
      <c r="U146" s="268">
        <f t="shared" si="15"/>
        <v>0</v>
      </c>
      <c r="V146" s="267">
        <f t="shared" si="16"/>
        <v>77763</v>
      </c>
      <c r="W146">
        <f t="shared" si="17"/>
        <v>6.9999999999999993E-2</v>
      </c>
    </row>
    <row r="147" spans="1:23">
      <c r="A147" s="329">
        <v>45840</v>
      </c>
      <c r="B147" s="330" t="s">
        <v>282</v>
      </c>
      <c r="C147" s="330" t="s">
        <v>324</v>
      </c>
      <c r="D147" s="330" t="s">
        <v>1831</v>
      </c>
      <c r="E147" s="331">
        <v>79295</v>
      </c>
      <c r="F147" s="330">
        <v>7.0000000000000007E-2</v>
      </c>
      <c r="G147" s="26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8">
        <f>IF(R147="","",IF(LEN(R147)&gt;9,SUMIFS(Options!$AZ$3:$AZ$26,Options!$B$3:$B$26,'Check result'!R147),SUMIFS('Master P&amp;L'!$AE$11:$AE$93,'Master P&amp;L'!$B$11:$B$93,'Check result'!R147)))</f>
        <v>0</v>
      </c>
      <c r="U147" s="268">
        <f t="shared" si="15"/>
        <v>0</v>
      </c>
      <c r="V147" s="267">
        <f t="shared" si="16"/>
        <v>79295</v>
      </c>
      <c r="W147">
        <f t="shared" si="17"/>
        <v>7.0000000000000007E-2</v>
      </c>
    </row>
    <row r="148" spans="1:23">
      <c r="A148" s="329">
        <v>45840</v>
      </c>
      <c r="B148" s="330" t="s">
        <v>282</v>
      </c>
      <c r="C148" s="330" t="s">
        <v>319</v>
      </c>
      <c r="D148" s="330" t="s">
        <v>1719</v>
      </c>
      <c r="E148" s="331">
        <v>88851</v>
      </c>
      <c r="F148" s="330">
        <v>0.08</v>
      </c>
      <c r="G148" s="26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8">
        <f>IF(R148="","",IF(LEN(R148)&gt;9,SUMIFS(Options!$AZ$3:$AZ$26,Options!$B$3:$B$26,'Check result'!R148),SUMIFS('Master P&amp;L'!$AE$11:$AE$93,'Master P&amp;L'!$B$11:$B$93,'Check result'!R148)))</f>
        <v>0</v>
      </c>
      <c r="U148" s="268">
        <f t="shared" si="15"/>
        <v>0</v>
      </c>
      <c r="V148" s="267">
        <f t="shared" si="16"/>
        <v>88851</v>
      </c>
      <c r="W148">
        <f t="shared" si="17"/>
        <v>0.08</v>
      </c>
    </row>
    <row r="149" spans="1:23">
      <c r="A149" s="329">
        <v>45840</v>
      </c>
      <c r="B149" s="330" t="s">
        <v>282</v>
      </c>
      <c r="C149" s="330" t="s">
        <v>317</v>
      </c>
      <c r="D149" s="330" t="s">
        <v>132</v>
      </c>
      <c r="E149" s="331">
        <v>88980</v>
      </c>
      <c r="F149" s="330">
        <v>0.08</v>
      </c>
      <c r="G149" s="267">
        <f t="shared" si="18"/>
        <v>11122500000</v>
      </c>
      <c r="R149" t="str">
        <f t="shared" si="13"/>
        <v>NEM</v>
      </c>
      <c r="S149">
        <f t="shared" si="14"/>
        <v>88980</v>
      </c>
      <c r="T149" s="268">
        <f>IF(R149="","",IF(LEN(R149)&gt;9,SUMIFS(Options!$AZ$3:$AZ$26,Options!$B$3:$B$26,'Check result'!R149),SUMIFS('Master P&amp;L'!$AE$11:$AE$93,'Master P&amp;L'!$B$11:$B$93,'Check result'!R149)))</f>
        <v>0</v>
      </c>
      <c r="U149" s="268">
        <f t="shared" si="15"/>
        <v>0</v>
      </c>
      <c r="V149" s="267">
        <f t="shared" si="16"/>
        <v>88980</v>
      </c>
      <c r="W149">
        <f t="shared" si="17"/>
        <v>0.08</v>
      </c>
    </row>
    <row r="150" spans="1:23">
      <c r="A150" s="329">
        <v>45840</v>
      </c>
      <c r="B150" s="330" t="s">
        <v>282</v>
      </c>
      <c r="C150" s="330" t="s">
        <v>317</v>
      </c>
      <c r="D150" s="330" t="s">
        <v>133</v>
      </c>
      <c r="E150" s="331">
        <v>102710</v>
      </c>
      <c r="F150" s="330">
        <v>0.09</v>
      </c>
      <c r="G150" s="267">
        <f t="shared" si="18"/>
        <v>11412222222.222223</v>
      </c>
      <c r="R150" t="str">
        <f t="shared" si="13"/>
        <v>EXPE</v>
      </c>
      <c r="S150">
        <f t="shared" si="14"/>
        <v>102710</v>
      </c>
      <c r="T150" s="268">
        <f>IF(R150="","",IF(LEN(R150)&gt;9,SUMIFS(Options!$AZ$3:$AZ$26,Options!$B$3:$B$26,'Check result'!R150),SUMIFS('Master P&amp;L'!$AE$11:$AE$93,'Master P&amp;L'!$B$11:$B$93,'Check result'!R150)))</f>
        <v>0</v>
      </c>
      <c r="U150" s="268">
        <f t="shared" si="15"/>
        <v>0</v>
      </c>
      <c r="V150" s="267">
        <f t="shared" si="16"/>
        <v>102710</v>
      </c>
      <c r="W150">
        <f t="shared" si="17"/>
        <v>8.9999999999999983E-2</v>
      </c>
    </row>
    <row r="151" spans="1:23">
      <c r="A151" s="329">
        <v>45840</v>
      </c>
      <c r="B151" s="330" t="s">
        <v>282</v>
      </c>
      <c r="C151" s="330" t="s">
        <v>327</v>
      </c>
      <c r="D151" s="330" t="s">
        <v>1687</v>
      </c>
      <c r="E151" s="331">
        <v>118528</v>
      </c>
      <c r="F151" s="330">
        <v>0.1</v>
      </c>
      <c r="G151" s="26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8">
        <f>IF(R151="","",IF(LEN(R151)&gt;9,SUMIFS(Options!$AZ$3:$AZ$26,Options!$B$3:$B$26,'Check result'!R151),SUMIFS('Master P&amp;L'!$AE$11:$AE$93,'Master P&amp;L'!$B$11:$B$93,'Check result'!R151)))</f>
        <v>0</v>
      </c>
      <c r="U151" s="268">
        <f t="shared" si="15"/>
        <v>0</v>
      </c>
      <c r="V151" s="267">
        <f t="shared" si="16"/>
        <v>118528</v>
      </c>
      <c r="W151">
        <f t="shared" si="17"/>
        <v>0.1</v>
      </c>
    </row>
    <row r="152" spans="1:23">
      <c r="A152" s="329">
        <v>45840</v>
      </c>
      <c r="B152" s="330" t="s">
        <v>282</v>
      </c>
      <c r="C152" s="330" t="s">
        <v>324</v>
      </c>
      <c r="D152" s="330" t="s">
        <v>1714</v>
      </c>
      <c r="E152" s="331">
        <v>120502</v>
      </c>
      <c r="F152" s="330">
        <v>0.11</v>
      </c>
      <c r="G152" s="26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8">
        <f>IF(R152="","",IF(LEN(R152)&gt;9,SUMIFS(Options!$AZ$3:$AZ$26,Options!$B$3:$B$26,'Check result'!R152),SUMIFS('Master P&amp;L'!$AE$11:$AE$93,'Master P&amp;L'!$B$11:$B$93,'Check result'!R152)))</f>
        <v>0</v>
      </c>
      <c r="U152" s="268">
        <f t="shared" si="15"/>
        <v>0</v>
      </c>
      <c r="V152" s="267">
        <f t="shared" si="16"/>
        <v>120502</v>
      </c>
      <c r="W152">
        <f t="shared" si="17"/>
        <v>0.11000000000000001</v>
      </c>
    </row>
    <row r="153" spans="1:23">
      <c r="A153" s="329">
        <v>45840</v>
      </c>
      <c r="B153" s="330" t="s">
        <v>282</v>
      </c>
      <c r="C153" s="330" t="s">
        <v>319</v>
      </c>
      <c r="D153" s="330" t="s">
        <v>1723</v>
      </c>
      <c r="E153" s="331">
        <v>123904</v>
      </c>
      <c r="F153" s="330">
        <v>0.11</v>
      </c>
      <c r="G153" s="26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8">
        <f>IF(R153="","",IF(LEN(R153)&gt;9,SUMIFS(Options!$AZ$3:$AZ$26,Options!$B$3:$B$26,'Check result'!R153),SUMIFS('Master P&amp;L'!$AE$11:$AE$93,'Master P&amp;L'!$B$11:$B$93,'Check result'!R153)))</f>
        <v>0</v>
      </c>
      <c r="U153" s="268">
        <f t="shared" si="15"/>
        <v>0</v>
      </c>
      <c r="V153" s="267">
        <f t="shared" si="16"/>
        <v>123904</v>
      </c>
      <c r="W153">
        <f t="shared" si="17"/>
        <v>0.11</v>
      </c>
    </row>
    <row r="154" spans="1:23">
      <c r="A154" s="329">
        <v>45840</v>
      </c>
      <c r="B154" s="330" t="s">
        <v>282</v>
      </c>
      <c r="C154" s="330" t="s">
        <v>317</v>
      </c>
      <c r="D154" s="330" t="s">
        <v>93</v>
      </c>
      <c r="E154" s="331">
        <v>177084</v>
      </c>
      <c r="F154" s="330">
        <v>0.16</v>
      </c>
      <c r="G154" s="267">
        <f t="shared" si="18"/>
        <v>11067750000</v>
      </c>
      <c r="R154" t="str">
        <f t="shared" si="13"/>
        <v>MP</v>
      </c>
      <c r="S154">
        <f t="shared" si="14"/>
        <v>177084</v>
      </c>
      <c r="T154" s="268">
        <f>IF(R154="","",IF(LEN(R154)&gt;9,SUMIFS(Options!$AZ$3:$AZ$26,Options!$B$3:$B$26,'Check result'!R154),SUMIFS('Master P&amp;L'!$AE$11:$AE$93,'Master P&amp;L'!$B$11:$B$93,'Check result'!R154)))</f>
        <v>0</v>
      </c>
      <c r="U154" s="268">
        <f t="shared" si="15"/>
        <v>0</v>
      </c>
      <c r="V154" s="267">
        <f t="shared" si="16"/>
        <v>177084</v>
      </c>
      <c r="W154">
        <f t="shared" si="17"/>
        <v>0.16</v>
      </c>
    </row>
    <row r="155" spans="1:23">
      <c r="A155" s="329">
        <v>45840</v>
      </c>
      <c r="B155" s="330" t="s">
        <v>282</v>
      </c>
      <c r="C155" s="330" t="s">
        <v>317</v>
      </c>
      <c r="D155" s="330" t="s">
        <v>1681</v>
      </c>
      <c r="E155" s="331">
        <v>199551</v>
      </c>
      <c r="F155" s="330">
        <v>0.18</v>
      </c>
      <c r="G155" s="267">
        <f t="shared" si="18"/>
        <v>11086166666.666668</v>
      </c>
      <c r="R155" t="str">
        <f t="shared" si="13"/>
        <v>COF</v>
      </c>
      <c r="S155">
        <f t="shared" si="14"/>
        <v>199551</v>
      </c>
      <c r="T155" s="268">
        <f>IF(R155="","",IF(LEN(R155)&gt;9,SUMIFS(Options!$AZ$3:$AZ$26,Options!$B$3:$B$26,'Check result'!R155),SUMIFS('Master P&amp;L'!$AE$11:$AE$93,'Master P&amp;L'!$B$11:$B$93,'Check result'!R155)))</f>
        <v>0</v>
      </c>
      <c r="U155" s="268">
        <f t="shared" si="15"/>
        <v>0</v>
      </c>
      <c r="V155" s="267">
        <f t="shared" si="16"/>
        <v>199551</v>
      </c>
      <c r="W155">
        <f t="shared" si="17"/>
        <v>0.17999999999999997</v>
      </c>
    </row>
    <row r="156" spans="1:23">
      <c r="A156" s="329">
        <v>45840</v>
      </c>
      <c r="B156" s="330" t="s">
        <v>282</v>
      </c>
      <c r="C156" s="330" t="s">
        <v>319</v>
      </c>
      <c r="D156" s="330" t="s">
        <v>1834</v>
      </c>
      <c r="E156" s="331">
        <v>214992</v>
      </c>
      <c r="F156" s="330">
        <v>0.19</v>
      </c>
      <c r="G156" s="26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8">
        <f>IF(R156="","",IF(LEN(R156)&gt;9,SUMIFS(Options!$AZ$3:$AZ$26,Options!$B$3:$B$26,'Check result'!R156),SUMIFS('Master P&amp;L'!$AE$11:$AE$93,'Master P&amp;L'!$B$11:$B$93,'Check result'!R156)))</f>
        <v>0</v>
      </c>
      <c r="U156" s="268">
        <f t="shared" si="15"/>
        <v>0</v>
      </c>
      <c r="V156" s="267">
        <f t="shared" si="16"/>
        <v>214992</v>
      </c>
      <c r="W156">
        <f t="shared" si="17"/>
        <v>0.19</v>
      </c>
    </row>
    <row r="157" spans="1:23">
      <c r="A157" s="329">
        <v>45840</v>
      </c>
      <c r="B157" s="330" t="s">
        <v>282</v>
      </c>
      <c r="C157" s="330" t="s">
        <v>319</v>
      </c>
      <c r="D157" s="330" t="s">
        <v>1827</v>
      </c>
      <c r="E157" s="331">
        <v>265673</v>
      </c>
      <c r="F157" s="330">
        <v>0.23</v>
      </c>
      <c r="G157" s="26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8">
        <f>IF(R157="","",IF(LEN(R157)&gt;9,SUMIFS(Options!$AZ$3:$AZ$26,Options!$B$3:$B$26,'Check result'!R157),SUMIFS('Master P&amp;L'!$AE$11:$AE$93,'Master P&amp;L'!$B$11:$B$93,'Check result'!R157)))</f>
        <v>0</v>
      </c>
      <c r="U157" s="268">
        <f t="shared" si="15"/>
        <v>0</v>
      </c>
      <c r="V157" s="267">
        <f t="shared" si="16"/>
        <v>265673</v>
      </c>
      <c r="W157">
        <f t="shared" si="17"/>
        <v>0.23</v>
      </c>
    </row>
    <row r="158" spans="1:23">
      <c r="A158" s="329">
        <v>45840</v>
      </c>
      <c r="B158" s="330" t="s">
        <v>282</v>
      </c>
      <c r="C158" s="330" t="s">
        <v>327</v>
      </c>
      <c r="D158" s="330" t="s">
        <v>1704</v>
      </c>
      <c r="E158" s="331">
        <v>272398</v>
      </c>
      <c r="F158" s="330">
        <v>0.24</v>
      </c>
      <c r="G158" s="26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8">
        <f>IF(R158="","",IF(LEN(R158)&gt;9,SUMIFS(Options!$AZ$3:$AZ$26,Options!$B$3:$B$26,'Check result'!R158),SUMIFS('Master P&amp;L'!$AE$11:$AE$93,'Master P&amp;L'!$B$11:$B$93,'Check result'!R158)))</f>
        <v>0</v>
      </c>
      <c r="U158" s="268">
        <f t="shared" si="15"/>
        <v>0</v>
      </c>
      <c r="V158" s="267">
        <f t="shared" si="16"/>
        <v>272398</v>
      </c>
      <c r="W158">
        <f t="shared" si="17"/>
        <v>0.23999999999999996</v>
      </c>
    </row>
    <row r="159" spans="1:23">
      <c r="A159" s="329">
        <v>45840</v>
      </c>
      <c r="B159" s="330" t="s">
        <v>282</v>
      </c>
      <c r="C159" s="330" t="s">
        <v>39</v>
      </c>
      <c r="D159" s="330" t="s">
        <v>1678</v>
      </c>
      <c r="E159" s="331">
        <v>346269</v>
      </c>
      <c r="F159" s="330">
        <v>0.31</v>
      </c>
      <c r="G159" s="267">
        <f t="shared" si="18"/>
        <v>11169967741.935484</v>
      </c>
      <c r="R159" t="str">
        <f t="shared" si="13"/>
        <v>BP</v>
      </c>
      <c r="S159">
        <f t="shared" si="19"/>
        <v>346269</v>
      </c>
      <c r="T159" s="268">
        <f>IF(R159="","",IF(LEN(R159)&gt;9,SUMIFS(Options!$AZ$3:$AZ$26,Options!$B$3:$B$26,'Check result'!R159),SUMIFS('Master P&amp;L'!$AE$11:$AE$93,'Master P&amp;L'!$B$11:$B$93,'Check result'!R159)))</f>
        <v>0</v>
      </c>
      <c r="U159" s="268">
        <f t="shared" si="15"/>
        <v>0</v>
      </c>
      <c r="V159" s="267">
        <f t="shared" si="16"/>
        <v>346269</v>
      </c>
      <c r="W159">
        <f t="shared" si="17"/>
        <v>0.31</v>
      </c>
    </row>
    <row r="160" spans="1:23">
      <c r="A160" s="329">
        <v>45840</v>
      </c>
      <c r="B160" s="330" t="s">
        <v>282</v>
      </c>
      <c r="C160" s="330" t="s">
        <v>324</v>
      </c>
      <c r="D160" s="330" t="s">
        <v>1708</v>
      </c>
      <c r="E160" s="331">
        <v>386622</v>
      </c>
      <c r="F160" s="330">
        <v>0.34</v>
      </c>
      <c r="G160" s="26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8">
        <f>IF(R160="","",IF(LEN(R160)&gt;9,SUMIFS(Options!$AZ$3:$AZ$26,Options!$B$3:$B$26,'Check result'!R160),SUMIFS('Master P&amp;L'!$AE$11:$AE$93,'Master P&amp;L'!$B$11:$B$93,'Check result'!R160)))</f>
        <v>0</v>
      </c>
      <c r="U160" s="268">
        <f t="shared" si="15"/>
        <v>0</v>
      </c>
      <c r="V160" s="267">
        <f t="shared" si="16"/>
        <v>386622</v>
      </c>
      <c r="W160">
        <f t="shared" si="17"/>
        <v>0.34000000000000008</v>
      </c>
    </row>
    <row r="161" spans="1:23">
      <c r="A161" s="329">
        <v>45840</v>
      </c>
      <c r="B161" s="330" t="s">
        <v>282</v>
      </c>
      <c r="C161" s="330" t="s">
        <v>320</v>
      </c>
      <c r="D161" s="330" t="s">
        <v>6</v>
      </c>
      <c r="E161" s="331">
        <v>876541</v>
      </c>
      <c r="F161" s="330">
        <v>0.78</v>
      </c>
      <c r="G161" s="267">
        <f t="shared" si="18"/>
        <v>11237705128.205128</v>
      </c>
      <c r="R161" t="str">
        <f t="shared" si="13"/>
        <v>KBWB</v>
      </c>
      <c r="S161">
        <f t="shared" si="19"/>
        <v>876541</v>
      </c>
      <c r="T161" s="268">
        <f>IF(R161="","",IF(LEN(R161)&gt;9,SUMIFS(Options!$AZ$3:$AZ$26,Options!$B$3:$B$26,'Check result'!R161),SUMIFS('Master P&amp;L'!$AE$11:$AE$93,'Master P&amp;L'!$B$11:$B$93,'Check result'!R161)))</f>
        <v>0</v>
      </c>
      <c r="U161" s="268">
        <f t="shared" si="15"/>
        <v>0</v>
      </c>
      <c r="V161" s="267">
        <f t="shared" si="16"/>
        <v>876541</v>
      </c>
      <c r="W161">
        <f t="shared" si="17"/>
        <v>0.78</v>
      </c>
    </row>
    <row r="162" spans="1:23">
      <c r="A162" s="329">
        <v>45840</v>
      </c>
      <c r="B162" s="330" t="s">
        <v>282</v>
      </c>
      <c r="C162" s="330" t="s">
        <v>319</v>
      </c>
      <c r="D162" s="330" t="s">
        <v>1805</v>
      </c>
      <c r="E162" s="331">
        <v>1063451</v>
      </c>
      <c r="F162" s="330">
        <v>0.94</v>
      </c>
      <c r="G162" s="26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8">
        <f>IF(R162="","",IF(LEN(R162)&gt;9,SUMIFS(Options!$AZ$3:$AZ$26,Options!$B$3:$B$26,'Check result'!R162),SUMIFS('Master P&amp;L'!$AE$11:$AE$93,'Master P&amp;L'!$B$11:$B$93,'Check result'!R162)))</f>
        <v>0</v>
      </c>
      <c r="U162" s="268">
        <f t="shared" si="15"/>
        <v>0</v>
      </c>
      <c r="V162" s="267">
        <f t="shared" si="16"/>
        <v>1063451</v>
      </c>
      <c r="W162">
        <f t="shared" si="17"/>
        <v>0.94</v>
      </c>
    </row>
    <row r="163" spans="1:23">
      <c r="A163" s="329">
        <v>45840</v>
      </c>
      <c r="B163" s="330" t="s">
        <v>282</v>
      </c>
      <c r="C163" s="330" t="s">
        <v>327</v>
      </c>
      <c r="D163" s="330" t="s">
        <v>1829</v>
      </c>
      <c r="E163" s="331">
        <v>1307030</v>
      </c>
      <c r="F163" s="330">
        <v>1.1599999999999999</v>
      </c>
      <c r="G163" s="26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8">
        <f>IF(R163="","",IF(LEN(R163)&gt;9,SUMIFS(Options!$AZ$3:$AZ$26,Options!$B$3:$B$26,'Check result'!R163),SUMIFS('Master P&amp;L'!$AE$11:$AE$93,'Master P&amp;L'!$B$11:$B$93,'Check result'!R163)))</f>
        <v>0</v>
      </c>
      <c r="U163" s="268">
        <f t="shared" si="15"/>
        <v>0</v>
      </c>
      <c r="V163" s="267">
        <f t="shared" si="16"/>
        <v>1307030</v>
      </c>
      <c r="W163">
        <f t="shared" si="17"/>
        <v>1.1599999999999999</v>
      </c>
    </row>
    <row r="164" spans="1:23">
      <c r="A164" s="329">
        <v>45840</v>
      </c>
      <c r="B164" s="330" t="s">
        <v>282</v>
      </c>
      <c r="C164" s="330" t="s">
        <v>317</v>
      </c>
      <c r="D164" s="330" t="s">
        <v>94</v>
      </c>
      <c r="E164" s="331">
        <v>1945989</v>
      </c>
      <c r="F164" s="330">
        <v>1.72</v>
      </c>
      <c r="G164" s="267">
        <f t="shared" si="18"/>
        <v>11313889534.88372</v>
      </c>
      <c r="R164" t="str">
        <f t="shared" si="13"/>
        <v>NVDA</v>
      </c>
      <c r="S164">
        <f t="shared" si="19"/>
        <v>1945989</v>
      </c>
      <c r="T164" s="268">
        <f>IF(R164="","",IF(LEN(R164)&gt;9,SUMIFS(Options!$AZ$3:$AZ$26,Options!$B$3:$B$26,'Check result'!R164),SUMIFS('Master P&amp;L'!$AE$11:$AE$93,'Master P&amp;L'!$B$11:$B$93,'Check result'!R164)))</f>
        <v>0</v>
      </c>
      <c r="U164" s="268">
        <f t="shared" si="15"/>
        <v>0</v>
      </c>
      <c r="V164" s="267">
        <f t="shared" si="16"/>
        <v>1945989</v>
      </c>
      <c r="W164">
        <f t="shared" si="17"/>
        <v>1.72</v>
      </c>
    </row>
    <row r="165" spans="1:23">
      <c r="A165" s="329">
        <v>45840</v>
      </c>
      <c r="B165" s="330" t="s">
        <v>282</v>
      </c>
      <c r="C165" s="330" t="s">
        <v>327</v>
      </c>
      <c r="D165" s="330" t="s">
        <v>1733</v>
      </c>
      <c r="E165" s="331">
        <v>2566077</v>
      </c>
      <c r="F165" s="330">
        <v>2.27</v>
      </c>
      <c r="G165" s="26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8">
        <f>IF(R165="","",IF(LEN(R165)&gt;9,SUMIFS(Options!$AZ$3:$AZ$26,Options!$B$3:$B$26,'Check result'!R165),SUMIFS('Master P&amp;L'!$AE$11:$AE$93,'Master P&amp;L'!$B$11:$B$93,'Check result'!R165)))</f>
        <v>0</v>
      </c>
      <c r="U165" s="268">
        <f t="shared" si="15"/>
        <v>0</v>
      </c>
      <c r="V165" s="26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19"/>
  <sheetViews>
    <sheetView workbookViewId="0">
      <selection activeCell="E26" sqref="E26"/>
    </sheetView>
  </sheetViews>
  <sheetFormatPr defaultRowHeight="15"/>
  <sheetData>
    <row r="1" spans="1:24">
      <c r="A1" s="501" t="s">
        <v>339</v>
      </c>
      <c r="B1" s="502" t="s">
        <v>1913</v>
      </c>
      <c r="C1" s="503" t="s">
        <v>1914</v>
      </c>
      <c r="D1" s="504" t="s">
        <v>1915</v>
      </c>
      <c r="E1" s="505" t="s">
        <v>1916</v>
      </c>
      <c r="F1" s="505" t="s">
        <v>1917</v>
      </c>
      <c r="G1" s="505" t="s">
        <v>203</v>
      </c>
      <c r="H1" s="505" t="s">
        <v>218</v>
      </c>
      <c r="I1" s="505" t="s">
        <v>1918</v>
      </c>
      <c r="J1" s="505" t="s">
        <v>1919</v>
      </c>
      <c r="K1" s="506" t="s">
        <v>1920</v>
      </c>
      <c r="L1" s="507" t="s">
        <v>1921</v>
      </c>
      <c r="M1" s="508" t="s">
        <v>1922</v>
      </c>
      <c r="N1" s="504" t="s">
        <v>1923</v>
      </c>
      <c r="O1" s="499" t="s">
        <v>1924</v>
      </c>
      <c r="P1" s="509" t="s">
        <v>1</v>
      </c>
      <c r="Q1" s="526" t="s">
        <v>1925</v>
      </c>
    </row>
    <row r="2" spans="1:24">
      <c r="A2" s="498">
        <v>46048</v>
      </c>
      <c r="B2" s="510" t="s">
        <v>1896</v>
      </c>
      <c r="C2" s="511" t="s">
        <v>1929</v>
      </c>
      <c r="D2" s="442" t="s">
        <v>1930</v>
      </c>
      <c r="E2" s="443">
        <v>46101</v>
      </c>
      <c r="F2" s="442" t="s">
        <v>1931</v>
      </c>
      <c r="G2" s="442" t="s">
        <v>1932</v>
      </c>
      <c r="H2" s="442" t="s">
        <v>2149</v>
      </c>
      <c r="I2" s="442" t="s">
        <v>1927</v>
      </c>
      <c r="J2" s="512">
        <v>113.34</v>
      </c>
      <c r="K2" s="442">
        <v>9.3400000000000034</v>
      </c>
      <c r="L2" s="451">
        <v>9.9975927599999999</v>
      </c>
      <c r="M2" s="513">
        <v>9.9975927599999999</v>
      </c>
      <c r="N2" s="512">
        <v>9.9975927599999999</v>
      </c>
      <c r="O2" s="514">
        <v>9.9975927599999999</v>
      </c>
      <c r="P2" s="515">
        <v>24.431659360000001</v>
      </c>
      <c r="Q2" s="527" t="s">
        <v>1928</v>
      </c>
      <c r="R2" s="414">
        <f>L2-L3</f>
        <v>7.5697813699999994</v>
      </c>
      <c r="T2" s="451">
        <v>8.64</v>
      </c>
      <c r="U2" s="414">
        <f>T2-T3</f>
        <v>7.08</v>
      </c>
      <c r="W2" s="451">
        <v>11.6</v>
      </c>
      <c r="X2" s="414">
        <f>W2-W3</f>
        <v>8.8999999999999986</v>
      </c>
    </row>
    <row r="3" spans="1:24">
      <c r="A3" s="498">
        <v>46048</v>
      </c>
      <c r="B3" s="510" t="s">
        <v>1897</v>
      </c>
      <c r="C3" s="511" t="s">
        <v>1934</v>
      </c>
      <c r="D3" s="442" t="s">
        <v>1930</v>
      </c>
      <c r="E3" s="443">
        <v>46101</v>
      </c>
      <c r="F3" s="442" t="s">
        <v>1931</v>
      </c>
      <c r="G3" s="442" t="s">
        <v>1932</v>
      </c>
      <c r="H3" s="442" t="s">
        <v>2150</v>
      </c>
      <c r="I3" s="442" t="s">
        <v>1927</v>
      </c>
      <c r="J3" s="512">
        <v>113.34</v>
      </c>
      <c r="K3" s="442">
        <v>0</v>
      </c>
      <c r="L3" s="451">
        <v>2.42781139</v>
      </c>
      <c r="M3" s="513">
        <v>2.42781139</v>
      </c>
      <c r="N3" s="512">
        <v>2.42781139</v>
      </c>
      <c r="O3" s="514">
        <v>2.42781139</v>
      </c>
      <c r="P3" s="515">
        <v>27.571599290000002</v>
      </c>
      <c r="Q3" s="527" t="s">
        <v>1933</v>
      </c>
      <c r="T3" s="451">
        <v>1.56</v>
      </c>
      <c r="W3" s="451">
        <v>2.7</v>
      </c>
    </row>
    <row r="4" spans="1:24">
      <c r="A4" s="498">
        <v>46048</v>
      </c>
      <c r="B4" s="510" t="s">
        <v>1939</v>
      </c>
      <c r="C4" s="511" t="s">
        <v>1940</v>
      </c>
      <c r="D4" s="442" t="s">
        <v>1941</v>
      </c>
      <c r="E4" s="443">
        <v>46280</v>
      </c>
      <c r="F4" s="442" t="s">
        <v>1931</v>
      </c>
      <c r="G4" s="442" t="s">
        <v>1932</v>
      </c>
      <c r="H4" s="442" t="s">
        <v>2151</v>
      </c>
      <c r="I4" s="442" t="s">
        <v>1927</v>
      </c>
      <c r="J4" s="516">
        <v>8423.01</v>
      </c>
      <c r="K4" s="442">
        <v>935.76100000000042</v>
      </c>
      <c r="L4" s="517">
        <v>1091.1217545526097</v>
      </c>
      <c r="M4" s="518">
        <v>1091.1217545526097</v>
      </c>
      <c r="N4" s="442">
        <v>1091.1217545526097</v>
      </c>
      <c r="O4" s="519">
        <v>970.83560327228486</v>
      </c>
      <c r="P4" s="520">
        <v>19.989195143404284</v>
      </c>
      <c r="Q4" s="527" t="s">
        <v>1928</v>
      </c>
    </row>
    <row r="5" spans="1:24">
      <c r="A5" s="498">
        <v>46048</v>
      </c>
      <c r="B5" s="510" t="s">
        <v>1942</v>
      </c>
      <c r="C5" s="511" t="s">
        <v>1943</v>
      </c>
      <c r="D5" s="442" t="s">
        <v>1941</v>
      </c>
      <c r="E5" s="443">
        <v>46280</v>
      </c>
      <c r="F5" s="442" t="s">
        <v>1931</v>
      </c>
      <c r="G5" s="442" t="s">
        <v>1932</v>
      </c>
      <c r="H5" s="442" t="s">
        <v>2152</v>
      </c>
      <c r="I5" s="442" t="s">
        <v>1927</v>
      </c>
      <c r="J5" s="516">
        <v>8423.01</v>
      </c>
      <c r="K5" s="442">
        <v>222.68970000000081</v>
      </c>
      <c r="L5" s="517">
        <v>638.1480678563845</v>
      </c>
      <c r="M5" s="518">
        <v>638.1480678563845</v>
      </c>
      <c r="N5" s="442">
        <v>638.1480678563845</v>
      </c>
      <c r="O5" s="519">
        <v>548.74888879242792</v>
      </c>
      <c r="P5" s="520">
        <v>19.989195143404284</v>
      </c>
      <c r="Q5" s="527" t="s">
        <v>1928</v>
      </c>
    </row>
    <row r="6" spans="1:24">
      <c r="A6" s="498">
        <v>46048</v>
      </c>
      <c r="B6" s="520" t="s">
        <v>1944</v>
      </c>
      <c r="C6" s="511" t="s">
        <v>1945</v>
      </c>
      <c r="D6" s="442" t="s">
        <v>1946</v>
      </c>
      <c r="E6" s="443">
        <v>46129</v>
      </c>
      <c r="F6" s="442" t="s">
        <v>1931</v>
      </c>
      <c r="G6" s="442" t="s">
        <v>194</v>
      </c>
      <c r="H6" s="442" t="s">
        <v>2153</v>
      </c>
      <c r="I6" s="442"/>
      <c r="J6" s="521">
        <v>2.8</v>
      </c>
      <c r="K6" s="442">
        <v>0.25</v>
      </c>
      <c r="L6" s="522">
        <v>0.32312161299111447</v>
      </c>
      <c r="M6" s="523">
        <v>0.32312161299111447</v>
      </c>
      <c r="N6" s="442">
        <v>0.32312161299111447</v>
      </c>
      <c r="O6" s="442">
        <v>0.32312161299111447</v>
      </c>
      <c r="P6" s="520">
        <v>29.158261122705138</v>
      </c>
      <c r="Q6" s="527" t="s">
        <v>1928</v>
      </c>
    </row>
    <row r="7" spans="1:24">
      <c r="A7" s="498">
        <v>46048</v>
      </c>
      <c r="B7" s="520" t="s">
        <v>1947</v>
      </c>
      <c r="C7" s="511" t="s">
        <v>1948</v>
      </c>
      <c r="D7" s="442" t="s">
        <v>1946</v>
      </c>
      <c r="E7" s="443">
        <v>46129</v>
      </c>
      <c r="F7" s="442" t="s">
        <v>1926</v>
      </c>
      <c r="G7" s="442" t="s">
        <v>194</v>
      </c>
      <c r="H7" s="442" t="s">
        <v>2154</v>
      </c>
      <c r="I7" s="442"/>
      <c r="J7" s="521">
        <v>2.8</v>
      </c>
      <c r="K7" s="442">
        <v>0</v>
      </c>
      <c r="L7" s="522">
        <v>7.6934724669938384E-3</v>
      </c>
      <c r="M7" s="523">
        <v>7.6934724669938384E-3</v>
      </c>
      <c r="N7" s="442">
        <v>7.6934724669938384E-3</v>
      </c>
      <c r="O7" s="442">
        <v>7.6934724669938384E-3</v>
      </c>
      <c r="P7" s="520">
        <v>44.768860729836859</v>
      </c>
      <c r="Q7" s="527" t="s">
        <v>1928</v>
      </c>
    </row>
    <row r="8" spans="1:24">
      <c r="A8" s="498">
        <v>46048</v>
      </c>
      <c r="B8" s="520" t="s">
        <v>1949</v>
      </c>
      <c r="C8" s="511" t="s">
        <v>1950</v>
      </c>
      <c r="D8" s="442" t="s">
        <v>1946</v>
      </c>
      <c r="E8" s="443">
        <v>46129</v>
      </c>
      <c r="F8" s="442" t="s">
        <v>1926</v>
      </c>
      <c r="G8" s="442" t="s">
        <v>194</v>
      </c>
      <c r="H8" s="442" t="s">
        <v>2155</v>
      </c>
      <c r="I8" s="442"/>
      <c r="J8" s="521">
        <v>2.8</v>
      </c>
      <c r="K8" s="442">
        <v>0</v>
      </c>
      <c r="L8" s="522">
        <v>1.5520704316820939E-2</v>
      </c>
      <c r="M8" s="523">
        <v>1.5520704316820939E-2</v>
      </c>
      <c r="N8" s="442">
        <v>1.5520704316820939E-2</v>
      </c>
      <c r="O8" s="442">
        <v>1.5520704316820939E-2</v>
      </c>
      <c r="P8" s="520">
        <v>34.948031475683564</v>
      </c>
      <c r="Q8" s="527" t="s">
        <v>1928</v>
      </c>
    </row>
    <row r="9" spans="1:24">
      <c r="A9" s="498">
        <v>46048</v>
      </c>
      <c r="B9" s="520" t="s">
        <v>2017</v>
      </c>
      <c r="C9" s="511" t="s">
        <v>2023</v>
      </c>
      <c r="D9" s="442" t="s">
        <v>1938</v>
      </c>
      <c r="E9" s="443">
        <v>46191</v>
      </c>
      <c r="F9" s="442" t="s">
        <v>1931</v>
      </c>
      <c r="G9" s="442" t="s">
        <v>194</v>
      </c>
      <c r="H9" s="442" t="s">
        <v>2156</v>
      </c>
      <c r="I9" s="442"/>
      <c r="J9" s="521">
        <v>332.71</v>
      </c>
      <c r="K9" s="442">
        <v>32.70999999999998</v>
      </c>
      <c r="L9" s="522">
        <v>51.95</v>
      </c>
      <c r="M9" s="523">
        <v>53.4</v>
      </c>
      <c r="N9" s="442">
        <v>52.674999999999997</v>
      </c>
      <c r="O9" s="442">
        <v>52.674999999999997</v>
      </c>
      <c r="P9" s="520"/>
      <c r="Q9" s="527" t="s">
        <v>1935</v>
      </c>
    </row>
    <row r="10" spans="1:24">
      <c r="A10" s="498">
        <v>46048</v>
      </c>
      <c r="B10" s="520" t="s">
        <v>2016</v>
      </c>
      <c r="C10" s="511" t="s">
        <v>2024</v>
      </c>
      <c r="D10" s="442" t="s">
        <v>1938</v>
      </c>
      <c r="E10" s="443">
        <v>46191</v>
      </c>
      <c r="F10" s="442" t="s">
        <v>1931</v>
      </c>
      <c r="G10" s="442" t="s">
        <v>194</v>
      </c>
      <c r="H10" s="442" t="s">
        <v>2157</v>
      </c>
      <c r="I10" s="442"/>
      <c r="J10" s="521">
        <v>332.71</v>
      </c>
      <c r="K10" s="442">
        <v>0</v>
      </c>
      <c r="L10" s="522">
        <v>18.600000000000001</v>
      </c>
      <c r="M10" s="523">
        <v>20</v>
      </c>
      <c r="N10" s="442">
        <v>19.3</v>
      </c>
      <c r="O10" s="442">
        <v>19.3</v>
      </c>
      <c r="P10" s="520"/>
      <c r="Q10" s="527" t="s">
        <v>1935</v>
      </c>
    </row>
    <row r="11" spans="1:24">
      <c r="A11" s="498">
        <v>46048</v>
      </c>
      <c r="B11" s="520" t="s">
        <v>2019</v>
      </c>
      <c r="C11" s="511" t="s">
        <v>2025</v>
      </c>
      <c r="D11" s="442" t="s">
        <v>1938</v>
      </c>
      <c r="E11" s="443">
        <v>46191</v>
      </c>
      <c r="F11" s="442" t="s">
        <v>1926</v>
      </c>
      <c r="G11" s="442" t="s">
        <v>194</v>
      </c>
      <c r="H11" s="442" t="s">
        <v>2158</v>
      </c>
      <c r="I11" s="442"/>
      <c r="J11" s="521">
        <v>332.71</v>
      </c>
      <c r="K11" s="442">
        <v>0</v>
      </c>
      <c r="L11" s="522">
        <v>4.9000000000000004</v>
      </c>
      <c r="M11" s="523">
        <v>5.35</v>
      </c>
      <c r="N11" s="442">
        <v>5.125</v>
      </c>
      <c r="O11" s="442">
        <v>5.125</v>
      </c>
      <c r="P11" s="520"/>
      <c r="Q11" s="527" t="s">
        <v>1935</v>
      </c>
    </row>
    <row r="12" spans="1:24">
      <c r="A12" s="498">
        <v>46048</v>
      </c>
      <c r="B12" s="520" t="s">
        <v>2018</v>
      </c>
      <c r="C12" s="511" t="s">
        <v>2026</v>
      </c>
      <c r="D12" s="442" t="s">
        <v>1938</v>
      </c>
      <c r="E12" s="443">
        <v>46191</v>
      </c>
      <c r="F12" s="442" t="s">
        <v>1926</v>
      </c>
      <c r="G12" s="442" t="s">
        <v>194</v>
      </c>
      <c r="H12" s="442" t="s">
        <v>2159</v>
      </c>
      <c r="I12" s="442"/>
      <c r="J12" s="521">
        <v>332.71</v>
      </c>
      <c r="K12" s="442">
        <v>0</v>
      </c>
      <c r="L12" s="522">
        <v>1.6</v>
      </c>
      <c r="M12" s="523">
        <v>2.58</v>
      </c>
      <c r="N12" s="442">
        <v>2.09</v>
      </c>
      <c r="O12" s="442">
        <v>2.09</v>
      </c>
      <c r="P12" s="520"/>
      <c r="Q12" s="527" t="s">
        <v>1935</v>
      </c>
    </row>
    <row r="13" spans="1:24">
      <c r="A13" s="498">
        <v>46048</v>
      </c>
      <c r="B13" s="520" t="s">
        <v>2022</v>
      </c>
      <c r="C13" s="511" t="s">
        <v>2027</v>
      </c>
      <c r="D13" s="442" t="s">
        <v>1937</v>
      </c>
      <c r="E13" s="443">
        <v>46191</v>
      </c>
      <c r="F13" s="442" t="s">
        <v>1926</v>
      </c>
      <c r="G13" s="442" t="s">
        <v>194</v>
      </c>
      <c r="H13" s="442" t="s">
        <v>2160</v>
      </c>
      <c r="I13" s="442"/>
      <c r="J13" s="521">
        <v>470.28</v>
      </c>
      <c r="K13" s="442">
        <v>0</v>
      </c>
      <c r="L13" s="522">
        <v>13.7</v>
      </c>
      <c r="M13" s="523">
        <v>13.85</v>
      </c>
      <c r="N13" s="442">
        <v>13.774999999999999</v>
      </c>
      <c r="O13" s="442">
        <v>13.774999999999999</v>
      </c>
      <c r="P13" s="520"/>
      <c r="Q13" s="527" t="s">
        <v>1935</v>
      </c>
    </row>
    <row r="14" spans="1:24">
      <c r="A14" s="498">
        <v>46048</v>
      </c>
      <c r="B14" s="520" t="s">
        <v>2021</v>
      </c>
      <c r="C14" s="511" t="s">
        <v>2028</v>
      </c>
      <c r="D14" s="442" t="s">
        <v>1937</v>
      </c>
      <c r="E14" s="443">
        <v>46191</v>
      </c>
      <c r="F14" s="442" t="s">
        <v>1931</v>
      </c>
      <c r="G14" s="442" t="s">
        <v>194</v>
      </c>
      <c r="H14" s="442" t="s">
        <v>2161</v>
      </c>
      <c r="I14" s="442"/>
      <c r="J14" s="521">
        <v>470.28</v>
      </c>
      <c r="K14" s="442">
        <v>0</v>
      </c>
      <c r="L14" s="522">
        <v>17.850000000000001</v>
      </c>
      <c r="M14" s="523">
        <v>18</v>
      </c>
      <c r="N14" s="442">
        <v>17.925000000000001</v>
      </c>
      <c r="O14" s="442">
        <v>17.925000000000001</v>
      </c>
      <c r="P14" s="520"/>
      <c r="Q14" s="527" t="s">
        <v>1935</v>
      </c>
    </row>
    <row r="15" spans="1:24">
      <c r="A15" s="498">
        <v>46048</v>
      </c>
      <c r="B15" s="520" t="s">
        <v>2020</v>
      </c>
      <c r="C15" s="511" t="s">
        <v>2029</v>
      </c>
      <c r="D15" s="442" t="s">
        <v>1937</v>
      </c>
      <c r="E15" s="443">
        <v>46191</v>
      </c>
      <c r="F15" s="442" t="s">
        <v>1931</v>
      </c>
      <c r="G15" s="442" t="s">
        <v>194</v>
      </c>
      <c r="H15" s="442" t="s">
        <v>2162</v>
      </c>
      <c r="I15" s="442"/>
      <c r="J15" s="521">
        <v>470.28</v>
      </c>
      <c r="K15" s="442">
        <v>0</v>
      </c>
      <c r="L15" s="522">
        <v>4.8</v>
      </c>
      <c r="M15" s="523">
        <v>4.95</v>
      </c>
      <c r="N15" s="442">
        <v>4.875</v>
      </c>
      <c r="O15" s="442">
        <v>4.875</v>
      </c>
      <c r="P15" s="520"/>
      <c r="Q15" s="527" t="s">
        <v>1935</v>
      </c>
    </row>
    <row r="16" spans="1:24">
      <c r="A16" s="498">
        <v>46048</v>
      </c>
      <c r="B16" s="520" t="s">
        <v>2031</v>
      </c>
      <c r="C16" s="511" t="s">
        <v>2032</v>
      </c>
      <c r="D16" s="442" t="s">
        <v>1951</v>
      </c>
      <c r="E16" s="443">
        <v>46101</v>
      </c>
      <c r="F16" s="442" t="s">
        <v>1926</v>
      </c>
      <c r="G16" s="442" t="s">
        <v>194</v>
      </c>
      <c r="H16" s="442" t="s">
        <v>2163</v>
      </c>
      <c r="I16" s="442"/>
      <c r="J16" s="521">
        <v>625.46</v>
      </c>
      <c r="K16" s="442">
        <v>0</v>
      </c>
      <c r="L16" s="522">
        <v>2.87</v>
      </c>
      <c r="M16" s="523">
        <v>2.92</v>
      </c>
      <c r="N16" s="442">
        <v>2.895</v>
      </c>
      <c r="O16" s="442">
        <v>2.895</v>
      </c>
      <c r="P16" s="520"/>
      <c r="Q16" s="527" t="s">
        <v>1935</v>
      </c>
    </row>
    <row r="17" spans="1:17">
      <c r="A17" s="498">
        <v>46048</v>
      </c>
      <c r="B17" s="520" t="s">
        <v>2030</v>
      </c>
      <c r="C17" s="511" t="s">
        <v>2034</v>
      </c>
      <c r="D17" s="442" t="s">
        <v>1951</v>
      </c>
      <c r="E17" s="443">
        <v>46101</v>
      </c>
      <c r="F17" s="442" t="s">
        <v>1926</v>
      </c>
      <c r="G17" s="442" t="s">
        <v>194</v>
      </c>
      <c r="H17" s="442" t="s">
        <v>2164</v>
      </c>
      <c r="I17" s="442"/>
      <c r="J17" s="521">
        <v>625.46</v>
      </c>
      <c r="K17" s="442">
        <v>0</v>
      </c>
      <c r="L17" s="522">
        <v>5.66</v>
      </c>
      <c r="M17" s="523">
        <v>5.71</v>
      </c>
      <c r="N17" s="442">
        <v>5.6850000000000005</v>
      </c>
      <c r="O17" s="442">
        <v>5.6850000000000005</v>
      </c>
      <c r="P17" s="520"/>
      <c r="Q17" s="527" t="s">
        <v>1935</v>
      </c>
    </row>
    <row r="18" spans="1:17">
      <c r="A18" s="498">
        <v>46048</v>
      </c>
      <c r="B18" s="520" t="s">
        <v>2035</v>
      </c>
      <c r="C18" s="511" t="s">
        <v>2038</v>
      </c>
      <c r="D18" s="442" t="s">
        <v>2033</v>
      </c>
      <c r="E18" s="443">
        <v>46191</v>
      </c>
      <c r="F18" s="442" t="s">
        <v>1931</v>
      </c>
      <c r="G18" s="442" t="s">
        <v>194</v>
      </c>
      <c r="H18" s="442" t="s">
        <v>2165</v>
      </c>
      <c r="I18" s="442"/>
      <c r="J18" s="521">
        <v>238.42</v>
      </c>
      <c r="K18" s="442">
        <v>8.4199999999999875</v>
      </c>
      <c r="L18" s="522">
        <v>27.15</v>
      </c>
      <c r="M18" s="523">
        <v>27.4</v>
      </c>
      <c r="N18" s="442">
        <v>27.274999999999999</v>
      </c>
      <c r="O18" s="442">
        <v>27.274999999999999</v>
      </c>
      <c r="P18" s="520"/>
      <c r="Q18" s="527" t="s">
        <v>1935</v>
      </c>
    </row>
    <row r="19" spans="1:17">
      <c r="A19" s="498">
        <v>46048</v>
      </c>
      <c r="B19" s="520" t="s">
        <v>2036</v>
      </c>
      <c r="C19" s="511" t="s">
        <v>2039</v>
      </c>
      <c r="D19" s="442" t="s">
        <v>2033</v>
      </c>
      <c r="E19" s="443">
        <v>46191</v>
      </c>
      <c r="F19" s="442" t="s">
        <v>1931</v>
      </c>
      <c r="G19" s="442" t="s">
        <v>194</v>
      </c>
      <c r="H19" s="442" t="s">
        <v>2166</v>
      </c>
      <c r="I19" s="442"/>
      <c r="J19" s="521">
        <v>238.42</v>
      </c>
      <c r="K19" s="442">
        <v>0</v>
      </c>
      <c r="L19" s="522">
        <v>13.4</v>
      </c>
      <c r="M19" s="523">
        <v>13.55</v>
      </c>
      <c r="N19" s="442">
        <v>13.475000000000001</v>
      </c>
      <c r="O19" s="442">
        <v>13.475000000000001</v>
      </c>
      <c r="P19" s="520"/>
      <c r="Q19" s="527" t="s">
        <v>1935</v>
      </c>
    </row>
    <row r="20" spans="1:17">
      <c r="A20" s="498">
        <v>46048</v>
      </c>
      <c r="B20" s="520" t="s">
        <v>2037</v>
      </c>
      <c r="C20" s="511" t="s">
        <v>2040</v>
      </c>
      <c r="D20" s="442" t="s">
        <v>2033</v>
      </c>
      <c r="E20" s="443">
        <v>46191</v>
      </c>
      <c r="F20" s="442" t="s">
        <v>1926</v>
      </c>
      <c r="G20" s="442" t="s">
        <v>194</v>
      </c>
      <c r="H20" s="442" t="s">
        <v>2167</v>
      </c>
      <c r="I20" s="442"/>
      <c r="J20" s="521">
        <v>238.42</v>
      </c>
      <c r="K20" s="442">
        <v>0</v>
      </c>
      <c r="L20" s="522">
        <v>6.1</v>
      </c>
      <c r="M20" s="523">
        <v>6.25</v>
      </c>
      <c r="N20" s="442">
        <v>6.1749999999999998</v>
      </c>
      <c r="O20" s="442">
        <v>6.1749999999999998</v>
      </c>
      <c r="P20" s="520"/>
      <c r="Q20" s="527" t="s">
        <v>1935</v>
      </c>
    </row>
    <row r="21" spans="1:17">
      <c r="A21" s="498">
        <v>46048</v>
      </c>
      <c r="B21" s="520" t="s">
        <v>2048</v>
      </c>
      <c r="C21" s="511" t="s">
        <v>2051</v>
      </c>
      <c r="D21" s="442" t="s">
        <v>1937</v>
      </c>
      <c r="E21" s="443">
        <v>46101</v>
      </c>
      <c r="F21" s="442" t="s">
        <v>1931</v>
      </c>
      <c r="G21" s="442" t="s">
        <v>194</v>
      </c>
      <c r="H21" s="442" t="s">
        <v>2169</v>
      </c>
      <c r="I21" s="442"/>
      <c r="J21" s="521">
        <v>470.28</v>
      </c>
      <c r="K21" s="442">
        <v>0</v>
      </c>
      <c r="L21" s="522">
        <v>13.4</v>
      </c>
      <c r="M21" s="523">
        <v>13.55</v>
      </c>
      <c r="N21" s="442">
        <v>13.475000000000001</v>
      </c>
      <c r="O21" s="442">
        <v>13.475000000000001</v>
      </c>
      <c r="P21" s="520"/>
      <c r="Q21" s="527" t="s">
        <v>1935</v>
      </c>
    </row>
    <row r="22" spans="1:17">
      <c r="A22" s="498">
        <v>46048</v>
      </c>
      <c r="B22" s="520" t="s">
        <v>2047</v>
      </c>
      <c r="C22" s="511" t="s">
        <v>2052</v>
      </c>
      <c r="D22" s="442" t="s">
        <v>1937</v>
      </c>
      <c r="E22" s="443">
        <v>46101</v>
      </c>
      <c r="F22" s="442" t="s">
        <v>1931</v>
      </c>
      <c r="G22" s="442" t="s">
        <v>194</v>
      </c>
      <c r="H22" s="442" t="s">
        <v>2161</v>
      </c>
      <c r="I22" s="442"/>
      <c r="J22" s="521">
        <v>470.28</v>
      </c>
      <c r="K22" s="442">
        <v>0</v>
      </c>
      <c r="L22" s="522">
        <v>6.45</v>
      </c>
      <c r="M22" s="523">
        <v>6.55</v>
      </c>
      <c r="N22" s="442">
        <v>6.5</v>
      </c>
      <c r="O22" s="442">
        <v>6.5</v>
      </c>
      <c r="P22" s="520"/>
      <c r="Q22" s="527" t="s">
        <v>1935</v>
      </c>
    </row>
    <row r="23" spans="1:17" ht="45">
      <c r="A23" s="498">
        <v>46048</v>
      </c>
      <c r="B23" s="500" t="s">
        <v>2050</v>
      </c>
      <c r="C23" s="511" t="s">
        <v>2053</v>
      </c>
      <c r="D23" s="442" t="s">
        <v>1937</v>
      </c>
      <c r="E23" s="443">
        <v>46101</v>
      </c>
      <c r="F23" s="442" t="s">
        <v>1926</v>
      </c>
      <c r="G23" s="442" t="s">
        <v>194</v>
      </c>
      <c r="H23" s="442" t="s">
        <v>2170</v>
      </c>
      <c r="I23" s="442"/>
      <c r="J23" s="521">
        <v>470.28</v>
      </c>
      <c r="K23" s="442">
        <v>0</v>
      </c>
      <c r="L23" s="522">
        <v>13.45</v>
      </c>
      <c r="M23" s="523">
        <v>13.65</v>
      </c>
      <c r="N23" s="442">
        <v>13.55</v>
      </c>
      <c r="O23" s="442">
        <v>13.55</v>
      </c>
      <c r="P23" s="520"/>
      <c r="Q23" s="527" t="s">
        <v>1935</v>
      </c>
    </row>
    <row r="24" spans="1:17" ht="45">
      <c r="A24" s="498">
        <v>46048</v>
      </c>
      <c r="B24" s="500" t="s">
        <v>2049</v>
      </c>
      <c r="C24" s="511" t="s">
        <v>2054</v>
      </c>
      <c r="D24" s="442" t="s">
        <v>1937</v>
      </c>
      <c r="E24" s="443">
        <v>46101</v>
      </c>
      <c r="F24" s="442" t="s">
        <v>1926</v>
      </c>
      <c r="G24" s="442" t="s">
        <v>194</v>
      </c>
      <c r="H24" s="442" t="s">
        <v>2171</v>
      </c>
      <c r="I24" s="442"/>
      <c r="J24" s="521">
        <v>470.28</v>
      </c>
      <c r="K24" s="442">
        <v>0</v>
      </c>
      <c r="L24" s="522">
        <v>17.55</v>
      </c>
      <c r="M24" s="523">
        <v>17.75</v>
      </c>
      <c r="N24" s="442">
        <v>17.649999999999999</v>
      </c>
      <c r="O24" s="442">
        <v>17.649999999999999</v>
      </c>
      <c r="P24" s="520"/>
      <c r="Q24" s="527" t="s">
        <v>1935</v>
      </c>
    </row>
    <row r="25" spans="1:17" ht="45">
      <c r="A25" s="498">
        <v>46048</v>
      </c>
      <c r="B25" s="500" t="s">
        <v>2058</v>
      </c>
      <c r="C25" s="511" t="s">
        <v>2060</v>
      </c>
      <c r="D25" s="442" t="s">
        <v>2061</v>
      </c>
      <c r="E25" s="443">
        <v>46101</v>
      </c>
      <c r="F25" s="442" t="s">
        <v>1926</v>
      </c>
      <c r="G25" s="442" t="s">
        <v>194</v>
      </c>
      <c r="H25" s="442" t="s">
        <v>2172</v>
      </c>
      <c r="I25" s="442"/>
      <c r="J25" s="521">
        <v>81.77</v>
      </c>
      <c r="K25" s="442">
        <v>0</v>
      </c>
      <c r="L25" s="522">
        <v>6.15</v>
      </c>
      <c r="M25" s="523">
        <v>6.3</v>
      </c>
      <c r="N25" s="442">
        <v>6.2249999999999996</v>
      </c>
      <c r="O25" s="442">
        <v>6.2249999999999996</v>
      </c>
      <c r="P25" s="520"/>
      <c r="Q25" s="527" t="s">
        <v>1935</v>
      </c>
    </row>
    <row r="26" spans="1:17" ht="45">
      <c r="A26" s="498">
        <v>46048</v>
      </c>
      <c r="B26" s="500" t="s">
        <v>2059</v>
      </c>
      <c r="C26" s="511" t="s">
        <v>2062</v>
      </c>
      <c r="D26" s="442" t="s">
        <v>2061</v>
      </c>
      <c r="E26" s="443">
        <v>46101</v>
      </c>
      <c r="F26" s="442" t="s">
        <v>1926</v>
      </c>
      <c r="G26" s="442" t="s">
        <v>194</v>
      </c>
      <c r="H26" s="442" t="s">
        <v>2173</v>
      </c>
      <c r="I26" s="442"/>
      <c r="J26" s="521">
        <v>81.77</v>
      </c>
      <c r="K26" s="442">
        <v>8.230000000000004</v>
      </c>
      <c r="L26" s="522">
        <v>12.05</v>
      </c>
      <c r="M26" s="523">
        <v>12.35</v>
      </c>
      <c r="N26" s="442">
        <v>12.2</v>
      </c>
      <c r="O26" s="442">
        <v>12.2</v>
      </c>
      <c r="P26" s="520"/>
      <c r="Q26" s="527" t="s">
        <v>1935</v>
      </c>
    </row>
    <row r="27" spans="1:17" ht="45">
      <c r="A27" s="498">
        <v>46048</v>
      </c>
      <c r="B27" s="500" t="s">
        <v>2065</v>
      </c>
      <c r="C27" s="511" t="s">
        <v>2066</v>
      </c>
      <c r="D27" s="442" t="s">
        <v>1936</v>
      </c>
      <c r="E27" s="443">
        <v>46038</v>
      </c>
      <c r="F27" s="442" t="s">
        <v>1926</v>
      </c>
      <c r="G27" s="442" t="s">
        <v>194</v>
      </c>
      <c r="H27" s="442" t="s">
        <v>2174</v>
      </c>
      <c r="I27" s="442"/>
      <c r="J27" s="516">
        <v>36.61</v>
      </c>
      <c r="K27" s="442">
        <v>0</v>
      </c>
      <c r="L27" s="517">
        <v>0.83499999999999996</v>
      </c>
      <c r="M27" s="518">
        <v>0.83499999999999996</v>
      </c>
      <c r="N27" s="442">
        <v>0.83499999999999996</v>
      </c>
      <c r="O27" s="442">
        <v>0.83499999999999996</v>
      </c>
      <c r="P27" s="520">
        <v>0</v>
      </c>
      <c r="Q27" s="527" t="s">
        <v>1928</v>
      </c>
    </row>
    <row r="28" spans="1:17" ht="45">
      <c r="A28" s="498">
        <v>46048</v>
      </c>
      <c r="B28" s="500" t="s">
        <v>2068</v>
      </c>
      <c r="C28" s="511" t="s">
        <v>2070</v>
      </c>
      <c r="D28" s="442" t="s">
        <v>2071</v>
      </c>
      <c r="E28" s="443">
        <v>46129</v>
      </c>
      <c r="F28" s="442" t="s">
        <v>1931</v>
      </c>
      <c r="G28" s="442" t="s">
        <v>194</v>
      </c>
      <c r="H28" s="442" t="s">
        <v>2175</v>
      </c>
      <c r="I28" s="442"/>
      <c r="J28" s="521">
        <v>672.36</v>
      </c>
      <c r="K28" s="442">
        <v>0</v>
      </c>
      <c r="L28" s="522">
        <v>41.05</v>
      </c>
      <c r="M28" s="523">
        <v>41.3</v>
      </c>
      <c r="N28" s="442">
        <v>41.174999999999997</v>
      </c>
      <c r="O28" s="442">
        <v>41.174999999999997</v>
      </c>
      <c r="P28" s="520"/>
      <c r="Q28" s="527" t="s">
        <v>1935</v>
      </c>
    </row>
    <row r="29" spans="1:17">
      <c r="A29" s="498">
        <v>46048</v>
      </c>
      <c r="B29" s="510" t="s">
        <v>2067</v>
      </c>
      <c r="C29" s="511" t="s">
        <v>2072</v>
      </c>
      <c r="D29" s="442" t="s">
        <v>2071</v>
      </c>
      <c r="E29" s="443">
        <v>46129</v>
      </c>
      <c r="F29" s="442" t="s">
        <v>1931</v>
      </c>
      <c r="G29" s="442" t="s">
        <v>194</v>
      </c>
      <c r="H29" s="442" t="s">
        <v>2176</v>
      </c>
      <c r="I29" s="442"/>
      <c r="J29" s="521">
        <v>672.36</v>
      </c>
      <c r="K29" s="442">
        <v>0</v>
      </c>
      <c r="L29" s="522">
        <v>20.85</v>
      </c>
      <c r="M29" s="523">
        <v>21.1</v>
      </c>
      <c r="N29" s="442">
        <v>20.975000000000001</v>
      </c>
      <c r="O29" s="442">
        <v>20.975000000000001</v>
      </c>
      <c r="P29" s="520"/>
      <c r="Q29" s="527" t="s">
        <v>1935</v>
      </c>
    </row>
    <row r="30" spans="1:17" ht="45">
      <c r="A30" s="498">
        <v>46048</v>
      </c>
      <c r="B30" s="500" t="s">
        <v>2069</v>
      </c>
      <c r="C30" s="511" t="s">
        <v>2073</v>
      </c>
      <c r="D30" s="442" t="s">
        <v>2071</v>
      </c>
      <c r="E30" s="443">
        <v>46129</v>
      </c>
      <c r="F30" s="442" t="s">
        <v>1926</v>
      </c>
      <c r="G30" s="442" t="s">
        <v>194</v>
      </c>
      <c r="H30" s="442" t="s">
        <v>2177</v>
      </c>
      <c r="I30" s="442"/>
      <c r="J30" s="521">
        <v>672.36</v>
      </c>
      <c r="K30" s="442">
        <v>0</v>
      </c>
      <c r="L30" s="522">
        <v>14.2</v>
      </c>
      <c r="M30" s="523">
        <v>14.4</v>
      </c>
      <c r="N30" s="442">
        <v>14.3</v>
      </c>
      <c r="O30" s="442">
        <v>14.3</v>
      </c>
      <c r="P30" s="520"/>
      <c r="Q30" s="527" t="s">
        <v>1935</v>
      </c>
    </row>
    <row r="31" spans="1:17" ht="45">
      <c r="A31" s="498">
        <v>46048</v>
      </c>
      <c r="B31" s="500" t="s">
        <v>2075</v>
      </c>
      <c r="C31" s="511" t="s">
        <v>2080</v>
      </c>
      <c r="D31" s="442" t="s">
        <v>2081</v>
      </c>
      <c r="E31" s="443">
        <v>46073</v>
      </c>
      <c r="F31" s="442" t="s">
        <v>1931</v>
      </c>
      <c r="G31" s="442" t="s">
        <v>194</v>
      </c>
      <c r="H31" s="442" t="s">
        <v>2178</v>
      </c>
      <c r="I31" s="442"/>
      <c r="J31" s="521">
        <v>332.45</v>
      </c>
      <c r="K31" s="442">
        <v>0</v>
      </c>
      <c r="L31" s="522">
        <v>9.6</v>
      </c>
      <c r="M31" s="523">
        <v>11.4</v>
      </c>
      <c r="N31" s="442">
        <v>10.5</v>
      </c>
      <c r="O31" s="442">
        <v>10.5</v>
      </c>
      <c r="P31" s="520"/>
      <c r="Q31" s="527" t="s">
        <v>1935</v>
      </c>
    </row>
    <row r="32" spans="1:17" ht="45">
      <c r="A32" s="498">
        <v>46048</v>
      </c>
      <c r="B32" s="500" t="s">
        <v>2074</v>
      </c>
      <c r="C32" s="511" t="s">
        <v>2082</v>
      </c>
      <c r="D32" s="442" t="s">
        <v>2081</v>
      </c>
      <c r="E32" s="443">
        <v>46073</v>
      </c>
      <c r="F32" s="442" t="s">
        <v>1931</v>
      </c>
      <c r="G32" s="442" t="s">
        <v>194</v>
      </c>
      <c r="H32" s="442" t="s">
        <v>2179</v>
      </c>
      <c r="I32" s="442"/>
      <c r="J32" s="521">
        <v>332.45</v>
      </c>
      <c r="K32" s="442">
        <v>0</v>
      </c>
      <c r="L32" s="522">
        <v>16.100000000000001</v>
      </c>
      <c r="M32" s="523">
        <v>18.899999999999999</v>
      </c>
      <c r="N32" s="442">
        <v>17.5</v>
      </c>
      <c r="O32" s="442">
        <v>17.5</v>
      </c>
      <c r="P32" s="520"/>
      <c r="Q32" s="527" t="s">
        <v>1935</v>
      </c>
    </row>
    <row r="33" spans="1:17" ht="45">
      <c r="A33" s="498">
        <v>46048</v>
      </c>
      <c r="B33" s="500" t="s">
        <v>2078</v>
      </c>
      <c r="C33" s="511" t="s">
        <v>2083</v>
      </c>
      <c r="D33" s="442" t="s">
        <v>2084</v>
      </c>
      <c r="E33" s="443">
        <v>46101</v>
      </c>
      <c r="F33" s="442" t="s">
        <v>1931</v>
      </c>
      <c r="G33" s="442" t="s">
        <v>194</v>
      </c>
      <c r="H33" s="442" t="s">
        <v>2159</v>
      </c>
      <c r="I33" s="442"/>
      <c r="J33" s="521">
        <v>197.76</v>
      </c>
      <c r="K33" s="442">
        <v>0</v>
      </c>
      <c r="L33" s="522">
        <v>19.7</v>
      </c>
      <c r="M33" s="523">
        <v>22.4</v>
      </c>
      <c r="N33" s="442">
        <v>21.049999999999997</v>
      </c>
      <c r="O33" s="442">
        <v>21.049999999999997</v>
      </c>
      <c r="P33" s="520"/>
      <c r="Q33" s="527" t="s">
        <v>1935</v>
      </c>
    </row>
    <row r="34" spans="1:17" ht="45">
      <c r="A34" s="498">
        <v>46048</v>
      </c>
      <c r="B34" s="500" t="s">
        <v>2079</v>
      </c>
      <c r="C34" s="511" t="s">
        <v>2085</v>
      </c>
      <c r="D34" s="442" t="s">
        <v>2084</v>
      </c>
      <c r="E34" s="443">
        <v>46101</v>
      </c>
      <c r="F34" s="442" t="s">
        <v>1931</v>
      </c>
      <c r="G34" s="442" t="s">
        <v>194</v>
      </c>
      <c r="H34" s="442" t="s">
        <v>2158</v>
      </c>
      <c r="I34" s="442"/>
      <c r="J34" s="521">
        <v>197.76</v>
      </c>
      <c r="K34" s="442">
        <v>0</v>
      </c>
      <c r="L34" s="522">
        <v>9.4</v>
      </c>
      <c r="M34" s="523">
        <v>11.1</v>
      </c>
      <c r="N34" s="442">
        <v>10.25</v>
      </c>
      <c r="O34" s="442">
        <v>10.25</v>
      </c>
      <c r="P34" s="520"/>
      <c r="Q34" s="527" t="s">
        <v>1935</v>
      </c>
    </row>
    <row r="35" spans="1:17" ht="45">
      <c r="A35" s="498">
        <v>46048</v>
      </c>
      <c r="B35" s="500" t="s">
        <v>2091</v>
      </c>
      <c r="C35" s="511" t="s">
        <v>2093</v>
      </c>
      <c r="D35" s="442" t="s">
        <v>2094</v>
      </c>
      <c r="E35" s="443">
        <v>46101</v>
      </c>
      <c r="F35" s="442" t="s">
        <v>1931</v>
      </c>
      <c r="G35" s="442" t="s">
        <v>194</v>
      </c>
      <c r="H35" s="442" t="s">
        <v>2149</v>
      </c>
      <c r="I35" s="442"/>
      <c r="J35" s="521">
        <v>85.7</v>
      </c>
      <c r="K35" s="442">
        <v>0</v>
      </c>
      <c r="L35" s="522">
        <v>0.4</v>
      </c>
      <c r="M35" s="523">
        <v>0.48</v>
      </c>
      <c r="N35" s="442">
        <v>0.44</v>
      </c>
      <c r="O35" s="442">
        <v>0.44</v>
      </c>
      <c r="P35" s="520"/>
      <c r="Q35" s="527" t="s">
        <v>1935</v>
      </c>
    </row>
    <row r="36" spans="1:17" ht="45">
      <c r="A36" s="498">
        <v>46048</v>
      </c>
      <c r="B36" s="500" t="s">
        <v>2092</v>
      </c>
      <c r="C36" s="511" t="s">
        <v>2095</v>
      </c>
      <c r="D36" s="442" t="s">
        <v>2094</v>
      </c>
      <c r="E36" s="443">
        <v>46101</v>
      </c>
      <c r="F36" s="442" t="s">
        <v>1926</v>
      </c>
      <c r="G36" s="442" t="s">
        <v>194</v>
      </c>
      <c r="H36" s="442" t="s">
        <v>2180</v>
      </c>
      <c r="I36" s="442"/>
      <c r="J36" s="521">
        <v>85.7</v>
      </c>
      <c r="K36" s="442">
        <v>0</v>
      </c>
      <c r="L36" s="522">
        <v>2.61</v>
      </c>
      <c r="M36" s="523">
        <v>2.69</v>
      </c>
      <c r="N36" s="442">
        <v>2.65</v>
      </c>
      <c r="O36" s="442">
        <v>2.65</v>
      </c>
      <c r="P36" s="520"/>
      <c r="Q36" s="527" t="s">
        <v>1935</v>
      </c>
    </row>
    <row r="37" spans="1:17" ht="45">
      <c r="A37" s="498">
        <v>46048</v>
      </c>
      <c r="B37" s="500" t="s">
        <v>2090</v>
      </c>
      <c r="C37" s="511" t="s">
        <v>2096</v>
      </c>
      <c r="D37" s="442" t="s">
        <v>2094</v>
      </c>
      <c r="E37" s="443">
        <v>46101</v>
      </c>
      <c r="F37" s="442" t="s">
        <v>1926</v>
      </c>
      <c r="G37" s="442" t="s">
        <v>194</v>
      </c>
      <c r="H37" s="442" t="s">
        <v>2181</v>
      </c>
      <c r="I37" s="442"/>
      <c r="J37" s="521">
        <v>85.7</v>
      </c>
      <c r="K37" s="442">
        <v>6.2999999999999972</v>
      </c>
      <c r="L37" s="522">
        <v>7.65</v>
      </c>
      <c r="M37" s="523">
        <v>7.85</v>
      </c>
      <c r="N37" s="442">
        <v>7.75</v>
      </c>
      <c r="O37" s="442">
        <v>7.75</v>
      </c>
      <c r="P37" s="520"/>
      <c r="Q37" s="527" t="s">
        <v>1935</v>
      </c>
    </row>
    <row r="38" spans="1:17" ht="45">
      <c r="A38" s="498">
        <v>46048</v>
      </c>
      <c r="B38" s="500" t="s">
        <v>2098</v>
      </c>
      <c r="C38" s="511" t="s">
        <v>2101</v>
      </c>
      <c r="D38" s="442" t="s">
        <v>2061</v>
      </c>
      <c r="E38" s="443">
        <v>46101</v>
      </c>
      <c r="F38" s="442" t="s">
        <v>1926</v>
      </c>
      <c r="G38" s="442" t="s">
        <v>194</v>
      </c>
      <c r="H38" s="442" t="s">
        <v>2182</v>
      </c>
      <c r="I38" s="442"/>
      <c r="J38" s="521">
        <v>81.77</v>
      </c>
      <c r="K38" s="442">
        <v>0</v>
      </c>
      <c r="L38" s="522">
        <v>4</v>
      </c>
      <c r="M38" s="523">
        <v>4.1500000000000004</v>
      </c>
      <c r="N38" s="442">
        <v>4.0750000000000002</v>
      </c>
      <c r="O38" s="442">
        <v>4.0750000000000002</v>
      </c>
      <c r="P38" s="520"/>
      <c r="Q38" s="527" t="s">
        <v>1935</v>
      </c>
    </row>
    <row r="39" spans="1:17" ht="45">
      <c r="A39" s="498">
        <v>46048</v>
      </c>
      <c r="B39" s="500" t="s">
        <v>2097</v>
      </c>
      <c r="C39" s="511" t="s">
        <v>2102</v>
      </c>
      <c r="D39" s="442" t="s">
        <v>2061</v>
      </c>
      <c r="E39" s="443">
        <v>46101</v>
      </c>
      <c r="F39" s="442" t="s">
        <v>1926</v>
      </c>
      <c r="G39" s="442" t="s">
        <v>194</v>
      </c>
      <c r="H39" s="442" t="s">
        <v>2183</v>
      </c>
      <c r="I39" s="442"/>
      <c r="J39" s="521">
        <v>81.77</v>
      </c>
      <c r="K39" s="442">
        <v>3.230000000000004</v>
      </c>
      <c r="L39" s="522">
        <v>8.85</v>
      </c>
      <c r="M39" s="523">
        <v>9.0500000000000007</v>
      </c>
      <c r="N39" s="442">
        <v>8.9499999999999993</v>
      </c>
      <c r="O39" s="442">
        <v>8.9499999999999993</v>
      </c>
      <c r="P39" s="520"/>
      <c r="Q39" s="527" t="s">
        <v>1935</v>
      </c>
    </row>
    <row r="40" spans="1:17" ht="45">
      <c r="A40" s="498">
        <v>46048</v>
      </c>
      <c r="B40" s="500" t="s">
        <v>2105</v>
      </c>
      <c r="C40" s="511" t="s">
        <v>2111</v>
      </c>
      <c r="D40" s="442" t="s">
        <v>2112</v>
      </c>
      <c r="E40" s="443">
        <v>46191</v>
      </c>
      <c r="F40" s="442" t="s">
        <v>1931</v>
      </c>
      <c r="G40" s="442" t="s">
        <v>194</v>
      </c>
      <c r="H40" s="442" t="s">
        <v>2184</v>
      </c>
      <c r="I40" s="442"/>
      <c r="J40" s="521">
        <v>324.85000000000002</v>
      </c>
      <c r="K40" s="442">
        <v>0</v>
      </c>
      <c r="L40" s="522">
        <v>31.75</v>
      </c>
      <c r="M40" s="523">
        <v>32</v>
      </c>
      <c r="N40" s="442">
        <v>31.875</v>
      </c>
      <c r="O40" s="442">
        <v>31.875</v>
      </c>
      <c r="P40" s="520"/>
      <c r="Q40" s="527" t="s">
        <v>1935</v>
      </c>
    </row>
    <row r="41" spans="1:17" ht="45">
      <c r="A41" s="498">
        <v>46048</v>
      </c>
      <c r="B41" s="500" t="s">
        <v>2107</v>
      </c>
      <c r="C41" s="511" t="s">
        <v>2113</v>
      </c>
      <c r="D41" s="442" t="s">
        <v>2112</v>
      </c>
      <c r="E41" s="443">
        <v>46191</v>
      </c>
      <c r="F41" s="442" t="s">
        <v>1931</v>
      </c>
      <c r="G41" s="442" t="s">
        <v>194</v>
      </c>
      <c r="H41" s="442" t="s">
        <v>2185</v>
      </c>
      <c r="I41" s="442"/>
      <c r="J41" s="521">
        <v>324.85000000000002</v>
      </c>
      <c r="K41" s="442">
        <v>0</v>
      </c>
      <c r="L41" s="522">
        <v>15.55</v>
      </c>
      <c r="M41" s="523">
        <v>15.75</v>
      </c>
      <c r="N41" s="442">
        <v>15.65</v>
      </c>
      <c r="O41" s="442">
        <v>15.65</v>
      </c>
      <c r="P41" s="520"/>
      <c r="Q41" s="527" t="s">
        <v>1935</v>
      </c>
    </row>
    <row r="42" spans="1:17" ht="45">
      <c r="A42" s="498">
        <v>46048</v>
      </c>
      <c r="B42" s="500" t="s">
        <v>2106</v>
      </c>
      <c r="C42" s="511" t="s">
        <v>2114</v>
      </c>
      <c r="D42" s="442" t="s">
        <v>2112</v>
      </c>
      <c r="E42" s="443">
        <v>46191</v>
      </c>
      <c r="F42" s="442" t="s">
        <v>1926</v>
      </c>
      <c r="G42" s="442" t="s">
        <v>194</v>
      </c>
      <c r="H42" s="442" t="s">
        <v>2186</v>
      </c>
      <c r="I42" s="442"/>
      <c r="J42" s="521">
        <v>324.85000000000002</v>
      </c>
      <c r="K42" s="442">
        <v>0</v>
      </c>
      <c r="L42" s="522">
        <v>15.55</v>
      </c>
      <c r="M42" s="523">
        <v>15.75</v>
      </c>
      <c r="N42" s="442">
        <v>15.65</v>
      </c>
      <c r="O42" s="442">
        <v>15.65</v>
      </c>
      <c r="P42" s="520"/>
      <c r="Q42" s="527" t="s">
        <v>1935</v>
      </c>
    </row>
    <row r="43" spans="1:17" ht="45">
      <c r="A43" s="498">
        <v>46048</v>
      </c>
      <c r="B43" s="500" t="s">
        <v>2104</v>
      </c>
      <c r="C43" s="511" t="s">
        <v>2115</v>
      </c>
      <c r="D43" s="442" t="s">
        <v>2112</v>
      </c>
      <c r="E43" s="443">
        <v>46191</v>
      </c>
      <c r="F43" s="442" t="s">
        <v>1926</v>
      </c>
      <c r="G43" s="442" t="s">
        <v>194</v>
      </c>
      <c r="H43" s="442" t="s">
        <v>2156</v>
      </c>
      <c r="I43" s="442"/>
      <c r="J43" s="521">
        <v>324.85000000000002</v>
      </c>
      <c r="K43" s="442">
        <v>0</v>
      </c>
      <c r="L43" s="522">
        <v>26.1</v>
      </c>
      <c r="M43" s="523">
        <v>26.35</v>
      </c>
      <c r="N43" s="442">
        <v>26.225000000000001</v>
      </c>
      <c r="O43" s="442">
        <v>26.225000000000001</v>
      </c>
      <c r="P43" s="520"/>
      <c r="Q43" s="527" t="s">
        <v>1935</v>
      </c>
    </row>
    <row r="44" spans="1:17" ht="45">
      <c r="A44" s="498">
        <v>46048</v>
      </c>
      <c r="B44" s="500" t="s">
        <v>2108</v>
      </c>
      <c r="C44" s="511" t="s">
        <v>2116</v>
      </c>
      <c r="D44" s="442" t="s">
        <v>2071</v>
      </c>
      <c r="E44" s="443">
        <v>46129</v>
      </c>
      <c r="F44" s="442" t="s">
        <v>1926</v>
      </c>
      <c r="G44" s="442" t="s">
        <v>194</v>
      </c>
      <c r="H44" s="442" t="s">
        <v>2187</v>
      </c>
      <c r="I44" s="442"/>
      <c r="J44" s="521">
        <v>672.36</v>
      </c>
      <c r="K44" s="442">
        <v>0</v>
      </c>
      <c r="L44" s="522">
        <v>16.55</v>
      </c>
      <c r="M44" s="523">
        <v>16.8</v>
      </c>
      <c r="N44" s="442">
        <v>16.675000000000001</v>
      </c>
      <c r="O44" s="442">
        <v>16.675000000000001</v>
      </c>
      <c r="P44" s="520"/>
      <c r="Q44" s="527" t="s">
        <v>1935</v>
      </c>
    </row>
    <row r="45" spans="1:17" ht="45">
      <c r="A45" s="498">
        <v>46048</v>
      </c>
      <c r="B45" s="500" t="s">
        <v>2100</v>
      </c>
      <c r="C45" s="511" t="s">
        <v>2117</v>
      </c>
      <c r="D45" s="442" t="s">
        <v>1938</v>
      </c>
      <c r="E45" s="443">
        <v>46101</v>
      </c>
      <c r="F45" s="442" t="s">
        <v>1931</v>
      </c>
      <c r="G45" s="442" t="s">
        <v>194</v>
      </c>
      <c r="H45" s="442" t="s">
        <v>2168</v>
      </c>
      <c r="I45" s="442"/>
      <c r="J45" s="521">
        <v>332.71</v>
      </c>
      <c r="K45" s="442">
        <v>2.7099999999999795</v>
      </c>
      <c r="L45" s="522">
        <v>19.05</v>
      </c>
      <c r="M45" s="523">
        <v>20.3</v>
      </c>
      <c r="N45" s="442">
        <v>19.675000000000001</v>
      </c>
      <c r="O45" s="442">
        <v>19.675000000000001</v>
      </c>
      <c r="P45" s="520"/>
      <c r="Q45" s="527" t="s">
        <v>1935</v>
      </c>
    </row>
    <row r="46" spans="1:17" ht="45">
      <c r="A46" s="498">
        <v>46048</v>
      </c>
      <c r="B46" s="500" t="s">
        <v>2099</v>
      </c>
      <c r="C46" s="511" t="s">
        <v>2118</v>
      </c>
      <c r="D46" s="442" t="s">
        <v>1938</v>
      </c>
      <c r="E46" s="443">
        <v>46101</v>
      </c>
      <c r="F46" s="442" t="s">
        <v>1931</v>
      </c>
      <c r="G46" s="442" t="s">
        <v>194</v>
      </c>
      <c r="H46" s="442" t="s">
        <v>2156</v>
      </c>
      <c r="I46" s="442"/>
      <c r="J46" s="521">
        <v>332.71</v>
      </c>
      <c r="K46" s="442">
        <v>32.70999999999998</v>
      </c>
      <c r="L46" s="522">
        <v>38.4</v>
      </c>
      <c r="M46" s="523">
        <v>41.75</v>
      </c>
      <c r="N46" s="442">
        <v>40.075000000000003</v>
      </c>
      <c r="O46" s="442">
        <v>40.075000000000003</v>
      </c>
      <c r="P46" s="520"/>
      <c r="Q46" s="527" t="s">
        <v>1935</v>
      </c>
    </row>
    <row r="47" spans="1:17" ht="45">
      <c r="A47" s="498">
        <v>46048</v>
      </c>
      <c r="B47" s="500" t="s">
        <v>2109</v>
      </c>
      <c r="C47" s="511" t="s">
        <v>2119</v>
      </c>
      <c r="D47" s="442" t="s">
        <v>2071</v>
      </c>
      <c r="E47" s="443">
        <v>46129</v>
      </c>
      <c r="F47" s="442" t="s">
        <v>1926</v>
      </c>
      <c r="G47" s="442" t="s">
        <v>194</v>
      </c>
      <c r="H47" s="442" t="s">
        <v>2188</v>
      </c>
      <c r="I47" s="442"/>
      <c r="J47" s="521">
        <v>672.36</v>
      </c>
      <c r="K47" s="442">
        <v>0</v>
      </c>
      <c r="L47" s="522">
        <v>10.3</v>
      </c>
      <c r="M47" s="523">
        <v>10.55</v>
      </c>
      <c r="N47" s="442">
        <v>10.425000000000001</v>
      </c>
      <c r="O47" s="442">
        <v>10.425000000000001</v>
      </c>
      <c r="P47" s="520"/>
      <c r="Q47" s="527" t="s">
        <v>1935</v>
      </c>
    </row>
    <row r="48" spans="1:17">
      <c r="A48" s="498">
        <v>46048</v>
      </c>
      <c r="B48" s="524" t="s">
        <v>2228</v>
      </c>
      <c r="C48" s="511" t="s">
        <v>2233</v>
      </c>
      <c r="D48" s="442" t="s">
        <v>1938</v>
      </c>
      <c r="E48" s="443">
        <v>46191</v>
      </c>
      <c r="F48" s="442" t="s">
        <v>1931</v>
      </c>
      <c r="G48" s="442" t="s">
        <v>194</v>
      </c>
      <c r="H48" s="442" t="s">
        <v>2234</v>
      </c>
      <c r="I48" s="442"/>
      <c r="J48" s="521">
        <v>332.71</v>
      </c>
      <c r="K48" s="442">
        <v>0</v>
      </c>
      <c r="L48" s="522">
        <v>29</v>
      </c>
      <c r="M48" s="523">
        <v>30.55</v>
      </c>
      <c r="N48" s="442">
        <v>29.774999999999999</v>
      </c>
      <c r="O48" s="442">
        <v>29.774999999999999</v>
      </c>
      <c r="P48" s="520"/>
      <c r="Q48" s="527" t="s">
        <v>1935</v>
      </c>
    </row>
    <row r="49" spans="1:17">
      <c r="A49" s="498">
        <v>46048</v>
      </c>
      <c r="B49" s="524" t="s">
        <v>2229</v>
      </c>
      <c r="C49" s="511" t="s">
        <v>2235</v>
      </c>
      <c r="D49" s="442" t="s">
        <v>1938</v>
      </c>
      <c r="E49" s="443">
        <v>46191</v>
      </c>
      <c r="F49" s="442" t="s">
        <v>1931</v>
      </c>
      <c r="G49" s="442" t="s">
        <v>194</v>
      </c>
      <c r="H49" s="442" t="s">
        <v>2236</v>
      </c>
      <c r="I49" s="442"/>
      <c r="J49" s="521">
        <v>332.71</v>
      </c>
      <c r="K49" s="442">
        <v>0</v>
      </c>
      <c r="L49" s="522">
        <v>15.8</v>
      </c>
      <c r="M49" s="523">
        <v>17.3</v>
      </c>
      <c r="N49" s="442">
        <v>16.55</v>
      </c>
      <c r="O49" s="442">
        <v>16.55</v>
      </c>
      <c r="P49" s="520"/>
      <c r="Q49" s="527" t="s">
        <v>1935</v>
      </c>
    </row>
    <row r="50" spans="1:17">
      <c r="A50" s="498">
        <v>46048</v>
      </c>
      <c r="B50" s="524" t="s">
        <v>2227</v>
      </c>
      <c r="C50" s="511" t="s">
        <v>2237</v>
      </c>
      <c r="D50" s="442" t="s">
        <v>2238</v>
      </c>
      <c r="E50" s="443">
        <v>46073</v>
      </c>
      <c r="F50" s="442" t="s">
        <v>1931</v>
      </c>
      <c r="G50" s="442" t="s">
        <v>194</v>
      </c>
      <c r="H50" s="442" t="s">
        <v>2239</v>
      </c>
      <c r="I50" s="442"/>
      <c r="J50" s="516">
        <v>33.700000000000003</v>
      </c>
      <c r="K50" s="442">
        <v>0</v>
      </c>
      <c r="L50" s="517">
        <v>0.24809178124115283</v>
      </c>
      <c r="M50" s="518">
        <v>0.24809178124115283</v>
      </c>
      <c r="N50" s="442">
        <v>0.24809178124115283</v>
      </c>
      <c r="O50" s="442">
        <v>0.25027146546103929</v>
      </c>
      <c r="P50" s="520">
        <v>19.719999614595416</v>
      </c>
      <c r="Q50" s="527" t="s">
        <v>1928</v>
      </c>
    </row>
    <row r="51" spans="1:17">
      <c r="A51" s="498">
        <v>46048</v>
      </c>
      <c r="B51" s="510" t="s">
        <v>2251</v>
      </c>
      <c r="C51" s="511" t="s">
        <v>2253</v>
      </c>
      <c r="D51" s="442" t="s">
        <v>2254</v>
      </c>
      <c r="E51" s="443">
        <v>46045</v>
      </c>
      <c r="F51" s="442" t="s">
        <v>1926</v>
      </c>
      <c r="G51" s="442" t="s">
        <v>194</v>
      </c>
      <c r="H51" s="442" t="s">
        <v>2255</v>
      </c>
      <c r="I51" s="442"/>
      <c r="J51" s="516">
        <v>319.45999999999998</v>
      </c>
      <c r="K51" s="442">
        <v>0</v>
      </c>
      <c r="L51" s="517">
        <v>0</v>
      </c>
      <c r="M51" s="518">
        <v>0</v>
      </c>
      <c r="N51" s="442">
        <v>0</v>
      </c>
      <c r="O51" s="442">
        <v>0</v>
      </c>
      <c r="P51" s="520">
        <v>0</v>
      </c>
      <c r="Q51" s="527" t="s">
        <v>1928</v>
      </c>
    </row>
    <row r="52" spans="1:17">
      <c r="A52" s="498">
        <v>46048</v>
      </c>
      <c r="B52" s="510" t="s">
        <v>2250</v>
      </c>
      <c r="C52" s="511" t="s">
        <v>2256</v>
      </c>
      <c r="D52" s="442" t="s">
        <v>2254</v>
      </c>
      <c r="E52" s="443">
        <v>46045</v>
      </c>
      <c r="F52" s="442" t="s">
        <v>1926</v>
      </c>
      <c r="G52" s="442" t="s">
        <v>194</v>
      </c>
      <c r="H52" s="442" t="s">
        <v>2257</v>
      </c>
      <c r="I52" s="442"/>
      <c r="J52" s="516">
        <v>319.45999999999998</v>
      </c>
      <c r="K52" s="442">
        <v>0</v>
      </c>
      <c r="L52" s="517">
        <v>0</v>
      </c>
      <c r="M52" s="518">
        <v>0</v>
      </c>
      <c r="N52" s="442">
        <v>0</v>
      </c>
      <c r="O52" s="442">
        <v>0</v>
      </c>
      <c r="P52" s="520">
        <v>0</v>
      </c>
      <c r="Q52" s="527" t="s">
        <v>1928</v>
      </c>
    </row>
    <row r="53" spans="1:17">
      <c r="A53" s="498">
        <v>46048</v>
      </c>
      <c r="B53" s="524" t="s">
        <v>2275</v>
      </c>
      <c r="C53" s="511" t="s">
        <v>2277</v>
      </c>
      <c r="D53" s="442" t="s">
        <v>2278</v>
      </c>
      <c r="E53" s="443">
        <v>46283</v>
      </c>
      <c r="F53" s="442" t="s">
        <v>1931</v>
      </c>
      <c r="G53" s="442" t="s">
        <v>194</v>
      </c>
      <c r="H53" s="442" t="s">
        <v>2279</v>
      </c>
      <c r="I53" s="442"/>
      <c r="J53" s="521">
        <v>107.48</v>
      </c>
      <c r="K53" s="442">
        <v>0</v>
      </c>
      <c r="L53" s="522">
        <v>13.25</v>
      </c>
      <c r="M53" s="523">
        <v>14.9</v>
      </c>
      <c r="N53" s="442">
        <v>14.074999999999999</v>
      </c>
      <c r="O53" s="442">
        <v>14.074999999999999</v>
      </c>
      <c r="P53" s="520"/>
      <c r="Q53" s="527" t="s">
        <v>1935</v>
      </c>
    </row>
    <row r="54" spans="1:17">
      <c r="A54" s="498">
        <v>46048</v>
      </c>
      <c r="B54" s="524" t="s">
        <v>2274</v>
      </c>
      <c r="C54" s="511" t="s">
        <v>2280</v>
      </c>
      <c r="D54" s="442" t="s">
        <v>2278</v>
      </c>
      <c r="E54" s="443">
        <v>46283</v>
      </c>
      <c r="F54" s="442" t="s">
        <v>1931</v>
      </c>
      <c r="G54" s="442" t="s">
        <v>194</v>
      </c>
      <c r="H54" s="442" t="s">
        <v>2281</v>
      </c>
      <c r="I54" s="442"/>
      <c r="J54" s="521">
        <v>107.48</v>
      </c>
      <c r="K54" s="442">
        <v>2.480000000000004</v>
      </c>
      <c r="L54" s="522">
        <v>18.25</v>
      </c>
      <c r="M54" s="523">
        <v>19.45</v>
      </c>
      <c r="N54" s="442">
        <v>18.850000000000001</v>
      </c>
      <c r="O54" s="442">
        <v>18.850000000000001</v>
      </c>
      <c r="P54" s="520"/>
      <c r="Q54" s="527" t="s">
        <v>1935</v>
      </c>
    </row>
    <row r="55" spans="1:17">
      <c r="A55" s="498">
        <v>46048</v>
      </c>
      <c r="B55" s="524" t="s">
        <v>2286</v>
      </c>
      <c r="C55" s="511" t="s">
        <v>2292</v>
      </c>
      <c r="D55" s="442" t="s">
        <v>2293</v>
      </c>
      <c r="E55" s="443">
        <v>46073</v>
      </c>
      <c r="F55" s="442" t="s">
        <v>1931</v>
      </c>
      <c r="G55" s="442" t="s">
        <v>194</v>
      </c>
      <c r="H55" s="442" t="s">
        <v>2294</v>
      </c>
      <c r="I55" s="442"/>
      <c r="J55" s="521">
        <v>470.8</v>
      </c>
      <c r="K55" s="442">
        <v>0</v>
      </c>
      <c r="L55" s="522">
        <v>38.299999999999997</v>
      </c>
      <c r="M55" s="523">
        <v>41.6</v>
      </c>
      <c r="N55" s="442">
        <v>39.950000000000003</v>
      </c>
      <c r="O55" s="442">
        <v>39.950000000000003</v>
      </c>
      <c r="P55" s="520"/>
      <c r="Q55" s="527" t="s">
        <v>1935</v>
      </c>
    </row>
    <row r="56" spans="1:17">
      <c r="A56" s="498">
        <v>46048</v>
      </c>
      <c r="B56" s="524" t="s">
        <v>2295</v>
      </c>
      <c r="C56" s="511" t="s">
        <v>2296</v>
      </c>
      <c r="D56" s="442" t="s">
        <v>1936</v>
      </c>
      <c r="E56" s="443">
        <v>46073</v>
      </c>
      <c r="F56" s="442" t="s">
        <v>1931</v>
      </c>
      <c r="G56" s="442" t="s">
        <v>194</v>
      </c>
      <c r="H56" s="442" t="s">
        <v>2239</v>
      </c>
      <c r="I56" s="442"/>
      <c r="J56" s="521">
        <v>36.61</v>
      </c>
      <c r="K56" s="442">
        <v>1.6099999999999994</v>
      </c>
      <c r="L56" s="522">
        <v>1.97</v>
      </c>
      <c r="M56" s="523">
        <v>2.4</v>
      </c>
      <c r="N56" s="442">
        <v>2.1850000000000001</v>
      </c>
      <c r="O56" s="442">
        <v>2.1850000000000001</v>
      </c>
      <c r="P56" s="520"/>
      <c r="Q56" s="527" t="s">
        <v>1935</v>
      </c>
    </row>
    <row r="57" spans="1:17">
      <c r="A57" s="498">
        <v>46048</v>
      </c>
      <c r="B57" t="s">
        <v>2287</v>
      </c>
      <c r="C57" s="511" t="s">
        <v>2297</v>
      </c>
      <c r="D57" s="442" t="s">
        <v>2061</v>
      </c>
      <c r="E57" s="443">
        <v>46101</v>
      </c>
      <c r="F57" s="442" t="s">
        <v>1926</v>
      </c>
      <c r="G57" s="442" t="s">
        <v>194</v>
      </c>
      <c r="H57" s="442" t="s">
        <v>2298</v>
      </c>
      <c r="I57" s="442"/>
      <c r="J57" s="521">
        <v>81.77</v>
      </c>
      <c r="K57" s="442">
        <v>0</v>
      </c>
      <c r="L57" s="522">
        <v>2.42</v>
      </c>
      <c r="M57" s="523">
        <v>2.57</v>
      </c>
      <c r="N57" s="442">
        <v>2.4950000000000001</v>
      </c>
      <c r="O57" s="442">
        <v>2.4950000000000001</v>
      </c>
      <c r="P57" s="520"/>
      <c r="Q57" s="527" t="s">
        <v>1935</v>
      </c>
    </row>
    <row r="58" spans="1:17">
      <c r="A58" s="498">
        <v>46048</v>
      </c>
      <c r="B58" t="s">
        <v>2303</v>
      </c>
      <c r="C58" s="511" t="s">
        <v>2318</v>
      </c>
      <c r="D58" s="442" t="s">
        <v>1951</v>
      </c>
      <c r="E58" s="443">
        <v>46048</v>
      </c>
      <c r="F58" s="442" t="s">
        <v>1926</v>
      </c>
      <c r="G58" s="442" t="s">
        <v>194</v>
      </c>
      <c r="H58" s="442" t="s">
        <v>2319</v>
      </c>
      <c r="I58" s="442"/>
      <c r="J58" s="521">
        <v>625.46</v>
      </c>
      <c r="K58" s="442">
        <v>0</v>
      </c>
      <c r="L58" s="522">
        <v>0</v>
      </c>
      <c r="M58" s="523">
        <v>0.01</v>
      </c>
      <c r="N58" s="442">
        <v>5.0000000000000001E-3</v>
      </c>
      <c r="O58" s="442">
        <v>0</v>
      </c>
      <c r="P58" s="520"/>
      <c r="Q58" s="527" t="s">
        <v>1935</v>
      </c>
    </row>
    <row r="59" spans="1:17">
      <c r="A59" s="498">
        <v>46048</v>
      </c>
      <c r="B59" t="s">
        <v>2300</v>
      </c>
      <c r="C59" s="511" t="s">
        <v>2320</v>
      </c>
      <c r="D59" s="442" t="s">
        <v>2293</v>
      </c>
      <c r="E59" s="443">
        <v>46073</v>
      </c>
      <c r="F59" s="442" t="s">
        <v>1931</v>
      </c>
      <c r="G59" s="442" t="s">
        <v>194</v>
      </c>
      <c r="H59" s="442" t="s">
        <v>2163</v>
      </c>
      <c r="I59" s="442"/>
      <c r="J59" s="521">
        <v>470.8</v>
      </c>
      <c r="K59" s="442">
        <v>0</v>
      </c>
      <c r="L59" s="522">
        <v>25</v>
      </c>
      <c r="M59" s="523">
        <v>26</v>
      </c>
      <c r="N59" s="442">
        <v>25.5</v>
      </c>
      <c r="O59" s="442">
        <v>25.5</v>
      </c>
      <c r="P59" s="520"/>
      <c r="Q59" s="527" t="s">
        <v>1935</v>
      </c>
    </row>
    <row r="60" spans="1:17">
      <c r="A60" s="498">
        <v>46048</v>
      </c>
      <c r="B60" t="s">
        <v>2307</v>
      </c>
      <c r="C60" s="511" t="s">
        <v>2321</v>
      </c>
      <c r="D60" s="442" t="s">
        <v>2071</v>
      </c>
      <c r="E60" s="443">
        <v>46220</v>
      </c>
      <c r="F60" s="442" t="s">
        <v>1931</v>
      </c>
      <c r="G60" s="442" t="s">
        <v>194</v>
      </c>
      <c r="H60" s="442" t="s">
        <v>2322</v>
      </c>
      <c r="I60" s="442"/>
      <c r="J60" s="521">
        <v>672.36</v>
      </c>
      <c r="K60" s="442">
        <v>2.3600000000000136</v>
      </c>
      <c r="L60" s="522">
        <v>75.2</v>
      </c>
      <c r="M60" s="523">
        <v>75.599999999999994</v>
      </c>
      <c r="N60" s="442">
        <v>75.400000000000006</v>
      </c>
      <c r="O60" s="442">
        <v>75.400000000000006</v>
      </c>
      <c r="P60" s="520"/>
      <c r="Q60" s="527" t="s">
        <v>1935</v>
      </c>
    </row>
    <row r="61" spans="1:17">
      <c r="A61" s="498">
        <v>46048</v>
      </c>
      <c r="B61" t="s">
        <v>2306</v>
      </c>
      <c r="C61" s="511" t="s">
        <v>2323</v>
      </c>
      <c r="D61" s="442" t="s">
        <v>2033</v>
      </c>
      <c r="E61" s="443">
        <v>46220</v>
      </c>
      <c r="F61" s="442" t="s">
        <v>1931</v>
      </c>
      <c r="G61" s="442" t="s">
        <v>194</v>
      </c>
      <c r="H61" s="442" t="s">
        <v>2324</v>
      </c>
      <c r="I61" s="442"/>
      <c r="J61" s="521">
        <v>238.42</v>
      </c>
      <c r="K61" s="442">
        <v>0</v>
      </c>
      <c r="L61" s="522">
        <v>21.35</v>
      </c>
      <c r="M61" s="523">
        <v>21.55</v>
      </c>
      <c r="N61" s="442">
        <v>21.450000000000003</v>
      </c>
      <c r="O61" s="442">
        <v>21.450000000000003</v>
      </c>
      <c r="P61" s="520"/>
      <c r="Q61" s="527" t="s">
        <v>1935</v>
      </c>
    </row>
    <row r="62" spans="1:17">
      <c r="A62" s="498">
        <v>46048</v>
      </c>
      <c r="B62" s="520" t="s">
        <v>2325</v>
      </c>
      <c r="C62" s="511" t="s">
        <v>2326</v>
      </c>
      <c r="D62" s="442" t="s">
        <v>2327</v>
      </c>
      <c r="E62" s="443">
        <v>46366</v>
      </c>
      <c r="F62" s="442" t="s">
        <v>1931</v>
      </c>
      <c r="G62" s="442" t="s">
        <v>2110</v>
      </c>
      <c r="H62" s="442" t="s">
        <v>2328</v>
      </c>
      <c r="I62" s="442"/>
      <c r="J62" s="516">
        <v>720.04</v>
      </c>
      <c r="K62" s="442">
        <v>0</v>
      </c>
      <c r="L62" s="516">
        <v>11.8866620956733</v>
      </c>
      <c r="M62" s="516">
        <v>11.8866620956733</v>
      </c>
      <c r="N62" s="516">
        <v>11.8866620956733</v>
      </c>
      <c r="O62" s="516">
        <v>11.899807660814565</v>
      </c>
      <c r="P62" s="442">
        <v>27.869670019996896</v>
      </c>
      <c r="Q62" s="527" t="s">
        <v>1928</v>
      </c>
    </row>
    <row r="63" spans="1:17">
      <c r="A63" s="498">
        <v>46048</v>
      </c>
      <c r="B63" t="s">
        <v>2304</v>
      </c>
      <c r="C63" s="511" t="s">
        <v>2329</v>
      </c>
      <c r="D63" s="442" t="s">
        <v>2081</v>
      </c>
      <c r="E63" s="443">
        <v>46101</v>
      </c>
      <c r="F63" s="442" t="s">
        <v>1931</v>
      </c>
      <c r="G63" s="442" t="s">
        <v>194</v>
      </c>
      <c r="H63" s="442" t="s">
        <v>2330</v>
      </c>
      <c r="I63" s="442"/>
      <c r="J63" s="521">
        <v>332.45</v>
      </c>
      <c r="K63" s="442">
        <v>0</v>
      </c>
      <c r="L63" s="522">
        <v>24.5</v>
      </c>
      <c r="M63" s="523">
        <v>27.8</v>
      </c>
      <c r="N63" s="442">
        <v>26.15</v>
      </c>
      <c r="O63" s="442">
        <v>26.15</v>
      </c>
      <c r="P63" s="520"/>
      <c r="Q63" s="527" t="s">
        <v>1935</v>
      </c>
    </row>
    <row r="64" spans="1:17">
      <c r="A64" s="498">
        <v>46048</v>
      </c>
      <c r="B64" t="s">
        <v>2309</v>
      </c>
      <c r="C64" s="511" t="s">
        <v>2331</v>
      </c>
      <c r="D64" s="442" t="s">
        <v>1937</v>
      </c>
      <c r="E64" s="443">
        <v>46220</v>
      </c>
      <c r="F64" s="442" t="s">
        <v>1931</v>
      </c>
      <c r="G64" s="442" t="s">
        <v>194</v>
      </c>
      <c r="H64" s="442" t="s">
        <v>2171</v>
      </c>
      <c r="I64" s="442"/>
      <c r="J64" s="521">
        <v>470.28</v>
      </c>
      <c r="K64" s="442">
        <v>5.2799999999999727</v>
      </c>
      <c r="L64" s="522">
        <v>41.95</v>
      </c>
      <c r="M64" s="523">
        <v>42.55</v>
      </c>
      <c r="N64" s="442">
        <v>42.25</v>
      </c>
      <c r="O64" s="442">
        <v>42.25</v>
      </c>
      <c r="P64" s="520"/>
      <c r="Q64" s="527" t="s">
        <v>1935</v>
      </c>
    </row>
    <row r="65" spans="1:17">
      <c r="A65" s="498">
        <v>46048</v>
      </c>
      <c r="B65" t="s">
        <v>2315</v>
      </c>
      <c r="C65" s="511" t="s">
        <v>2332</v>
      </c>
      <c r="D65" s="442" t="s">
        <v>1951</v>
      </c>
      <c r="E65" s="443">
        <v>46059</v>
      </c>
      <c r="F65" s="442" t="s">
        <v>1931</v>
      </c>
      <c r="G65" s="442" t="s">
        <v>194</v>
      </c>
      <c r="H65" s="442" t="s">
        <v>2333</v>
      </c>
      <c r="I65" s="442"/>
      <c r="J65" s="521">
        <v>625.46</v>
      </c>
      <c r="K65" s="442">
        <v>0</v>
      </c>
      <c r="L65" s="522">
        <v>6.23</v>
      </c>
      <c r="M65" s="523">
        <v>6.27</v>
      </c>
      <c r="N65" s="442">
        <v>6.25</v>
      </c>
      <c r="O65" s="442">
        <v>6.25</v>
      </c>
      <c r="P65" s="520"/>
      <c r="Q65" s="527" t="s">
        <v>1935</v>
      </c>
    </row>
    <row r="66" spans="1:17">
      <c r="A66" s="498">
        <v>46048</v>
      </c>
      <c r="B66" s="510" t="s">
        <v>2355</v>
      </c>
      <c r="C66" s="511" t="s">
        <v>2356</v>
      </c>
      <c r="D66" s="442" t="s">
        <v>1936</v>
      </c>
      <c r="E66" s="443">
        <v>46073</v>
      </c>
      <c r="F66" s="442" t="s">
        <v>1931</v>
      </c>
      <c r="G66" s="442" t="s">
        <v>194</v>
      </c>
      <c r="H66" s="442" t="s">
        <v>2357</v>
      </c>
      <c r="I66" s="442"/>
      <c r="J66" s="521">
        <v>36.61</v>
      </c>
      <c r="K66" s="442">
        <v>0</v>
      </c>
      <c r="L66" s="522">
        <v>0.84</v>
      </c>
      <c r="M66" s="523">
        <v>1.19</v>
      </c>
      <c r="N66" s="442">
        <v>1.0149999999999999</v>
      </c>
      <c r="O66" s="442">
        <v>1.0149999999999999</v>
      </c>
      <c r="P66" s="520"/>
      <c r="Q66" s="527" t="s">
        <v>1935</v>
      </c>
    </row>
    <row r="67" spans="1:17">
      <c r="A67" s="498">
        <v>46048</v>
      </c>
      <c r="B67" s="510" t="s">
        <v>2352</v>
      </c>
      <c r="C67" s="511" t="s">
        <v>2358</v>
      </c>
      <c r="D67" s="442" t="s">
        <v>2359</v>
      </c>
      <c r="E67" s="443">
        <v>46220</v>
      </c>
      <c r="F67" s="442" t="s">
        <v>1931</v>
      </c>
      <c r="G67" s="442" t="s">
        <v>194</v>
      </c>
      <c r="H67" s="442" t="s">
        <v>2360</v>
      </c>
      <c r="I67" s="442"/>
      <c r="J67" s="521">
        <v>42.49</v>
      </c>
      <c r="K67" s="442">
        <v>0</v>
      </c>
      <c r="L67" s="522">
        <v>4.05</v>
      </c>
      <c r="M67" s="523">
        <v>4.25</v>
      </c>
      <c r="N67" s="442">
        <v>4.1500000000000004</v>
      </c>
      <c r="O67" s="442">
        <v>4.1500000000000004</v>
      </c>
      <c r="P67" s="520"/>
      <c r="Q67" s="527" t="s">
        <v>1935</v>
      </c>
    </row>
    <row r="68" spans="1:17">
      <c r="A68" s="498">
        <v>46048</v>
      </c>
      <c r="B68" s="510" t="s">
        <v>2353</v>
      </c>
      <c r="C68" s="511" t="s">
        <v>2361</v>
      </c>
      <c r="D68" s="442" t="s">
        <v>2359</v>
      </c>
      <c r="E68" s="443">
        <v>46220</v>
      </c>
      <c r="F68" s="442" t="s">
        <v>1931</v>
      </c>
      <c r="G68" s="442" t="s">
        <v>194</v>
      </c>
      <c r="H68" s="442" t="s">
        <v>2362</v>
      </c>
      <c r="I68" s="442"/>
      <c r="J68" s="521">
        <v>42.49</v>
      </c>
      <c r="K68" s="442">
        <v>0</v>
      </c>
      <c r="L68" s="522">
        <v>2.2400000000000002</v>
      </c>
      <c r="M68" s="523">
        <v>2.46</v>
      </c>
      <c r="N68" s="442">
        <v>2.35</v>
      </c>
      <c r="O68" s="442">
        <v>2.35</v>
      </c>
      <c r="P68" s="520"/>
      <c r="Q68" s="527" t="s">
        <v>1935</v>
      </c>
    </row>
    <row r="69" spans="1:17">
      <c r="A69" s="498">
        <v>46048</v>
      </c>
      <c r="B69" s="510" t="s">
        <v>2351</v>
      </c>
      <c r="C69" s="511" t="s">
        <v>2363</v>
      </c>
      <c r="D69" s="442" t="s">
        <v>2359</v>
      </c>
      <c r="E69" s="443">
        <v>46220</v>
      </c>
      <c r="F69" s="442" t="s">
        <v>1926</v>
      </c>
      <c r="G69" s="442" t="s">
        <v>194</v>
      </c>
      <c r="H69" s="442" t="s">
        <v>2364</v>
      </c>
      <c r="I69" s="442"/>
      <c r="J69" s="521">
        <v>42.49</v>
      </c>
      <c r="K69" s="442">
        <v>0</v>
      </c>
      <c r="L69" s="522">
        <v>4.55</v>
      </c>
      <c r="M69" s="523">
        <v>4.5999999999999996</v>
      </c>
      <c r="N69" s="442">
        <v>4.5749999999999993</v>
      </c>
      <c r="O69" s="442">
        <v>4.5749999999999993</v>
      </c>
      <c r="P69" s="520"/>
      <c r="Q69" s="527" t="s">
        <v>1935</v>
      </c>
    </row>
    <row r="70" spans="1:17">
      <c r="A70" s="498">
        <v>46048</v>
      </c>
      <c r="B70" s="510" t="s">
        <v>2354</v>
      </c>
      <c r="C70" s="511" t="s">
        <v>2365</v>
      </c>
      <c r="D70" s="442" t="s">
        <v>1937</v>
      </c>
      <c r="E70" s="443">
        <v>46220</v>
      </c>
      <c r="F70" s="442" t="s">
        <v>1931</v>
      </c>
      <c r="G70" s="442" t="s">
        <v>194</v>
      </c>
      <c r="H70" s="442" t="s">
        <v>2366</v>
      </c>
      <c r="I70" s="442"/>
      <c r="J70" s="521">
        <v>470.28</v>
      </c>
      <c r="K70" s="442">
        <v>0</v>
      </c>
      <c r="L70" s="522">
        <v>36.950000000000003</v>
      </c>
      <c r="M70" s="523">
        <v>37.15</v>
      </c>
      <c r="N70" s="442">
        <v>37.049999999999997</v>
      </c>
      <c r="O70" s="442">
        <v>37.049999999999997</v>
      </c>
      <c r="P70" s="520"/>
      <c r="Q70" s="527" t="s">
        <v>1935</v>
      </c>
    </row>
    <row r="71" spans="1:17">
      <c r="A71" s="498">
        <v>46048</v>
      </c>
      <c r="B71" s="520" t="s">
        <v>2041</v>
      </c>
      <c r="C71" s="511" t="s">
        <v>2041</v>
      </c>
      <c r="D71" s="442" t="s">
        <v>1952</v>
      </c>
      <c r="E71" s="443">
        <v>46073</v>
      </c>
      <c r="F71" s="442" t="s">
        <v>1931</v>
      </c>
      <c r="G71" s="442" t="s">
        <v>194</v>
      </c>
      <c r="H71" s="442" t="s">
        <v>2189</v>
      </c>
      <c r="I71" s="442" t="s">
        <v>1927</v>
      </c>
      <c r="J71" s="521">
        <v>0.05</v>
      </c>
      <c r="K71" s="442">
        <v>0</v>
      </c>
      <c r="L71" s="522">
        <v>0</v>
      </c>
      <c r="M71" s="523">
        <v>0</v>
      </c>
      <c r="N71" s="442">
        <v>0</v>
      </c>
      <c r="O71" s="442">
        <v>1.6939164646106607E-4</v>
      </c>
      <c r="P71" s="520">
        <v>25.338105880140898</v>
      </c>
      <c r="Q71" s="527" t="s">
        <v>1953</v>
      </c>
    </row>
    <row r="72" spans="1:17">
      <c r="A72" s="498">
        <v>46048</v>
      </c>
      <c r="B72" s="520" t="s">
        <v>2042</v>
      </c>
      <c r="C72" s="511" t="s">
        <v>2042</v>
      </c>
      <c r="D72" s="442" t="s">
        <v>1952</v>
      </c>
      <c r="E72" s="443">
        <v>46073</v>
      </c>
      <c r="F72" s="442" t="s">
        <v>1926</v>
      </c>
      <c r="G72" s="442" t="s">
        <v>194</v>
      </c>
      <c r="H72" s="442" t="s">
        <v>2190</v>
      </c>
      <c r="I72" s="442" t="s">
        <v>1927</v>
      </c>
      <c r="J72" s="521">
        <v>0.41</v>
      </c>
      <c r="K72" s="442">
        <v>21.16</v>
      </c>
      <c r="L72" s="522">
        <v>0</v>
      </c>
      <c r="M72" s="523">
        <v>0</v>
      </c>
      <c r="N72" s="442">
        <v>0</v>
      </c>
      <c r="O72" s="442">
        <v>4.8250676232364807E-2</v>
      </c>
      <c r="P72" s="520">
        <v>33.9693031621198</v>
      </c>
      <c r="Q72" s="527" t="s">
        <v>1953</v>
      </c>
    </row>
    <row r="73" spans="1:17">
      <c r="A73" s="498">
        <v>46048</v>
      </c>
      <c r="B73" s="520" t="s">
        <v>2043</v>
      </c>
      <c r="C73" s="511" t="s">
        <v>2043</v>
      </c>
      <c r="D73" s="442" t="s">
        <v>1952</v>
      </c>
      <c r="E73" s="443">
        <v>46073</v>
      </c>
      <c r="F73" s="442" t="s">
        <v>1926</v>
      </c>
      <c r="G73" s="442" t="s">
        <v>194</v>
      </c>
      <c r="H73" s="442" t="s">
        <v>2191</v>
      </c>
      <c r="I73" s="442" t="s">
        <v>1927</v>
      </c>
      <c r="J73" s="521">
        <v>1.38</v>
      </c>
      <c r="K73" s="442">
        <v>22.69</v>
      </c>
      <c r="L73" s="522">
        <v>0</v>
      </c>
      <c r="M73" s="523">
        <v>0</v>
      </c>
      <c r="N73" s="442">
        <v>0</v>
      </c>
      <c r="O73" s="442">
        <v>0.26259181171911838</v>
      </c>
      <c r="P73" s="520">
        <v>29.652026712645704</v>
      </c>
      <c r="Q73" s="527" t="s">
        <v>1953</v>
      </c>
    </row>
    <row r="74" spans="1:17">
      <c r="A74" s="498">
        <v>46048</v>
      </c>
      <c r="B74" s="520" t="s">
        <v>2044</v>
      </c>
      <c r="C74" s="511" t="s">
        <v>2044</v>
      </c>
      <c r="D74" s="442" t="s">
        <v>1952</v>
      </c>
      <c r="E74" s="443">
        <v>46073</v>
      </c>
      <c r="F74" s="442" t="s">
        <v>1931</v>
      </c>
      <c r="G74" s="442" t="s">
        <v>194</v>
      </c>
      <c r="H74" s="442" t="s">
        <v>2192</v>
      </c>
      <c r="I74" s="442" t="s">
        <v>1927</v>
      </c>
      <c r="J74" s="521">
        <v>0.04</v>
      </c>
      <c r="K74" s="442">
        <v>0</v>
      </c>
      <c r="L74" s="522">
        <v>0</v>
      </c>
      <c r="M74" s="523">
        <v>0</v>
      </c>
      <c r="N74" s="442">
        <v>0</v>
      </c>
      <c r="O74" s="442">
        <v>2.3864635911839415E-5</v>
      </c>
      <c r="P74" s="520">
        <v>24.7011855480403</v>
      </c>
      <c r="Q74" s="527" t="s">
        <v>1953</v>
      </c>
    </row>
    <row r="75" spans="1:17">
      <c r="A75" s="498">
        <v>46048</v>
      </c>
      <c r="B75" s="520" t="s">
        <v>2045</v>
      </c>
      <c r="C75" s="511" t="s">
        <v>2045</v>
      </c>
      <c r="D75" s="442" t="s">
        <v>1952</v>
      </c>
      <c r="E75" s="443">
        <v>46073</v>
      </c>
      <c r="F75" s="442" t="s">
        <v>1926</v>
      </c>
      <c r="G75" s="442" t="s">
        <v>194</v>
      </c>
      <c r="H75" s="442" t="s">
        <v>2193</v>
      </c>
      <c r="I75" s="442" t="s">
        <v>1927</v>
      </c>
      <c r="J75" s="521">
        <v>1.1000000000000001</v>
      </c>
      <c r="K75" s="442">
        <v>22.72</v>
      </c>
      <c r="L75" s="522">
        <v>0</v>
      </c>
      <c r="M75" s="523">
        <v>0</v>
      </c>
      <c r="N75" s="442">
        <v>0</v>
      </c>
      <c r="O75" s="442">
        <v>0.22986571381221269</v>
      </c>
      <c r="P75" s="520">
        <v>30.051748637602298</v>
      </c>
      <c r="Q75" s="527" t="s">
        <v>1953</v>
      </c>
    </row>
    <row r="76" spans="1:17">
      <c r="A76" s="498">
        <v>46048</v>
      </c>
      <c r="B76" s="520" t="s">
        <v>2046</v>
      </c>
      <c r="C76" s="511" t="s">
        <v>2046</v>
      </c>
      <c r="D76" s="442" t="s">
        <v>1952</v>
      </c>
      <c r="E76" s="443">
        <v>46073</v>
      </c>
      <c r="F76" s="442" t="s">
        <v>1926</v>
      </c>
      <c r="G76" s="442" t="s">
        <v>194</v>
      </c>
      <c r="H76" s="442" t="s">
        <v>2194</v>
      </c>
      <c r="I76" s="442" t="s">
        <v>1927</v>
      </c>
      <c r="J76" s="521">
        <v>3.22</v>
      </c>
      <c r="K76" s="442">
        <v>23.1</v>
      </c>
      <c r="L76" s="522">
        <v>0</v>
      </c>
      <c r="M76" s="523">
        <v>0</v>
      </c>
      <c r="N76" s="442">
        <v>0</v>
      </c>
      <c r="O76" s="442">
        <v>0.63604513014210862</v>
      </c>
      <c r="P76" s="520">
        <v>26.605479199927998</v>
      </c>
      <c r="Q76" s="527" t="s">
        <v>1953</v>
      </c>
    </row>
    <row r="77" spans="1:17">
      <c r="A77" s="498">
        <v>46048</v>
      </c>
      <c r="B77" s="520" t="s">
        <v>2055</v>
      </c>
      <c r="C77" s="511" t="s">
        <v>2055</v>
      </c>
      <c r="D77" s="442" t="s">
        <v>2056</v>
      </c>
      <c r="E77" s="443">
        <v>46073</v>
      </c>
      <c r="F77" s="442" t="s">
        <v>1926</v>
      </c>
      <c r="G77" s="442" t="s">
        <v>194</v>
      </c>
      <c r="H77" s="442" t="s">
        <v>2195</v>
      </c>
      <c r="I77" s="442" t="s">
        <v>1927</v>
      </c>
      <c r="J77" s="521">
        <v>0.11</v>
      </c>
      <c r="K77" s="442">
        <v>18.89</v>
      </c>
      <c r="L77" s="522">
        <v>0</v>
      </c>
      <c r="M77" s="523">
        <v>0</v>
      </c>
      <c r="N77" s="442">
        <v>0</v>
      </c>
      <c r="O77" s="442">
        <v>3.7042013786790562E-2</v>
      </c>
      <c r="P77" s="520">
        <v>54.955507121904496</v>
      </c>
      <c r="Q77" s="527" t="s">
        <v>1953</v>
      </c>
    </row>
    <row r="78" spans="1:17">
      <c r="A78" s="498">
        <v>46048</v>
      </c>
      <c r="B78" s="520" t="s">
        <v>2057</v>
      </c>
      <c r="C78" s="511" t="s">
        <v>2057</v>
      </c>
      <c r="D78" s="442" t="s">
        <v>2056</v>
      </c>
      <c r="E78" s="443">
        <v>46073</v>
      </c>
      <c r="F78" s="442" t="s">
        <v>1926</v>
      </c>
      <c r="G78" s="442" t="s">
        <v>194</v>
      </c>
      <c r="H78" s="442" t="s">
        <v>2196</v>
      </c>
      <c r="I78" s="442" t="s">
        <v>1927</v>
      </c>
      <c r="J78" s="521">
        <v>0.23</v>
      </c>
      <c r="K78" s="442">
        <v>20.27</v>
      </c>
      <c r="L78" s="522">
        <v>0</v>
      </c>
      <c r="M78" s="523">
        <v>0</v>
      </c>
      <c r="N78" s="442">
        <v>0</v>
      </c>
      <c r="O78" s="442">
        <v>9.1458953110358357E-2</v>
      </c>
      <c r="P78" s="520">
        <v>52.489777197107301</v>
      </c>
      <c r="Q78" s="527" t="s">
        <v>1953</v>
      </c>
    </row>
    <row r="79" spans="1:17">
      <c r="A79" s="498">
        <v>46048</v>
      </c>
      <c r="B79" s="520" t="s">
        <v>2076</v>
      </c>
      <c r="C79" s="511" t="s">
        <v>2076</v>
      </c>
      <c r="D79" s="442" t="s">
        <v>1954</v>
      </c>
      <c r="E79" s="443">
        <v>46073</v>
      </c>
      <c r="F79" s="442" t="s">
        <v>1926</v>
      </c>
      <c r="G79" s="442" t="s">
        <v>194</v>
      </c>
      <c r="H79" s="442" t="s">
        <v>2197</v>
      </c>
      <c r="I79" s="442" t="s">
        <v>1927</v>
      </c>
      <c r="J79" s="521">
        <v>0.01</v>
      </c>
      <c r="K79" s="442">
        <v>12.1</v>
      </c>
      <c r="L79" s="522">
        <v>0</v>
      </c>
      <c r="M79" s="523">
        <v>0</v>
      </c>
      <c r="N79" s="442">
        <v>0</v>
      </c>
      <c r="O79" s="442">
        <v>6.0453487415221025E-4</v>
      </c>
      <c r="P79" s="520">
        <v>43.676059856583898</v>
      </c>
      <c r="Q79" s="527" t="s">
        <v>1953</v>
      </c>
    </row>
    <row r="80" spans="1:17">
      <c r="A80" s="498">
        <v>46048</v>
      </c>
      <c r="B80" s="520" t="s">
        <v>2077</v>
      </c>
      <c r="C80" s="511" t="s">
        <v>2077</v>
      </c>
      <c r="D80" s="442" t="s">
        <v>1954</v>
      </c>
      <c r="E80" s="443">
        <v>46073</v>
      </c>
      <c r="F80" s="442" t="s">
        <v>1926</v>
      </c>
      <c r="G80" s="442" t="s">
        <v>194</v>
      </c>
      <c r="H80" s="442" t="s">
        <v>2198</v>
      </c>
      <c r="I80" s="442" t="s">
        <v>1927</v>
      </c>
      <c r="J80" s="521">
        <v>0.03</v>
      </c>
      <c r="K80" s="442">
        <v>13.33</v>
      </c>
      <c r="L80" s="522">
        <v>0</v>
      </c>
      <c r="M80" s="523">
        <v>0</v>
      </c>
      <c r="N80" s="442">
        <v>0</v>
      </c>
      <c r="O80" s="442">
        <v>5.1098553386408757E-3</v>
      </c>
      <c r="P80" s="520">
        <v>40.334107970779201</v>
      </c>
      <c r="Q80" s="527" t="s">
        <v>1953</v>
      </c>
    </row>
    <row r="81" spans="1:17">
      <c r="A81" s="498">
        <v>46048</v>
      </c>
      <c r="B81" s="520" t="s">
        <v>2120</v>
      </c>
      <c r="C81" s="511" t="s">
        <v>2120</v>
      </c>
      <c r="D81" s="442" t="s">
        <v>2121</v>
      </c>
      <c r="E81" s="443">
        <v>46073</v>
      </c>
      <c r="F81" s="442" t="s">
        <v>1931</v>
      </c>
      <c r="G81" s="442" t="s">
        <v>194</v>
      </c>
      <c r="H81" s="442" t="s">
        <v>2199</v>
      </c>
      <c r="I81" s="442" t="s">
        <v>1927</v>
      </c>
      <c r="J81" s="521">
        <v>4.45</v>
      </c>
      <c r="K81" s="442">
        <v>0</v>
      </c>
      <c r="L81" s="522">
        <v>0</v>
      </c>
      <c r="M81" s="523">
        <v>0</v>
      </c>
      <c r="N81" s="442">
        <v>0</v>
      </c>
      <c r="O81" s="442">
        <v>0.84162783071647818</v>
      </c>
      <c r="P81" s="520">
        <v>36.536911300755399</v>
      </c>
      <c r="Q81" s="527" t="s">
        <v>1953</v>
      </c>
    </row>
    <row r="82" spans="1:17">
      <c r="A82" s="498">
        <v>46048</v>
      </c>
      <c r="B82" s="520" t="s">
        <v>2122</v>
      </c>
      <c r="C82" s="511" t="s">
        <v>2122</v>
      </c>
      <c r="D82" s="442" t="s">
        <v>2121</v>
      </c>
      <c r="E82" s="443">
        <v>46073</v>
      </c>
      <c r="F82" s="442" t="s">
        <v>1926</v>
      </c>
      <c r="G82" s="442" t="s">
        <v>194</v>
      </c>
      <c r="H82" s="442" t="s">
        <v>2200</v>
      </c>
      <c r="I82" s="442" t="s">
        <v>1927</v>
      </c>
      <c r="J82" s="521">
        <v>0.1</v>
      </c>
      <c r="K82" s="442">
        <v>47.72</v>
      </c>
      <c r="L82" s="522">
        <v>0</v>
      </c>
      <c r="M82" s="523">
        <v>0</v>
      </c>
      <c r="N82" s="442">
        <v>0</v>
      </c>
      <c r="O82" s="442">
        <v>1.8508524133610565E-2</v>
      </c>
      <c r="P82" s="520">
        <v>51.474978175295306</v>
      </c>
      <c r="Q82" s="527" t="s">
        <v>1953</v>
      </c>
    </row>
    <row r="83" spans="1:17">
      <c r="A83" s="498">
        <v>46048</v>
      </c>
      <c r="B83" s="520" t="s">
        <v>2123</v>
      </c>
      <c r="C83" s="511" t="s">
        <v>2123</v>
      </c>
      <c r="D83" s="442" t="s">
        <v>2121</v>
      </c>
      <c r="E83" s="443">
        <v>46073</v>
      </c>
      <c r="F83" s="442" t="s">
        <v>1926</v>
      </c>
      <c r="G83" s="442" t="s">
        <v>194</v>
      </c>
      <c r="H83" s="442" t="s">
        <v>2201</v>
      </c>
      <c r="I83" s="442" t="s">
        <v>1927</v>
      </c>
      <c r="J83" s="521">
        <v>0.17</v>
      </c>
      <c r="K83" s="442">
        <v>51.65</v>
      </c>
      <c r="L83" s="522">
        <v>0</v>
      </c>
      <c r="M83" s="523">
        <v>0</v>
      </c>
      <c r="N83" s="442">
        <v>0</v>
      </c>
      <c r="O83" s="442">
        <v>3.910896526506636E-2</v>
      </c>
      <c r="P83" s="520">
        <v>43.2098666477021</v>
      </c>
      <c r="Q83" s="527" t="s">
        <v>1953</v>
      </c>
    </row>
    <row r="84" spans="1:17">
      <c r="A84" s="498">
        <v>46048</v>
      </c>
      <c r="B84" s="520" t="s">
        <v>2129</v>
      </c>
      <c r="C84" s="511" t="s">
        <v>2129</v>
      </c>
      <c r="D84" s="442" t="s">
        <v>2086</v>
      </c>
      <c r="E84" s="443">
        <v>46073</v>
      </c>
      <c r="F84" s="442" t="s">
        <v>1926</v>
      </c>
      <c r="G84" s="442" t="s">
        <v>194</v>
      </c>
      <c r="H84" s="442" t="s">
        <v>2202</v>
      </c>
      <c r="I84" s="442" t="s">
        <v>1927</v>
      </c>
      <c r="J84" s="521">
        <v>0.1</v>
      </c>
      <c r="K84" s="442">
        <v>42.9</v>
      </c>
      <c r="L84" s="522">
        <v>0</v>
      </c>
      <c r="M84" s="523">
        <v>0</v>
      </c>
      <c r="N84" s="442">
        <v>0</v>
      </c>
      <c r="O84" s="442">
        <v>1.0070786085551596E-3</v>
      </c>
      <c r="P84" s="520">
        <v>32.942684892734299</v>
      </c>
      <c r="Q84" s="527" t="s">
        <v>1953</v>
      </c>
    </row>
    <row r="85" spans="1:17">
      <c r="A85" s="498">
        <v>46048</v>
      </c>
      <c r="B85" s="520" t="s">
        <v>2130</v>
      </c>
      <c r="C85" s="511" t="s">
        <v>2130</v>
      </c>
      <c r="D85" s="442" t="s">
        <v>2086</v>
      </c>
      <c r="E85" s="443">
        <v>46073</v>
      </c>
      <c r="F85" s="442" t="s">
        <v>1926</v>
      </c>
      <c r="G85" s="442" t="s">
        <v>194</v>
      </c>
      <c r="H85" s="442" t="s">
        <v>2203</v>
      </c>
      <c r="I85" s="442" t="s">
        <v>1927</v>
      </c>
      <c r="J85" s="521">
        <v>0.2</v>
      </c>
      <c r="K85" s="442">
        <v>47.8</v>
      </c>
      <c r="L85" s="522">
        <v>0</v>
      </c>
      <c r="M85" s="523">
        <v>0</v>
      </c>
      <c r="N85" s="442">
        <v>0</v>
      </c>
      <c r="O85" s="442">
        <v>2.225890483499365E-2</v>
      </c>
      <c r="P85" s="520">
        <v>29.882575146552199</v>
      </c>
      <c r="Q85" s="527" t="s">
        <v>1953</v>
      </c>
    </row>
    <row r="86" spans="1:17">
      <c r="A86" s="498">
        <v>46048</v>
      </c>
      <c r="B86" s="510" t="s">
        <v>2135</v>
      </c>
      <c r="C86" s="510" t="s">
        <v>2135</v>
      </c>
      <c r="D86" s="442" t="s">
        <v>2136</v>
      </c>
      <c r="E86" s="443">
        <v>46073</v>
      </c>
      <c r="F86" s="442" t="s">
        <v>1926</v>
      </c>
      <c r="G86" s="442" t="s">
        <v>194</v>
      </c>
      <c r="H86" s="442" t="s">
        <v>2204</v>
      </c>
      <c r="I86" s="442" t="s">
        <v>1927</v>
      </c>
      <c r="J86" s="521">
        <v>0.64</v>
      </c>
      <c r="K86" s="442">
        <v>49.74</v>
      </c>
      <c r="L86" s="522">
        <v>0</v>
      </c>
      <c r="M86" s="523">
        <v>0</v>
      </c>
      <c r="N86" s="442">
        <v>0</v>
      </c>
      <c r="O86" s="442">
        <v>0.12404600525380731</v>
      </c>
      <c r="P86" s="520">
        <v>25.7672836743095</v>
      </c>
      <c r="Q86" s="527" t="s">
        <v>1953</v>
      </c>
    </row>
    <row r="87" spans="1:17">
      <c r="A87" s="498">
        <v>46048</v>
      </c>
      <c r="B87" s="510" t="s">
        <v>2142</v>
      </c>
      <c r="C87" s="510" t="s">
        <v>2142</v>
      </c>
      <c r="D87" s="442" t="s">
        <v>1954</v>
      </c>
      <c r="E87" s="443">
        <v>46073</v>
      </c>
      <c r="F87" s="442" t="s">
        <v>1926</v>
      </c>
      <c r="G87" s="442" t="s">
        <v>194</v>
      </c>
      <c r="H87" s="442" t="s">
        <v>2205</v>
      </c>
      <c r="I87" s="442" t="s">
        <v>1927</v>
      </c>
      <c r="J87" s="521">
        <v>0.01</v>
      </c>
      <c r="K87" s="442">
        <v>11.41</v>
      </c>
      <c r="L87" s="522">
        <v>0</v>
      </c>
      <c r="M87" s="523">
        <v>0</v>
      </c>
      <c r="N87" s="442">
        <v>0</v>
      </c>
      <c r="O87" s="442">
        <v>6.0453487415221025E-4</v>
      </c>
      <c r="P87" s="520">
        <v>43.676059856583898</v>
      </c>
      <c r="Q87" s="527" t="s">
        <v>1953</v>
      </c>
    </row>
    <row r="88" spans="1:17">
      <c r="A88" s="498">
        <v>46048</v>
      </c>
      <c r="B88" s="510" t="s">
        <v>2143</v>
      </c>
      <c r="C88" s="510" t="s">
        <v>2143</v>
      </c>
      <c r="D88" s="442" t="s">
        <v>1954</v>
      </c>
      <c r="E88" s="443">
        <v>46073</v>
      </c>
      <c r="F88" s="442" t="s">
        <v>1926</v>
      </c>
      <c r="G88" s="442" t="s">
        <v>194</v>
      </c>
      <c r="H88" s="442" t="s">
        <v>2206</v>
      </c>
      <c r="I88" s="442" t="s">
        <v>1927</v>
      </c>
      <c r="J88" s="521">
        <v>0.03</v>
      </c>
      <c r="K88" s="442">
        <v>12.64</v>
      </c>
      <c r="L88" s="522">
        <v>0</v>
      </c>
      <c r="M88" s="523">
        <v>0</v>
      </c>
      <c r="N88" s="442">
        <v>0</v>
      </c>
      <c r="O88" s="442">
        <v>5.1098553386408757E-3</v>
      </c>
      <c r="P88" s="520">
        <v>40.334107970779201</v>
      </c>
      <c r="Q88" s="527" t="s">
        <v>1953</v>
      </c>
    </row>
    <row r="89" spans="1:17">
      <c r="A89" s="498">
        <v>46048</v>
      </c>
      <c r="B89" s="510" t="s">
        <v>2144</v>
      </c>
      <c r="C89" s="510" t="s">
        <v>2144</v>
      </c>
      <c r="D89" s="442" t="s">
        <v>1954</v>
      </c>
      <c r="E89" s="443">
        <v>46073</v>
      </c>
      <c r="F89" s="442" t="s">
        <v>1926</v>
      </c>
      <c r="G89" s="442" t="s">
        <v>194</v>
      </c>
      <c r="H89" s="442" t="s">
        <v>2207</v>
      </c>
      <c r="I89" s="442" t="s">
        <v>1927</v>
      </c>
      <c r="J89" s="521">
        <v>0.1</v>
      </c>
      <c r="K89" s="442">
        <v>13.57</v>
      </c>
      <c r="L89" s="522">
        <v>0</v>
      </c>
      <c r="M89" s="523">
        <v>0</v>
      </c>
      <c r="N89" s="442">
        <v>0</v>
      </c>
      <c r="O89" s="442">
        <v>1.84470611149514E-2</v>
      </c>
      <c r="P89" s="520">
        <v>36.278309587348502</v>
      </c>
      <c r="Q89" s="527" t="s">
        <v>1953</v>
      </c>
    </row>
    <row r="90" spans="1:17">
      <c r="A90" s="498">
        <v>46048</v>
      </c>
      <c r="B90" s="510" t="s">
        <v>2145</v>
      </c>
      <c r="C90" s="510" t="s">
        <v>2145</v>
      </c>
      <c r="D90" s="442" t="s">
        <v>2146</v>
      </c>
      <c r="E90" s="443">
        <v>46073</v>
      </c>
      <c r="F90" s="442" t="s">
        <v>1926</v>
      </c>
      <c r="G90" s="442" t="s">
        <v>194</v>
      </c>
      <c r="H90" s="442" t="s">
        <v>2208</v>
      </c>
      <c r="I90" s="442" t="s">
        <v>1927</v>
      </c>
      <c r="J90" s="521">
        <v>0.03</v>
      </c>
      <c r="K90" s="442">
        <v>12.01</v>
      </c>
      <c r="L90" s="522">
        <v>0</v>
      </c>
      <c r="M90" s="523">
        <v>0</v>
      </c>
      <c r="N90" s="442">
        <v>0</v>
      </c>
      <c r="O90" s="442">
        <v>5.3479218811892113E-3</v>
      </c>
      <c r="P90" s="520">
        <v>47.4466698011407</v>
      </c>
      <c r="Q90" s="527" t="s">
        <v>1953</v>
      </c>
    </row>
    <row r="91" spans="1:17">
      <c r="A91" s="498">
        <v>46048</v>
      </c>
      <c r="B91" s="510" t="s">
        <v>2147</v>
      </c>
      <c r="C91" s="510" t="s">
        <v>2147</v>
      </c>
      <c r="D91" s="442" t="s">
        <v>2146</v>
      </c>
      <c r="E91" s="443">
        <v>46073</v>
      </c>
      <c r="F91" s="442" t="s">
        <v>1926</v>
      </c>
      <c r="G91" s="442" t="s">
        <v>194</v>
      </c>
      <c r="H91" s="442" t="s">
        <v>2209</v>
      </c>
      <c r="I91" s="442" t="s">
        <v>1927</v>
      </c>
      <c r="J91" s="521">
        <v>0.1</v>
      </c>
      <c r="K91" s="442">
        <v>12.94</v>
      </c>
      <c r="L91" s="522">
        <v>0</v>
      </c>
      <c r="M91" s="523">
        <v>0</v>
      </c>
      <c r="N91" s="442">
        <v>0</v>
      </c>
      <c r="O91" s="442">
        <v>1.9782252144987737E-2</v>
      </c>
      <c r="P91" s="520">
        <v>45.136957902065902</v>
      </c>
      <c r="Q91" s="527" t="s">
        <v>1953</v>
      </c>
    </row>
    <row r="92" spans="1:17">
      <c r="A92" s="498">
        <v>46048</v>
      </c>
      <c r="B92" s="511" t="s">
        <v>2210</v>
      </c>
      <c r="C92" s="511" t="s">
        <v>2210</v>
      </c>
      <c r="D92" s="442" t="s">
        <v>2086</v>
      </c>
      <c r="E92" s="443">
        <v>46073</v>
      </c>
      <c r="F92" s="442" t="s">
        <v>1931</v>
      </c>
      <c r="G92" s="442" t="s">
        <v>194</v>
      </c>
      <c r="H92" s="442" t="s">
        <v>2211</v>
      </c>
      <c r="I92" s="442" t="s">
        <v>1927</v>
      </c>
      <c r="J92" s="521">
        <v>1.46</v>
      </c>
      <c r="K92" s="442">
        <v>0</v>
      </c>
      <c r="L92" s="522">
        <v>0</v>
      </c>
      <c r="M92" s="523">
        <v>0</v>
      </c>
      <c r="N92" s="442">
        <v>0</v>
      </c>
      <c r="O92" s="442">
        <v>0.21158559004218078</v>
      </c>
      <c r="P92" s="520">
        <v>25.202233500880702</v>
      </c>
      <c r="Q92" s="527" t="s">
        <v>1953</v>
      </c>
    </row>
    <row r="93" spans="1:17">
      <c r="A93" s="498">
        <v>46048</v>
      </c>
      <c r="B93" s="511" t="s">
        <v>2212</v>
      </c>
      <c r="C93" s="511" t="s">
        <v>2212</v>
      </c>
      <c r="D93" s="442" t="s">
        <v>2086</v>
      </c>
      <c r="E93" s="443">
        <v>46073</v>
      </c>
      <c r="F93" s="442" t="s">
        <v>1926</v>
      </c>
      <c r="G93" s="442" t="s">
        <v>194</v>
      </c>
      <c r="H93" s="442" t="s">
        <v>2213</v>
      </c>
      <c r="I93" s="442" t="s">
        <v>1927</v>
      </c>
      <c r="J93" s="521">
        <v>0.17</v>
      </c>
      <c r="K93" s="442">
        <v>46.83</v>
      </c>
      <c r="L93" s="522">
        <v>0</v>
      </c>
      <c r="M93" s="523">
        <v>0</v>
      </c>
      <c r="N93" s="442">
        <v>0</v>
      </c>
      <c r="O93" s="442">
        <v>1.3006906105686843E-2</v>
      </c>
      <c r="P93" s="520">
        <v>30.556784725133401</v>
      </c>
      <c r="Q93" s="527" t="s">
        <v>1953</v>
      </c>
    </row>
    <row r="94" spans="1:17">
      <c r="A94" s="498">
        <v>46048</v>
      </c>
      <c r="B94" s="511" t="s">
        <v>2214</v>
      </c>
      <c r="C94" s="511" t="s">
        <v>2214</v>
      </c>
      <c r="D94" s="442" t="s">
        <v>2086</v>
      </c>
      <c r="E94" s="443">
        <v>46073</v>
      </c>
      <c r="F94" s="442" t="s">
        <v>1926</v>
      </c>
      <c r="G94" s="442" t="s">
        <v>194</v>
      </c>
      <c r="H94" s="442" t="s">
        <v>2215</v>
      </c>
      <c r="I94" s="442" t="s">
        <v>1927</v>
      </c>
      <c r="J94" s="521">
        <v>0.67</v>
      </c>
      <c r="K94" s="442">
        <v>49.83</v>
      </c>
      <c r="L94" s="522">
        <v>0</v>
      </c>
      <c r="M94" s="523">
        <v>0</v>
      </c>
      <c r="N94" s="442">
        <v>0</v>
      </c>
      <c r="O94" s="442">
        <v>7.3410134999003812E-2</v>
      </c>
      <c r="P94" s="520">
        <v>28.103795069278</v>
      </c>
      <c r="Q94" s="527" t="s">
        <v>1953</v>
      </c>
    </row>
    <row r="95" spans="1:17">
      <c r="A95" s="498">
        <v>46048</v>
      </c>
      <c r="B95" s="510" t="s">
        <v>2216</v>
      </c>
      <c r="C95" s="510" t="s">
        <v>2216</v>
      </c>
      <c r="D95" s="442" t="s">
        <v>1952</v>
      </c>
      <c r="E95" s="443">
        <v>46101</v>
      </c>
      <c r="F95" s="442" t="s">
        <v>1931</v>
      </c>
      <c r="G95" s="442" t="s">
        <v>194</v>
      </c>
      <c r="H95" s="442" t="s">
        <v>2217</v>
      </c>
      <c r="I95" s="442" t="s">
        <v>1927</v>
      </c>
      <c r="J95" s="521">
        <v>0.82</v>
      </c>
      <c r="K95" s="442">
        <v>0</v>
      </c>
      <c r="L95" s="522">
        <v>0</v>
      </c>
      <c r="M95" s="523">
        <v>0</v>
      </c>
      <c r="N95" s="442">
        <v>0</v>
      </c>
      <c r="O95" s="442">
        <v>2.9487575993536474E-2</v>
      </c>
      <c r="P95" s="520">
        <v>28.263639025292701</v>
      </c>
      <c r="Q95" s="527" t="s">
        <v>1953</v>
      </c>
    </row>
    <row r="96" spans="1:17">
      <c r="A96" s="498">
        <v>46048</v>
      </c>
      <c r="B96" s="510" t="s">
        <v>2218</v>
      </c>
      <c r="C96" s="510" t="s">
        <v>2218</v>
      </c>
      <c r="D96" s="442" t="s">
        <v>1952</v>
      </c>
      <c r="E96" s="443">
        <v>46101</v>
      </c>
      <c r="F96" s="442" t="s">
        <v>1926</v>
      </c>
      <c r="G96" s="442" t="s">
        <v>194</v>
      </c>
      <c r="H96" s="442" t="s">
        <v>2219</v>
      </c>
      <c r="I96" s="442" t="s">
        <v>1927</v>
      </c>
      <c r="J96" s="521">
        <v>0.87</v>
      </c>
      <c r="K96" s="442">
        <v>20.439999999999998</v>
      </c>
      <c r="L96" s="522">
        <v>0</v>
      </c>
      <c r="M96" s="523">
        <v>0</v>
      </c>
      <c r="N96" s="442">
        <v>0</v>
      </c>
      <c r="O96" s="442">
        <v>0.12051137074223708</v>
      </c>
      <c r="P96" s="520">
        <v>32.584782463347096</v>
      </c>
      <c r="Q96" s="527" t="s">
        <v>1953</v>
      </c>
    </row>
    <row r="97" spans="1:17">
      <c r="A97" s="498">
        <v>46048</v>
      </c>
      <c r="B97" s="510" t="s">
        <v>2220</v>
      </c>
      <c r="C97" s="510" t="s">
        <v>2220</v>
      </c>
      <c r="D97" s="442" t="s">
        <v>1952</v>
      </c>
      <c r="E97" s="443">
        <v>46101</v>
      </c>
      <c r="F97" s="442" t="s">
        <v>1926</v>
      </c>
      <c r="G97" s="442" t="s">
        <v>194</v>
      </c>
      <c r="H97" s="442" t="s">
        <v>2221</v>
      </c>
      <c r="I97" s="442" t="s">
        <v>1927</v>
      </c>
      <c r="J97" s="521">
        <v>1.9</v>
      </c>
      <c r="K97" s="442">
        <v>21.41</v>
      </c>
      <c r="L97" s="522">
        <v>0</v>
      </c>
      <c r="M97" s="523">
        <v>0</v>
      </c>
      <c r="N97" s="442">
        <v>0</v>
      </c>
      <c r="O97" s="442">
        <v>0.29936054934416806</v>
      </c>
      <c r="P97" s="520">
        <v>30.259299269128498</v>
      </c>
      <c r="Q97" s="527" t="s">
        <v>1953</v>
      </c>
    </row>
    <row r="98" spans="1:17">
      <c r="A98" s="498">
        <v>46048</v>
      </c>
      <c r="B98" s="510" t="s">
        <v>2222</v>
      </c>
      <c r="C98" s="510" t="s">
        <v>2222</v>
      </c>
      <c r="D98" s="442" t="s">
        <v>2223</v>
      </c>
      <c r="E98" s="443">
        <v>46073</v>
      </c>
      <c r="F98" s="442" t="s">
        <v>1931</v>
      </c>
      <c r="G98" s="442" t="s">
        <v>194</v>
      </c>
      <c r="H98" s="442" t="s">
        <v>2224</v>
      </c>
      <c r="I98" s="442" t="s">
        <v>1927</v>
      </c>
      <c r="J98" s="521">
        <v>8.06</v>
      </c>
      <c r="K98" s="442">
        <v>0</v>
      </c>
      <c r="L98" s="522">
        <v>0</v>
      </c>
      <c r="M98" s="523">
        <v>0</v>
      </c>
      <c r="N98" s="442">
        <v>0</v>
      </c>
      <c r="O98" s="442">
        <v>1.5887792536192973</v>
      </c>
      <c r="P98" s="520">
        <v>35.299667774166501</v>
      </c>
      <c r="Q98" s="527" t="s">
        <v>1953</v>
      </c>
    </row>
    <row r="99" spans="1:17">
      <c r="A99" s="498">
        <v>46048</v>
      </c>
      <c r="B99" s="510" t="s">
        <v>2225</v>
      </c>
      <c r="C99" s="510" t="s">
        <v>2225</v>
      </c>
      <c r="D99" s="442" t="s">
        <v>2223</v>
      </c>
      <c r="E99" s="443">
        <v>46073</v>
      </c>
      <c r="F99" s="442" t="s">
        <v>1931</v>
      </c>
      <c r="G99" s="442" t="s">
        <v>194</v>
      </c>
      <c r="H99" s="442" t="s">
        <v>2226</v>
      </c>
      <c r="I99" s="442" t="s">
        <v>1927</v>
      </c>
      <c r="J99" s="521">
        <v>4.3</v>
      </c>
      <c r="K99" s="442">
        <v>0</v>
      </c>
      <c r="L99" s="522">
        <v>0</v>
      </c>
      <c r="M99" s="523">
        <v>0</v>
      </c>
      <c r="N99" s="442">
        <v>0</v>
      </c>
      <c r="O99" s="442">
        <v>0.82237024270132619</v>
      </c>
      <c r="P99" s="520">
        <v>31.020996459342598</v>
      </c>
      <c r="Q99" s="527" t="s">
        <v>1953</v>
      </c>
    </row>
    <row r="100" spans="1:17">
      <c r="A100" s="498">
        <v>46048</v>
      </c>
      <c r="B100" s="525" t="s">
        <v>2240</v>
      </c>
      <c r="C100" s="525" t="s">
        <v>2240</v>
      </c>
      <c r="D100" s="442" t="s">
        <v>1954</v>
      </c>
      <c r="E100" s="443">
        <v>46073</v>
      </c>
      <c r="F100" s="442" t="s">
        <v>1931</v>
      </c>
      <c r="G100" s="442" t="s">
        <v>194</v>
      </c>
      <c r="H100" s="442" t="s">
        <v>2241</v>
      </c>
      <c r="I100" s="442" t="s">
        <v>1927</v>
      </c>
      <c r="J100" s="521">
        <v>0.55000000000000004</v>
      </c>
      <c r="K100" s="442">
        <v>0</v>
      </c>
      <c r="L100" s="522">
        <v>0</v>
      </c>
      <c r="M100" s="523">
        <v>0</v>
      </c>
      <c r="N100" s="442">
        <v>0</v>
      </c>
      <c r="O100" s="442">
        <v>0.11193342945410874</v>
      </c>
      <c r="P100" s="520">
        <v>31.356585827783604</v>
      </c>
      <c r="Q100" s="527" t="s">
        <v>1953</v>
      </c>
    </row>
    <row r="101" spans="1:17">
      <c r="A101" s="498">
        <v>46048</v>
      </c>
      <c r="B101" s="525" t="s">
        <v>2242</v>
      </c>
      <c r="C101" s="525" t="s">
        <v>2242</v>
      </c>
      <c r="D101" s="442" t="s">
        <v>2015</v>
      </c>
      <c r="E101" s="443">
        <v>46071</v>
      </c>
      <c r="F101" s="442" t="s">
        <v>1926</v>
      </c>
      <c r="G101" s="442" t="s">
        <v>194</v>
      </c>
      <c r="H101" s="442" t="s">
        <v>2243</v>
      </c>
      <c r="I101" s="442" t="s">
        <v>1927</v>
      </c>
      <c r="J101" s="521">
        <v>240</v>
      </c>
      <c r="K101" s="442">
        <v>160760</v>
      </c>
      <c r="L101" s="522">
        <v>0</v>
      </c>
      <c r="M101" s="523">
        <v>0</v>
      </c>
      <c r="N101" s="442">
        <v>0</v>
      </c>
      <c r="O101" s="442">
        <v>41.632527764518215</v>
      </c>
      <c r="P101" s="520">
        <v>27.428805584109902</v>
      </c>
      <c r="Q101" s="527" t="s">
        <v>1953</v>
      </c>
    </row>
    <row r="102" spans="1:17">
      <c r="A102" s="498">
        <v>46048</v>
      </c>
      <c r="B102" s="525" t="s">
        <v>2244</v>
      </c>
      <c r="C102" s="525" t="s">
        <v>2244</v>
      </c>
      <c r="D102" s="442" t="s">
        <v>2103</v>
      </c>
      <c r="E102" s="443">
        <v>46073</v>
      </c>
      <c r="F102" s="442" t="s">
        <v>1926</v>
      </c>
      <c r="G102" s="442" t="s">
        <v>194</v>
      </c>
      <c r="H102" s="442" t="s">
        <v>2245</v>
      </c>
      <c r="I102" s="442" t="s">
        <v>1927</v>
      </c>
      <c r="J102" s="521">
        <v>0.24</v>
      </c>
      <c r="K102" s="442">
        <v>107.76</v>
      </c>
      <c r="L102" s="522">
        <v>0</v>
      </c>
      <c r="M102" s="523">
        <v>0</v>
      </c>
      <c r="N102" s="442">
        <v>0</v>
      </c>
      <c r="O102" s="442">
        <v>4.8103753831952929E-2</v>
      </c>
      <c r="P102" s="520">
        <v>32.352906650807306</v>
      </c>
      <c r="Q102" s="527" t="s">
        <v>1953</v>
      </c>
    </row>
    <row r="103" spans="1:17">
      <c r="A103" s="498">
        <v>46048</v>
      </c>
      <c r="B103" s="525" t="s">
        <v>2246</v>
      </c>
      <c r="C103" s="525" t="s">
        <v>2246</v>
      </c>
      <c r="D103" s="442" t="s">
        <v>2103</v>
      </c>
      <c r="E103" s="443">
        <v>46073</v>
      </c>
      <c r="F103" s="442" t="s">
        <v>1926</v>
      </c>
      <c r="G103" s="442" t="s">
        <v>194</v>
      </c>
      <c r="H103" s="442" t="s">
        <v>2247</v>
      </c>
      <c r="I103" s="442" t="s">
        <v>1927</v>
      </c>
      <c r="J103" s="521">
        <v>0.52</v>
      </c>
      <c r="K103" s="442">
        <v>112.48</v>
      </c>
      <c r="L103" s="522">
        <v>0</v>
      </c>
      <c r="M103" s="523">
        <v>0</v>
      </c>
      <c r="N103" s="442">
        <v>0</v>
      </c>
      <c r="O103" s="442">
        <v>0.12656152984958571</v>
      </c>
      <c r="P103" s="520">
        <v>30.3609511921312</v>
      </c>
      <c r="Q103" s="527" t="s">
        <v>1953</v>
      </c>
    </row>
    <row r="104" spans="1:17">
      <c r="A104" s="498">
        <v>46048</v>
      </c>
      <c r="B104" s="510" t="s">
        <v>2264</v>
      </c>
      <c r="C104" s="510" t="s">
        <v>2264</v>
      </c>
      <c r="D104" s="442" t="s">
        <v>2103</v>
      </c>
      <c r="E104" s="443">
        <v>46073</v>
      </c>
      <c r="F104" s="442" t="s">
        <v>1926</v>
      </c>
      <c r="G104" s="442" t="s">
        <v>194</v>
      </c>
      <c r="H104" s="442" t="s">
        <v>2265</v>
      </c>
      <c r="I104" s="442" t="s">
        <v>1927</v>
      </c>
      <c r="J104" s="521">
        <v>0.66</v>
      </c>
      <c r="K104" s="442">
        <v>113.34</v>
      </c>
      <c r="L104" s="522">
        <v>0</v>
      </c>
      <c r="M104" s="523">
        <v>0</v>
      </c>
      <c r="N104" s="442">
        <v>0</v>
      </c>
      <c r="O104" s="442">
        <v>0.15048918980889722</v>
      </c>
      <c r="P104" s="520">
        <v>29.876933782939098</v>
      </c>
      <c r="Q104" s="527" t="s">
        <v>1953</v>
      </c>
    </row>
    <row r="105" spans="1:17">
      <c r="A105" s="498">
        <v>46048</v>
      </c>
      <c r="B105" s="510" t="s">
        <v>2266</v>
      </c>
      <c r="C105" s="510" t="s">
        <v>2266</v>
      </c>
      <c r="D105" s="442" t="s">
        <v>2267</v>
      </c>
      <c r="E105" s="443">
        <v>46073</v>
      </c>
      <c r="F105" s="442" t="s">
        <v>1931</v>
      </c>
      <c r="G105" s="442" t="s">
        <v>194</v>
      </c>
      <c r="H105" s="442" t="s">
        <v>2268</v>
      </c>
      <c r="I105" s="442" t="s">
        <v>1927</v>
      </c>
      <c r="J105" s="521">
        <v>0.63</v>
      </c>
      <c r="K105" s="442">
        <v>0</v>
      </c>
      <c r="L105" s="522">
        <v>0</v>
      </c>
      <c r="M105" s="523">
        <v>0</v>
      </c>
      <c r="N105" s="442">
        <v>0</v>
      </c>
      <c r="O105" s="442">
        <v>6.4120707516419934E-2</v>
      </c>
      <c r="P105" s="520">
        <v>31.235223902854003</v>
      </c>
      <c r="Q105" s="527" t="s">
        <v>1953</v>
      </c>
    </row>
    <row r="106" spans="1:17">
      <c r="A106" s="498">
        <v>46048</v>
      </c>
      <c r="B106" s="510" t="s">
        <v>2269</v>
      </c>
      <c r="C106" s="510" t="s">
        <v>2269</v>
      </c>
      <c r="D106" s="442" t="s">
        <v>2267</v>
      </c>
      <c r="E106" s="443">
        <v>46073</v>
      </c>
      <c r="F106" s="442" t="s">
        <v>1926</v>
      </c>
      <c r="G106" s="442" t="s">
        <v>194</v>
      </c>
      <c r="H106" s="442" t="s">
        <v>2270</v>
      </c>
      <c r="I106" s="442" t="s">
        <v>1927</v>
      </c>
      <c r="J106" s="521">
        <v>0.43</v>
      </c>
      <c r="K106" s="442">
        <v>25.46</v>
      </c>
      <c r="L106" s="522">
        <v>0</v>
      </c>
      <c r="M106" s="523">
        <v>0</v>
      </c>
      <c r="N106" s="442">
        <v>0</v>
      </c>
      <c r="O106" s="442">
        <v>4.1073779925420356E-2</v>
      </c>
      <c r="P106" s="520">
        <v>36.9207517145053</v>
      </c>
      <c r="Q106" s="527" t="s">
        <v>1953</v>
      </c>
    </row>
    <row r="107" spans="1:17">
      <c r="A107" s="498">
        <v>46048</v>
      </c>
      <c r="B107" s="510" t="s">
        <v>2271</v>
      </c>
      <c r="C107" s="510" t="s">
        <v>2271</v>
      </c>
      <c r="D107" s="442" t="s">
        <v>2267</v>
      </c>
      <c r="E107" s="443">
        <v>46073</v>
      </c>
      <c r="F107" s="442" t="s">
        <v>1926</v>
      </c>
      <c r="G107" s="442" t="s">
        <v>194</v>
      </c>
      <c r="H107" s="442" t="s">
        <v>2272</v>
      </c>
      <c r="I107" s="442" t="s">
        <v>1927</v>
      </c>
      <c r="J107" s="521">
        <v>1.26</v>
      </c>
      <c r="K107" s="442">
        <v>26.88</v>
      </c>
      <c r="L107" s="522">
        <v>0</v>
      </c>
      <c r="M107" s="523">
        <v>0</v>
      </c>
      <c r="N107" s="442">
        <v>0</v>
      </c>
      <c r="O107" s="442">
        <v>0.15585052754528173</v>
      </c>
      <c r="P107" s="520">
        <v>33.826511479273201</v>
      </c>
      <c r="Q107" s="527" t="s">
        <v>1953</v>
      </c>
    </row>
    <row r="108" spans="1:17">
      <c r="A108" s="498">
        <v>46048</v>
      </c>
      <c r="B108" s="525" t="s">
        <v>2282</v>
      </c>
      <c r="C108" s="525" t="s">
        <v>2282</v>
      </c>
      <c r="D108" s="442" t="s">
        <v>2015</v>
      </c>
      <c r="E108" s="443">
        <v>46071</v>
      </c>
      <c r="F108" s="442" t="s">
        <v>1926</v>
      </c>
      <c r="G108" s="442" t="s">
        <v>194</v>
      </c>
      <c r="H108" s="442" t="s">
        <v>2299</v>
      </c>
      <c r="I108" s="442" t="s">
        <v>1927</v>
      </c>
      <c r="J108" s="521">
        <v>270</v>
      </c>
      <c r="K108" s="442">
        <v>162730</v>
      </c>
      <c r="L108" s="522">
        <v>0</v>
      </c>
      <c r="M108" s="523">
        <v>0</v>
      </c>
      <c r="N108" s="442">
        <v>0</v>
      </c>
      <c r="O108" s="442">
        <v>59.261110673146611</v>
      </c>
      <c r="P108" s="520">
        <v>26.904569101313999</v>
      </c>
      <c r="Q108" s="527" t="s">
        <v>1953</v>
      </c>
    </row>
    <row r="109" spans="1:17">
      <c r="A109" s="498">
        <v>46048</v>
      </c>
      <c r="B109" s="510" t="s">
        <v>2334</v>
      </c>
      <c r="C109" s="510" t="s">
        <v>2334</v>
      </c>
      <c r="D109" s="442" t="s">
        <v>2140</v>
      </c>
      <c r="E109" s="443">
        <v>46073</v>
      </c>
      <c r="F109" s="442" t="s">
        <v>1926</v>
      </c>
      <c r="G109" s="442" t="s">
        <v>194</v>
      </c>
      <c r="H109" s="442" t="s">
        <v>2335</v>
      </c>
      <c r="I109" s="442" t="s">
        <v>1927</v>
      </c>
      <c r="J109" s="521">
        <v>0.46</v>
      </c>
      <c r="K109" s="442">
        <v>33.69</v>
      </c>
      <c r="L109" s="522">
        <v>0</v>
      </c>
      <c r="M109" s="523">
        <v>0</v>
      </c>
      <c r="N109" s="442">
        <v>0</v>
      </c>
      <c r="O109" s="442">
        <v>7.5916501184926752E-2</v>
      </c>
      <c r="P109" s="520">
        <v>27.367255001899</v>
      </c>
      <c r="Q109" s="527" t="s">
        <v>1953</v>
      </c>
    </row>
    <row r="110" spans="1:17">
      <c r="A110" s="498">
        <v>46048</v>
      </c>
      <c r="B110" s="510" t="s">
        <v>2336</v>
      </c>
      <c r="C110" s="510" t="s">
        <v>2336</v>
      </c>
      <c r="D110" s="442" t="s">
        <v>2337</v>
      </c>
      <c r="E110" s="443">
        <v>46073</v>
      </c>
      <c r="F110" s="442" t="s">
        <v>1926</v>
      </c>
      <c r="G110" s="442" t="s">
        <v>194</v>
      </c>
      <c r="H110" s="442" t="s">
        <v>2338</v>
      </c>
      <c r="I110" s="442" t="s">
        <v>1927</v>
      </c>
      <c r="J110" s="521">
        <v>0.15</v>
      </c>
      <c r="K110" s="442">
        <v>43.1</v>
      </c>
      <c r="L110" s="522">
        <v>0</v>
      </c>
      <c r="M110" s="523">
        <v>0</v>
      </c>
      <c r="N110" s="442">
        <v>0</v>
      </c>
      <c r="O110" s="442">
        <v>2.7409679264673175E-2</v>
      </c>
      <c r="P110" s="520">
        <v>33.889706699447096</v>
      </c>
      <c r="Q110" s="527" t="s">
        <v>1953</v>
      </c>
    </row>
    <row r="111" spans="1:17">
      <c r="A111" s="498">
        <v>46048</v>
      </c>
      <c r="B111" s="510" t="s">
        <v>2339</v>
      </c>
      <c r="C111" s="510" t="s">
        <v>2339</v>
      </c>
      <c r="D111" s="442" t="s">
        <v>2337</v>
      </c>
      <c r="E111" s="443">
        <v>46073</v>
      </c>
      <c r="F111" s="442" t="s">
        <v>1926</v>
      </c>
      <c r="G111" s="442" t="s">
        <v>194</v>
      </c>
      <c r="H111" s="442" t="s">
        <v>2340</v>
      </c>
      <c r="I111" s="442" t="s">
        <v>1927</v>
      </c>
      <c r="J111" s="521">
        <v>0.56000000000000005</v>
      </c>
      <c r="K111" s="442">
        <v>45.69</v>
      </c>
      <c r="L111" s="522">
        <v>0</v>
      </c>
      <c r="M111" s="523">
        <v>0</v>
      </c>
      <c r="N111" s="442">
        <v>0</v>
      </c>
      <c r="O111" s="442">
        <v>0.10580178336492058</v>
      </c>
      <c r="P111" s="520">
        <v>31.561254996762298</v>
      </c>
      <c r="Q111" s="527" t="s">
        <v>1953</v>
      </c>
    </row>
    <row r="112" spans="1:17">
      <c r="A112" s="498">
        <v>46048</v>
      </c>
      <c r="B112" s="510" t="s">
        <v>2341</v>
      </c>
      <c r="C112" s="510" t="s">
        <v>2341</v>
      </c>
      <c r="D112" s="442" t="s">
        <v>2337</v>
      </c>
      <c r="E112" s="443">
        <v>46101</v>
      </c>
      <c r="F112" s="442" t="s">
        <v>1931</v>
      </c>
      <c r="G112" s="442" t="s">
        <v>194</v>
      </c>
      <c r="H112" s="442" t="s">
        <v>2215</v>
      </c>
      <c r="I112" s="442" t="s">
        <v>1927</v>
      </c>
      <c r="J112" s="521">
        <v>1.72</v>
      </c>
      <c r="K112" s="442">
        <v>0</v>
      </c>
      <c r="L112" s="522">
        <v>0</v>
      </c>
      <c r="M112" s="523">
        <v>0</v>
      </c>
      <c r="N112" s="442">
        <v>0</v>
      </c>
      <c r="O112" s="442">
        <v>0.34593894688330901</v>
      </c>
      <c r="P112" s="520">
        <v>30.5228847174576</v>
      </c>
      <c r="Q112" s="527" t="s">
        <v>1953</v>
      </c>
    </row>
    <row r="113" spans="1:17">
      <c r="A113" s="498">
        <v>46048</v>
      </c>
      <c r="B113" s="510" t="s">
        <v>2342</v>
      </c>
      <c r="C113" s="510" t="s">
        <v>2342</v>
      </c>
      <c r="D113" s="442" t="s">
        <v>2337</v>
      </c>
      <c r="E113" s="443">
        <v>46101</v>
      </c>
      <c r="F113" s="442" t="s">
        <v>1926</v>
      </c>
      <c r="G113" s="442" t="s">
        <v>194</v>
      </c>
      <c r="H113" s="442" t="s">
        <v>2343</v>
      </c>
      <c r="I113" s="442" t="s">
        <v>1927</v>
      </c>
      <c r="J113" s="521">
        <v>0.35</v>
      </c>
      <c r="K113" s="442">
        <v>42.15</v>
      </c>
      <c r="L113" s="522">
        <v>0</v>
      </c>
      <c r="M113" s="523">
        <v>0</v>
      </c>
      <c r="N113" s="442">
        <v>0</v>
      </c>
      <c r="O113" s="442">
        <v>6.7078356716022941E-2</v>
      </c>
      <c r="P113" s="520">
        <v>34.133609352686797</v>
      </c>
      <c r="Q113" s="527" t="s">
        <v>1953</v>
      </c>
    </row>
    <row r="114" spans="1:17">
      <c r="A114" s="498">
        <v>46048</v>
      </c>
      <c r="B114" s="510" t="s">
        <v>2344</v>
      </c>
      <c r="C114" s="510" t="s">
        <v>2344</v>
      </c>
      <c r="D114" s="442" t="s">
        <v>2337</v>
      </c>
      <c r="E114" s="443">
        <v>46101</v>
      </c>
      <c r="F114" s="442" t="s">
        <v>1926</v>
      </c>
      <c r="G114" s="442" t="s">
        <v>194</v>
      </c>
      <c r="H114" s="442" t="s">
        <v>2345</v>
      </c>
      <c r="I114" s="442" t="s">
        <v>1927</v>
      </c>
      <c r="J114" s="521">
        <v>1.17</v>
      </c>
      <c r="K114" s="442">
        <v>45.33</v>
      </c>
      <c r="L114" s="522">
        <v>0</v>
      </c>
      <c r="M114" s="523">
        <v>0</v>
      </c>
      <c r="N114" s="442">
        <v>0</v>
      </c>
      <c r="O114" s="442">
        <v>0.20592706722081333</v>
      </c>
      <c r="P114" s="520">
        <v>31.409286221187003</v>
      </c>
      <c r="Q114" s="527" t="s">
        <v>1953</v>
      </c>
    </row>
    <row r="115" spans="1:17">
      <c r="A115" s="498">
        <v>46048</v>
      </c>
      <c r="B115" s="510" t="s">
        <v>2367</v>
      </c>
      <c r="C115" s="510" t="s">
        <v>2367</v>
      </c>
      <c r="D115" s="442" t="s">
        <v>2368</v>
      </c>
      <c r="E115" s="443">
        <v>46073</v>
      </c>
      <c r="F115" s="442" t="s">
        <v>1926</v>
      </c>
      <c r="G115" s="442" t="s">
        <v>194</v>
      </c>
      <c r="H115" s="442" t="s">
        <v>2369</v>
      </c>
      <c r="I115" s="442" t="s">
        <v>1927</v>
      </c>
      <c r="J115" s="521">
        <v>0.26</v>
      </c>
      <c r="K115" s="442">
        <v>40.68</v>
      </c>
      <c r="L115" s="522">
        <v>0</v>
      </c>
      <c r="M115" s="523">
        <v>0</v>
      </c>
      <c r="N115" s="442">
        <v>0</v>
      </c>
      <c r="O115" s="442">
        <v>5.382804835935253E-2</v>
      </c>
      <c r="P115" s="520">
        <v>32.0900728714129</v>
      </c>
      <c r="Q115" s="527" t="s">
        <v>1953</v>
      </c>
    </row>
    <row r="116" spans="1:17">
      <c r="A116" s="498">
        <v>46048</v>
      </c>
      <c r="B116" s="510" t="s">
        <v>2370</v>
      </c>
      <c r="C116" s="510" t="s">
        <v>2370</v>
      </c>
      <c r="D116" s="442" t="s">
        <v>2368</v>
      </c>
      <c r="E116" s="443">
        <v>46073</v>
      </c>
      <c r="F116" s="442" t="s">
        <v>1926</v>
      </c>
      <c r="G116" s="442" t="s">
        <v>194</v>
      </c>
      <c r="H116" s="442" t="s">
        <v>2371</v>
      </c>
      <c r="I116" s="442" t="s">
        <v>1927</v>
      </c>
      <c r="J116" s="521">
        <v>0.63</v>
      </c>
      <c r="K116" s="442">
        <v>42.25</v>
      </c>
      <c r="L116" s="522">
        <v>0</v>
      </c>
      <c r="M116" s="523">
        <v>0</v>
      </c>
      <c r="N116" s="442">
        <v>0</v>
      </c>
      <c r="O116" s="442">
        <v>0.12399992794355533</v>
      </c>
      <c r="P116" s="520">
        <v>29.521343706584801</v>
      </c>
      <c r="Q116" s="527" t="s">
        <v>1953</v>
      </c>
    </row>
    <row r="117" spans="1:17">
      <c r="A117" s="498">
        <v>46048</v>
      </c>
      <c r="B117" s="525" t="s">
        <v>2376</v>
      </c>
      <c r="C117" s="525" t="s">
        <v>2376</v>
      </c>
      <c r="D117" s="442" t="s">
        <v>2103</v>
      </c>
      <c r="E117" s="443">
        <v>46073</v>
      </c>
      <c r="F117" s="442" t="s">
        <v>1926</v>
      </c>
      <c r="G117" s="442" t="s">
        <v>194</v>
      </c>
      <c r="H117" s="442" t="s">
        <v>2377</v>
      </c>
      <c r="I117" s="442" t="s">
        <v>1927</v>
      </c>
      <c r="J117" s="521">
        <v>1.79</v>
      </c>
      <c r="K117" s="442">
        <v>118.21</v>
      </c>
      <c r="L117" s="522">
        <v>0</v>
      </c>
      <c r="M117" s="523">
        <v>0</v>
      </c>
      <c r="N117" s="442">
        <v>0</v>
      </c>
      <c r="O117" s="442">
        <v>0.3914630822968807</v>
      </c>
      <c r="P117" s="520">
        <v>26.708747609219802</v>
      </c>
      <c r="Q117" s="527" t="s">
        <v>1953</v>
      </c>
    </row>
    <row r="118" spans="1:17">
      <c r="A118" s="498">
        <v>46048</v>
      </c>
      <c r="B118" s="525" t="s">
        <v>2378</v>
      </c>
      <c r="C118" s="525" t="s">
        <v>2378</v>
      </c>
      <c r="D118" s="442" t="s">
        <v>2223</v>
      </c>
      <c r="E118" s="443">
        <v>46073</v>
      </c>
      <c r="F118" s="442" t="s">
        <v>1926</v>
      </c>
      <c r="G118" s="442" t="s">
        <v>194</v>
      </c>
      <c r="H118" s="442" t="s">
        <v>2379</v>
      </c>
      <c r="I118" s="442" t="s">
        <v>1927</v>
      </c>
      <c r="J118" s="521">
        <v>0.8</v>
      </c>
      <c r="K118" s="442">
        <v>77.100000000000009</v>
      </c>
      <c r="L118" s="522">
        <v>0</v>
      </c>
      <c r="M118" s="523">
        <v>0</v>
      </c>
      <c r="N118" s="442">
        <v>0</v>
      </c>
      <c r="O118" s="442">
        <v>0.141332065962571</v>
      </c>
      <c r="P118" s="520">
        <v>33.044221403279202</v>
      </c>
      <c r="Q118" s="527" t="s">
        <v>1953</v>
      </c>
    </row>
    <row r="119" spans="1:17">
      <c r="A119" s="498">
        <v>46048</v>
      </c>
      <c r="B119" s="525" t="s">
        <v>2380</v>
      </c>
      <c r="C119" s="525" t="s">
        <v>2380</v>
      </c>
      <c r="D119" s="442" t="s">
        <v>2223</v>
      </c>
      <c r="E119" s="443">
        <v>46073</v>
      </c>
      <c r="F119" s="442" t="s">
        <v>1926</v>
      </c>
      <c r="G119" s="442" t="s">
        <v>194</v>
      </c>
      <c r="H119" s="442" t="s">
        <v>2381</v>
      </c>
      <c r="I119" s="442" t="s">
        <v>1927</v>
      </c>
      <c r="J119" s="521">
        <v>2.1800000000000002</v>
      </c>
      <c r="K119" s="442">
        <v>80.72</v>
      </c>
      <c r="L119" s="522">
        <v>0</v>
      </c>
      <c r="M119" s="523">
        <v>0</v>
      </c>
      <c r="N119" s="442">
        <v>0</v>
      </c>
      <c r="O119" s="442">
        <v>0.41328150460687985</v>
      </c>
      <c r="P119" s="520">
        <v>30.652656132639699</v>
      </c>
      <c r="Q119" s="527" t="s">
        <v>1953</v>
      </c>
    </row>
  </sheetData>
  <conditionalFormatting sqref="T2:T3">
    <cfRule type="cellIs" dxfId="40" priority="41" operator="equal">
      <formula>0</formula>
    </cfRule>
  </conditionalFormatting>
  <conditionalFormatting sqref="W2:W3">
    <cfRule type="cellIs" dxfId="39" priority="40" operator="equal">
      <formula>0</formula>
    </cfRule>
  </conditionalFormatting>
  <conditionalFormatting sqref="B71:B85">
    <cfRule type="duplicateValues" dxfId="38" priority="38" stopIfTrue="1"/>
    <cfRule type="duplicateValues" dxfId="37" priority="38"/>
  </conditionalFormatting>
  <conditionalFormatting sqref="B92:B94">
    <cfRule type="duplicateValues" dxfId="36" priority="37"/>
  </conditionalFormatting>
  <conditionalFormatting sqref="B95:B99 B1 B104:B107 B109:B116 B48:B65 B71:B91">
    <cfRule type="duplicateValues" dxfId="35" priority="35" stopIfTrue="1"/>
    <cfRule type="duplicateValues" dxfId="34" priority="35"/>
  </conditionalFormatting>
  <conditionalFormatting sqref="B95:B99 B1:B17 B104:B107 B109:B116 B48:B65 B71:B91">
    <cfRule type="duplicateValues" dxfId="33" priority="34"/>
  </conditionalFormatting>
  <conditionalFormatting sqref="B95:B99 B104:B107 B109:B116 B1:B65 B71:B91">
    <cfRule type="duplicateValues" dxfId="32" priority="33"/>
  </conditionalFormatting>
  <conditionalFormatting sqref="C2:C85">
    <cfRule type="duplicateValues" dxfId="31" priority="39"/>
  </conditionalFormatting>
  <conditionalFormatting sqref="C6:C70">
    <cfRule type="duplicateValues" dxfId="30" priority="42"/>
  </conditionalFormatting>
  <conditionalFormatting sqref="C71:C85">
    <cfRule type="duplicateValues" dxfId="29" priority="36" stopIfTrue="1"/>
    <cfRule type="duplicateValues" dxfId="28" priority="43"/>
  </conditionalFormatting>
  <conditionalFormatting sqref="C74:C76">
    <cfRule type="duplicateValues" dxfId="27" priority="32" stopIfTrue="1"/>
    <cfRule type="duplicateValues" dxfId="26" priority="44"/>
  </conditionalFormatting>
  <conditionalFormatting sqref="C77:C80">
    <cfRule type="duplicateValues" dxfId="25" priority="30"/>
    <cfRule type="duplicateValues" dxfId="24" priority="31" stopIfTrue="1"/>
  </conditionalFormatting>
  <conditionalFormatting sqref="C86">
    <cfRule type="duplicateValues" dxfId="23" priority="28"/>
    <cfRule type="duplicateValues" dxfId="22" priority="29" stopIfTrue="1"/>
  </conditionalFormatting>
  <conditionalFormatting sqref="C87:C91">
    <cfRule type="duplicateValues" dxfId="21" priority="19"/>
    <cfRule type="duplicateValues" dxfId="20" priority="20" stopIfTrue="1"/>
    <cfRule type="duplicateValues" dxfId="19" priority="21"/>
    <cfRule type="duplicateValues" dxfId="18" priority="22"/>
  </conditionalFormatting>
  <conditionalFormatting sqref="C92:C94 C1:C85">
    <cfRule type="duplicateValues" dxfId="17" priority="24"/>
  </conditionalFormatting>
  <conditionalFormatting sqref="C95:C99">
    <cfRule type="duplicateValues" dxfId="16" priority="14"/>
    <cfRule type="duplicateValues" dxfId="15" priority="15" stopIfTrue="1"/>
    <cfRule type="duplicateValues" dxfId="14" priority="16"/>
    <cfRule type="duplicateValues" dxfId="13" priority="17"/>
  </conditionalFormatting>
  <conditionalFormatting sqref="C104:C107">
    <cfRule type="duplicateValues" dxfId="12" priority="10"/>
    <cfRule type="duplicateValues" dxfId="11" priority="11" stopIfTrue="1"/>
    <cfRule type="duplicateValues" dxfId="10" priority="12"/>
    <cfRule type="duplicateValues" dxfId="9" priority="13"/>
  </conditionalFormatting>
  <conditionalFormatting sqref="C109:C114">
    <cfRule type="duplicateValues" dxfId="8" priority="6"/>
    <cfRule type="duplicateValues" dxfId="7" priority="7" stopIfTrue="1"/>
    <cfRule type="duplicateValues" dxfId="6" priority="8"/>
    <cfRule type="duplicateValues" dxfId="5" priority="9"/>
  </conditionalFormatting>
  <conditionalFormatting sqref="C115:C116">
    <cfRule type="duplicateValues" dxfId="4" priority="2"/>
    <cfRule type="duplicateValues" dxfId="3" priority="2" stopIfTrue="1"/>
    <cfRule type="duplicateValues" dxfId="2" priority="3"/>
    <cfRule type="duplicateValues" dxfId="1" priority="4"/>
  </conditionalFormatting>
  <conditionalFormatting sqref="L1:M116">
    <cfRule type="cellIs" dxfId="0" priority="5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</vt:i4>
      </vt:variant>
    </vt:vector>
  </HeadingPairs>
  <TitlesOfParts>
    <vt:vector size="25" baseType="lpstr">
      <vt:lpstr>correls (2)</vt:lpstr>
      <vt:lpstr>China</vt:lpstr>
      <vt:lpstr>PAIR_Monitor</vt:lpstr>
      <vt:lpstr>BETAS</vt:lpstr>
      <vt:lpstr>Sheet2</vt:lpstr>
      <vt:lpstr>Sheet1</vt:lpstr>
      <vt:lpstr>P&amp;L Pivot</vt:lpstr>
      <vt:lpstr>Master P&amp;L</vt:lpstr>
      <vt:lpstr>Options</vt:lpstr>
      <vt:lpstr>Options Price</vt:lpstr>
      <vt:lpstr>CDS</vt:lpstr>
      <vt:lpstr>Check</vt:lpstr>
      <vt:lpstr>Input_APM</vt:lpstr>
      <vt:lpstr>Input_APM (Zenith)</vt:lpstr>
      <vt:lpstr>Check (Zenith)</vt:lpstr>
      <vt:lpstr>Auxiliar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2026-01-27T21:15:35Z</dcterms:modified>
  <cp:category/>
  <cp:contentStatus/>
</cp:coreProperties>
</file>