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8_{726A9881-2E10-4AB3-BBB1-E2775ABBAB07}" xr6:coauthVersionLast="47" xr6:coauthVersionMax="47" xr10:uidLastSave="{00000000-0000-0000-0000-000000000000}"/>
  <bookViews>
    <workbookView xWindow="62850" yWindow="0" windowWidth="23220" windowHeight="15585" tabRatio="881" firstSheet="4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Sheet3" sheetId="531" r:id="rId11"/>
    <sheet name="CDS" sheetId="54" r:id="rId12"/>
    <sheet name="Check" sheetId="385" r:id="rId13"/>
    <sheet name="Input_APM" sheetId="384" r:id="rId14"/>
    <sheet name="Input_APM (Zenith)" sheetId="414" r:id="rId15"/>
    <sheet name="Check (Zenith)" sheetId="415" state="hidden" r:id="rId16"/>
    <sheet name="Auxiliar" sheetId="383" r:id="rId17"/>
    <sheet name="Posições Custódia" sheetId="425" r:id="rId18"/>
    <sheet name="Check result" sheetId="444" r:id="rId19"/>
    <sheet name="Precificação" sheetId="527" r:id="rId20"/>
  </sheets>
  <functionGroups builtInGroupCount="19"/>
  <definedNames>
    <definedName name="_xlnm._FilterDatabase" localSheetId="12" hidden="1">Check!$A$4:$V$190</definedName>
    <definedName name="_xlnm._FilterDatabase" localSheetId="15" hidden="1">'Check (Zenith)'!$B$4:$E$151</definedName>
    <definedName name="_xlnm._FilterDatabase" localSheetId="13" hidden="1">Input_APM!$K$1:$O$397</definedName>
    <definedName name="_xlnm._FilterDatabase" localSheetId="7" hidden="1">'Master P&amp;L'!$A$11:$AD$57</definedName>
    <definedName name="_xlnm._FilterDatabase" localSheetId="8" hidden="1">Options!$A$3:$BD$28</definedName>
    <definedName name="_xlnm._FilterDatabase" localSheetId="17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P&amp;L'!$B$2:$AC$57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/>
  <pivotCaches>
    <pivotCache cacheId="116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2" l="1"/>
  <c r="L1" i="2"/>
  <c r="H205" i="89" l="1"/>
  <c r="V203" i="89" a="1"/>
  <c r="V203" i="89" l="1"/>
  <c r="C203" i="89" a="1"/>
  <c r="C203" i="89" l="1"/>
  <c r="O203" i="89" a="1"/>
  <c r="O203" i="89" l="1"/>
  <c r="T203" i="89" a="1"/>
  <c r="T203" i="89" l="1"/>
  <c r="D203" i="89" a="1"/>
  <c r="D203" i="89"/>
  <c r="E203" i="89" a="1"/>
  <c r="E203" i="89"/>
  <c r="F203" i="89" a="1"/>
  <c r="F203" i="89"/>
  <c r="K203" i="89" a="1"/>
  <c r="K203" i="89"/>
  <c r="L203" i="89" a="1"/>
  <c r="L203" i="89"/>
  <c r="W203" i="89" a="1"/>
  <c r="W203" i="89"/>
  <c r="V204" i="89" a="1"/>
  <c r="V204" i="89"/>
  <c r="C204" i="89" a="1"/>
  <c r="C204" i="89"/>
  <c r="T204" i="89" a="1"/>
  <c r="T204" i="89"/>
  <c r="O204" i="89" a="1"/>
  <c r="O204" i="89"/>
  <c r="E204" i="89" a="1"/>
  <c r="E204" i="89" l="1"/>
  <c r="D204" i="89" a="1"/>
  <c r="D204" i="89"/>
  <c r="F204" i="89" a="1"/>
  <c r="F204" i="89"/>
  <c r="K204" i="89" a="1"/>
  <c r="K204" i="89"/>
  <c r="L204" i="89" a="1"/>
  <c r="L204" i="89"/>
  <c r="W204" i="89" a="1"/>
  <c r="W204" i="89"/>
  <c r="D205" i="89" a="1"/>
  <c r="D205" i="89"/>
  <c r="C211" i="89" a="1"/>
  <c r="C211" i="89"/>
  <c r="T211" i="89" a="1"/>
  <c r="T211" i="89"/>
  <c r="V211" i="89" a="1"/>
  <c r="V211" i="89"/>
  <c r="O211" i="89" a="1"/>
  <c r="O211" i="89"/>
  <c r="E211" i="89" a="1"/>
  <c r="E211" i="89"/>
  <c r="F211" i="89" a="1"/>
  <c r="F211" i="89"/>
  <c r="K211" i="89" a="1"/>
  <c r="K211" i="89"/>
  <c r="L211" i="89" a="1"/>
  <c r="L211" i="89"/>
  <c r="W211" i="89" a="1"/>
  <c r="W211" i="89"/>
  <c r="V212" i="89" a="1"/>
  <c r="V212" i="89"/>
  <c r="O212" i="89" a="1"/>
  <c r="O212" i="89"/>
  <c r="C212" i="89" a="1"/>
  <c r="C212" i="89" l="1"/>
  <c r="T212" i="89" a="1"/>
  <c r="T212" i="89"/>
  <c r="E212" i="89" a="1"/>
  <c r="E212" i="89"/>
  <c r="W212" i="89" a="1"/>
  <c r="W212" i="89"/>
  <c r="L212" i="89" a="1"/>
  <c r="L212" i="89"/>
  <c r="K212" i="89" a="1"/>
  <c r="K212" i="89"/>
  <c r="F212" i="89" a="1"/>
  <c r="F212" i="89"/>
  <c r="O213" i="89" a="1"/>
  <c r="O213" i="89"/>
  <c r="V213" i="89" a="1"/>
  <c r="V213" i="89" l="1"/>
  <c r="T213" i="89" a="1"/>
  <c r="T213" i="89"/>
  <c r="C213" i="89" a="1"/>
  <c r="C213" i="89"/>
  <c r="E213" i="89" a="1"/>
  <c r="E213" i="89"/>
  <c r="F213" i="89" a="1"/>
  <c r="F213" i="89"/>
  <c r="K213" i="89" a="1"/>
  <c r="K213" i="89"/>
  <c r="L213" i="89" a="1"/>
  <c r="L213" i="89"/>
  <c r="W213" i="89" a="1"/>
  <c r="W213" i="89"/>
  <c r="O39" i="89" a="1"/>
  <c r="O39" i="89"/>
  <c r="V39" i="89" a="1"/>
  <c r="V39" i="89"/>
  <c r="T39" i="89" a="1"/>
  <c r="T39" i="89"/>
  <c r="C39" i="89" a="1"/>
  <c r="C39" i="89"/>
  <c r="E39" i="89" a="1"/>
  <c r="E39" i="89"/>
  <c r="D39" i="89" a="1"/>
  <c r="D39" i="89"/>
  <c r="W39" i="89" a="1"/>
  <c r="W39" i="89"/>
  <c r="L39" i="89" a="1"/>
  <c r="L39" i="89"/>
  <c r="K39" i="89" a="1"/>
  <c r="K39" i="89"/>
  <c r="F39" i="89" a="1"/>
  <c r="F39" i="89"/>
  <c r="AI47" i="1"/>
  <c r="AG47" i="1"/>
  <c r="L47" i="1" a="1"/>
  <c r="AF47" i="1"/>
  <c r="AC47" i="1" a="1"/>
  <c r="AB47" i="1"/>
  <c r="I47" i="1" a="1"/>
  <c r="K50" i="1" a="1"/>
  <c r="I47" i="1" l="1"/>
  <c r="AC47" i="1"/>
  <c r="L47" i="1"/>
  <c r="K50" i="1"/>
  <c r="K45" i="1" a="1"/>
  <c r="N47" i="1" l="1"/>
  <c r="J47" i="1"/>
  <c r="K45" i="1"/>
  <c r="K27" i="1" a="1"/>
  <c r="K27" i="1" l="1"/>
  <c r="E5" i="1" a="1"/>
  <c r="E5" i="1" l="1"/>
  <c r="AI37" i="1"/>
  <c r="AC37" i="1" a="1"/>
  <c r="AC37" i="1"/>
  <c r="AF40" i="1"/>
  <c r="AF39" i="1"/>
  <c r="AF38" i="1"/>
  <c r="K42" i="1" a="1"/>
  <c r="K42" i="1"/>
  <c r="AB28" i="1"/>
  <c r="AB27" i="1"/>
  <c r="AF12" i="1"/>
  <c r="AI40" i="1"/>
  <c r="AI39" i="1"/>
  <c r="AI38" i="1"/>
  <c r="AC12" i="1"/>
  <c r="AC44" i="1" a="1"/>
  <c r="AC44" i="1"/>
  <c r="AC43" i="1" a="1"/>
  <c r="AC43" i="1"/>
  <c r="K37" i="1" a="1"/>
  <c r="K37" i="1"/>
  <c r="AB40" i="1"/>
  <c r="AB39" i="1"/>
  <c r="AB38" i="1"/>
  <c r="AI14" i="1"/>
  <c r="AC54" i="1" a="1"/>
  <c r="AC54" i="1"/>
  <c r="AC28" i="1" a="1"/>
  <c r="AC28" i="1"/>
  <c r="AC27" i="1" a="1"/>
  <c r="AC27" i="1"/>
  <c r="K43" i="1" a="1"/>
  <c r="K43" i="1"/>
  <c r="AF14" i="1"/>
  <c r="AF28" i="1"/>
  <c r="AF27" i="1"/>
  <c r="AF42" i="1"/>
  <c r="AI12" i="1"/>
  <c r="AC40" i="1" a="1"/>
  <c r="AC40" i="1"/>
  <c r="AC39" i="1" a="1"/>
  <c r="AC39" i="1"/>
  <c r="AC38" i="1" a="1"/>
  <c r="AC38" i="1"/>
  <c r="AF51" i="1"/>
  <c r="AF50" i="1"/>
  <c r="AB42" i="1"/>
  <c r="AI54" i="1"/>
  <c r="AI45" i="1"/>
  <c r="K12" i="1" a="1"/>
  <c r="K12" i="1"/>
  <c r="K54" i="1" a="1"/>
  <c r="K54" i="1"/>
  <c r="AI51" i="1"/>
  <c r="AI50" i="1"/>
  <c r="AC14" i="1"/>
  <c r="AB51" i="1"/>
  <c r="AB50" i="1"/>
  <c r="AC45" i="1" a="1"/>
  <c r="AC45" i="1"/>
  <c r="AF44" i="1"/>
  <c r="AF43" i="1"/>
  <c r="AC42" i="1" a="1"/>
  <c r="AC42" i="1"/>
  <c r="AB14" i="1"/>
  <c r="AB54" i="1"/>
  <c r="AF54" i="1"/>
  <c r="AB45" i="1"/>
  <c r="AI44" i="1"/>
  <c r="AI43" i="1"/>
  <c r="AF45" i="1"/>
  <c r="K14" i="1" a="1"/>
  <c r="K14" i="1"/>
  <c r="AC51" i="1" a="1"/>
  <c r="AC51" i="1"/>
  <c r="AC50" i="1" a="1"/>
  <c r="AC50" i="1"/>
  <c r="AI42" i="1"/>
  <c r="AB44" i="1"/>
  <c r="AB43" i="1"/>
  <c r="AB12" i="1"/>
  <c r="AI28" i="1"/>
  <c r="AI27" i="1"/>
  <c r="AB37" i="1"/>
  <c r="AF37" i="1"/>
  <c r="K38" i="1" a="1"/>
  <c r="K38" i="1"/>
  <c r="K3" i="1" a="1"/>
  <c r="K3" i="1"/>
  <c r="K9" i="1" a="1"/>
  <c r="K9" i="1"/>
  <c r="K1" i="1"/>
  <c r="E8" i="1" a="1"/>
  <c r="E8" i="1"/>
  <c r="K8" i="1" a="1"/>
  <c r="K8" i="1"/>
  <c r="K7" i="1"/>
  <c r="E4" i="1" a="1"/>
  <c r="E4" i="1"/>
  <c r="K4" i="1" a="1"/>
  <c r="K4" i="1"/>
  <c r="X3" i="1"/>
  <c r="AG37" i="1"/>
  <c r="AG26" i="1"/>
  <c r="AG25" i="1"/>
  <c r="AG13" i="1"/>
  <c r="AG51" i="1"/>
  <c r="AG50" i="1"/>
  <c r="AG52" i="1"/>
  <c r="AG54" i="1"/>
  <c r="AG41" i="1"/>
  <c r="AG24" i="1"/>
  <c r="AG23" i="1"/>
  <c r="AG57" i="1"/>
  <c r="AG42" i="1"/>
  <c r="AG14" i="1"/>
  <c r="AG35" i="1"/>
  <c r="AG34" i="1"/>
  <c r="AG33" i="1"/>
  <c r="AG32" i="1"/>
  <c r="AG44" i="1"/>
  <c r="AG43" i="1"/>
  <c r="AG22" i="1"/>
  <c r="AG21" i="1"/>
  <c r="AG20" i="1"/>
  <c r="AG19" i="1"/>
  <c r="AG28" i="1"/>
  <c r="AG27" i="1"/>
  <c r="AG55" i="1"/>
  <c r="AG36" i="1"/>
  <c r="K29" i="1" a="1"/>
  <c r="K29" i="1"/>
  <c r="E9" i="1"/>
  <c r="K25" i="1" a="1"/>
  <c r="K25" i="1"/>
  <c r="E6" i="1" a="1"/>
  <c r="E6" i="1"/>
  <c r="K52" i="1" a="1"/>
  <c r="K52" i="1"/>
  <c r="E2" i="1" a="1"/>
  <c r="E2" i="1"/>
  <c r="AI35" i="1"/>
  <c r="AI34" i="1"/>
  <c r="AI33" i="1"/>
  <c r="AI32" i="1"/>
  <c r="AI26" i="1"/>
  <c r="AI25" i="1"/>
  <c r="K32" i="1" a="1"/>
  <c r="K32" i="1"/>
  <c r="E7" i="1" a="1"/>
  <c r="E7" i="1"/>
  <c r="AI49" i="1"/>
  <c r="AI48" i="1"/>
  <c r="AI52" i="1"/>
  <c r="K48" i="1" a="1"/>
  <c r="K48" i="1"/>
  <c r="E3" i="1"/>
  <c r="AI31" i="1"/>
  <c r="AI30" i="1"/>
  <c r="AI29" i="1"/>
  <c r="AC18" i="1"/>
  <c r="K6" i="1" a="1"/>
  <c r="K6" i="1"/>
  <c r="K18" i="1" a="1"/>
  <c r="K18" i="1"/>
  <c r="AI57" i="1"/>
  <c r="AC55" i="1"/>
  <c r="AI36" i="1"/>
  <c r="AC36" i="1" a="1"/>
  <c r="AC36" i="1"/>
  <c r="K55" i="1" a="1"/>
  <c r="K55" i="1"/>
  <c r="AI18" i="1"/>
  <c r="AC57" i="1"/>
  <c r="K2" i="1"/>
  <c r="AC17" i="1"/>
  <c r="AC16" i="1"/>
  <c r="AC15" i="1"/>
  <c r="K57" i="1" a="1"/>
  <c r="K57" i="1"/>
  <c r="AI55" i="1"/>
  <c r="AI17" i="1"/>
  <c r="AI16" i="1"/>
  <c r="AI15" i="1"/>
  <c r="K5" i="1" a="1"/>
  <c r="K5" i="1"/>
  <c r="K15" i="1" a="1"/>
  <c r="K15" i="1"/>
  <c r="AC41" i="1" a="1"/>
  <c r="AC41" i="1"/>
  <c r="AB56" i="1"/>
  <c r="K41" i="1" a="1"/>
  <c r="K41" i="1"/>
  <c r="AB24" i="1"/>
  <c r="AB23" i="1"/>
  <c r="K56" i="1" a="1"/>
  <c r="K56" i="1"/>
  <c r="AF56" i="1"/>
  <c r="AB13" i="1"/>
  <c r="AF41" i="1"/>
  <c r="AC24" i="1" a="1"/>
  <c r="AC24" i="1"/>
  <c r="AC23" i="1" a="1"/>
  <c r="AC23" i="1"/>
  <c r="AI24" i="1"/>
  <c r="AI23" i="1"/>
  <c r="AG31" i="1"/>
  <c r="AG30" i="1"/>
  <c r="AG29" i="1"/>
  <c r="AI56" i="1"/>
  <c r="AG17" i="1"/>
  <c r="AG16" i="1"/>
  <c r="AG15" i="1"/>
  <c r="AB41" i="1"/>
  <c r="AG45" i="1"/>
  <c r="AI13" i="1"/>
  <c r="AG40" i="1"/>
  <c r="AG39" i="1"/>
  <c r="AG38" i="1"/>
  <c r="AC56" i="1"/>
  <c r="AG56" i="1"/>
  <c r="AF13" i="1"/>
  <c r="AG49" i="1"/>
  <c r="AG48" i="1"/>
  <c r="AC13" i="1"/>
  <c r="AG53" i="1"/>
  <c r="AF24" i="1"/>
  <c r="AF23" i="1"/>
  <c r="AG46" i="1"/>
  <c r="K23" i="1" a="1"/>
  <c r="K23" i="1"/>
  <c r="AG18" i="1"/>
  <c r="K13" i="1" a="1"/>
  <c r="K13" i="1"/>
  <c r="AG12" i="1"/>
  <c r="AI41" i="1"/>
  <c r="L45" i="1" a="1"/>
  <c r="L45" i="1"/>
  <c r="L37" i="1" a="1"/>
  <c r="L37" i="1"/>
  <c r="K46" i="1" a="1"/>
  <c r="K46" i="1"/>
  <c r="E1" i="1"/>
  <c r="AI46" i="1"/>
  <c r="AC46" i="1" a="1"/>
  <c r="AC46" i="1"/>
  <c r="AC53" i="1" a="1"/>
  <c r="AC53" i="1"/>
  <c r="AI53" i="1"/>
  <c r="AB46" i="1"/>
  <c r="AB53" i="1"/>
  <c r="K53" i="1" a="1"/>
  <c r="K53" i="1"/>
  <c r="AC22" i="1"/>
  <c r="AC21" i="1"/>
  <c r="AC20" i="1"/>
  <c r="AC19" i="1"/>
  <c r="AI22" i="1"/>
  <c r="AI21" i="1"/>
  <c r="AI20" i="1"/>
  <c r="AI19" i="1"/>
  <c r="K19" i="1" a="1"/>
  <c r="K19" i="1"/>
  <c r="K10" i="1"/>
  <c r="AF22" i="1"/>
  <c r="AF21" i="1"/>
  <c r="AF20" i="1"/>
  <c r="AF19" i="1"/>
  <c r="E10" i="1"/>
  <c r="AF10" i="1" a="1"/>
  <c r="AF10" i="1"/>
  <c r="AB2" i="1" a="1"/>
  <c r="AB2" i="1"/>
  <c r="AD2" i="1" a="1"/>
  <c r="AD2" i="1"/>
  <c r="I22" i="1" a="1"/>
  <c r="I22" i="1"/>
  <c r="I40" i="1" a="1"/>
  <c r="I40" i="1"/>
  <c r="I17" i="1" a="1"/>
  <c r="I17" i="1"/>
  <c r="I31" i="1" a="1"/>
  <c r="I31" i="1"/>
  <c r="I35" i="1" a="1"/>
  <c r="I35" i="1"/>
  <c r="I36" i="1" a="1"/>
  <c r="I36" i="1"/>
  <c r="I27" i="1" a="1"/>
  <c r="I27" i="1"/>
  <c r="I1" i="1" a="1"/>
  <c r="I1" i="1"/>
  <c r="C1" i="1" a="1"/>
  <c r="C1" i="1"/>
  <c r="I54" i="1" a="1"/>
  <c r="I54" i="1"/>
  <c r="I5" i="1" a="1"/>
  <c r="I5" i="1"/>
  <c r="C8" i="1" a="1"/>
  <c r="C8" i="1"/>
  <c r="I57" i="1" a="1"/>
  <c r="I57" i="1"/>
  <c r="C2" i="1" a="1"/>
  <c r="C2" i="1"/>
  <c r="I56" i="1" a="1"/>
  <c r="I56" i="1"/>
  <c r="I4" i="1" a="1"/>
  <c r="I4" i="1"/>
  <c r="AC3" i="1" a="1"/>
  <c r="AC3" i="1"/>
  <c r="I45" i="1" a="1"/>
  <c r="I45" i="1"/>
  <c r="I2" i="1" a="1"/>
  <c r="I2" i="1"/>
  <c r="I53" i="1" a="1"/>
  <c r="I53" i="1"/>
  <c r="I55" i="1" a="1"/>
  <c r="I55" i="1"/>
  <c r="C4" i="1" a="1"/>
  <c r="C4" i="1"/>
  <c r="I6" i="1" a="1"/>
  <c r="I6" i="1"/>
  <c r="I42" i="1" a="1"/>
  <c r="I42" i="1"/>
  <c r="C10" i="1" a="1"/>
  <c r="C10" i="1"/>
  <c r="C5" i="1" a="1"/>
  <c r="C5" i="1"/>
  <c r="I12" i="1" a="1"/>
  <c r="I12" i="1"/>
  <c r="I13" i="1" a="1"/>
  <c r="I13" i="1"/>
  <c r="C7" i="1" a="1"/>
  <c r="C7" i="1"/>
  <c r="I7" i="1" a="1"/>
  <c r="I7" i="1"/>
  <c r="C6" i="1" a="1"/>
  <c r="C6" i="1"/>
  <c r="C3" i="1" a="1"/>
  <c r="C3" i="1"/>
  <c r="C9" i="1" a="1"/>
  <c r="C9" i="1"/>
  <c r="I18" i="1" a="1"/>
  <c r="I18" i="1"/>
  <c r="I10" i="1" a="1"/>
  <c r="I10" i="1"/>
  <c r="I9" i="1" a="1"/>
  <c r="I9" i="1"/>
  <c r="I41" i="1" a="1"/>
  <c r="I41" i="1"/>
  <c r="I3" i="1" a="1"/>
  <c r="I3" i="1"/>
  <c r="I8" i="1" a="1"/>
  <c r="I8" i="1"/>
  <c r="I52" i="1" a="1"/>
  <c r="I52" i="1"/>
  <c r="I46" i="1" a="1"/>
  <c r="I46" i="1"/>
  <c r="I37" i="1" a="1"/>
  <c r="I37" i="1"/>
  <c r="I51" i="1" a="1"/>
  <c r="I51" i="1"/>
  <c r="I44" i="1" a="1"/>
  <c r="I44" i="1"/>
  <c r="I24" i="1" a="1"/>
  <c r="I24" i="1"/>
  <c r="I26" i="1" a="1"/>
  <c r="I26" i="1"/>
  <c r="I49" i="1" a="1"/>
  <c r="I49" i="1"/>
  <c r="I28" i="1" a="1"/>
  <c r="L28" i="1" a="1"/>
  <c r="AB50" i="89" a="1"/>
  <c r="L28" i="1" l="1"/>
  <c r="I28" i="1"/>
  <c r="AB50" i="89"/>
  <c r="AB49" i="89" a="1"/>
  <c r="N28" i="1" l="1"/>
  <c r="J28" i="1"/>
  <c r="AB49" i="89"/>
  <c r="S50" i="89" a="1"/>
  <c r="T28" i="1" l="1"/>
  <c r="S50" i="89"/>
  <c r="R50" i="89" a="1"/>
  <c r="D49" i="89" a="1"/>
  <c r="R50" i="89" l="1"/>
  <c r="D49" i="89"/>
  <c r="E50" i="89" a="1"/>
  <c r="E50" i="89"/>
  <c r="D50" i="89" a="1"/>
  <c r="D50" i="89"/>
  <c r="E49" i="89" a="1"/>
  <c r="E49" i="89"/>
  <c r="V49" i="89" a="1"/>
  <c r="V49" i="89"/>
  <c r="V50" i="89" a="1"/>
  <c r="V50" i="89"/>
  <c r="O49" i="89" a="1"/>
  <c r="O49" i="89"/>
  <c r="T50" i="89" a="1"/>
  <c r="T50" i="89"/>
  <c r="C49" i="89" a="1"/>
  <c r="C49" i="89"/>
  <c r="T49" i="89" a="1"/>
  <c r="T49" i="89"/>
  <c r="C50" i="89" a="1"/>
  <c r="C50" i="89"/>
  <c r="O50" i="89" a="1"/>
  <c r="O50" i="89"/>
  <c r="W50" i="89" a="1"/>
  <c r="W50" i="89"/>
  <c r="L50" i="89" a="1"/>
  <c r="L50" i="89"/>
  <c r="K50" i="89" a="1"/>
  <c r="K50" i="89"/>
  <c r="F50" i="89" a="1"/>
  <c r="F50" i="89"/>
  <c r="W49" i="89" a="1"/>
  <c r="W49" i="89"/>
  <c r="L49" i="89" a="1"/>
  <c r="L49" i="89"/>
  <c r="K49" i="89" a="1"/>
  <c r="K49" i="89"/>
  <c r="F49" i="89" a="1"/>
  <c r="F49" i="89"/>
  <c r="H50" i="89"/>
  <c r="E34" i="89" a="1"/>
  <c r="E34" i="89"/>
  <c r="D34" i="89" a="1"/>
  <c r="D34" i="89"/>
  <c r="T34" i="89" a="1"/>
  <c r="T34" i="89"/>
  <c r="V34" i="89" a="1"/>
  <c r="V34" i="89"/>
  <c r="O34" i="89" a="1"/>
  <c r="O34" i="89"/>
  <c r="C34" i="89" a="1"/>
  <c r="C34" i="89" l="1"/>
  <c r="K34" i="89" a="1"/>
  <c r="K34" i="89"/>
  <c r="F34" i="89" a="1"/>
  <c r="F34" i="89"/>
  <c r="W34" i="89" a="1"/>
  <c r="W34" i="89"/>
  <c r="L34" i="89" a="1"/>
  <c r="L34" i="89"/>
  <c r="D33" i="89" a="1"/>
  <c r="D33" i="89"/>
  <c r="E33" i="89" a="1"/>
  <c r="E33" i="89"/>
  <c r="W33" i="89" a="1"/>
  <c r="W33" i="89"/>
  <c r="F33" i="89" a="1"/>
  <c r="F33" i="89"/>
  <c r="K33" i="89" a="1"/>
  <c r="K33" i="89"/>
  <c r="L33" i="89" a="1"/>
  <c r="L33" i="89"/>
  <c r="T33" i="89" a="1"/>
  <c r="T33" i="89"/>
  <c r="C33" i="89" a="1"/>
  <c r="C33" i="89"/>
  <c r="V33" i="89" a="1"/>
  <c r="V33" i="89"/>
  <c r="O33" i="89" a="1"/>
  <c r="O33" i="89"/>
  <c r="I28" i="2"/>
  <c r="AB22" i="1"/>
  <c r="L22" i="1" a="1"/>
  <c r="L40" i="1" a="1"/>
  <c r="AF17" i="1"/>
  <c r="AB17" i="1"/>
  <c r="L17" i="1" a="1"/>
  <c r="L22" i="1" l="1"/>
  <c r="L40" i="1"/>
  <c r="L17" i="1"/>
  <c r="N22" i="1" l="1"/>
  <c r="J22" i="1"/>
  <c r="J40" i="1"/>
  <c r="N40" i="1"/>
  <c r="J17" i="1"/>
  <c r="N17" i="1"/>
  <c r="T22" i="1" l="1"/>
  <c r="T40" i="1"/>
  <c r="T17" i="1"/>
  <c r="F17" i="1" l="1"/>
  <c r="I15" i="1" a="1"/>
  <c r="I15" i="1"/>
  <c r="I39" i="1" a="1"/>
  <c r="I39" i="1"/>
  <c r="I21" i="1" a="1"/>
  <c r="I21" i="1"/>
  <c r="L20" i="1" a="1"/>
  <c r="I20" i="1" a="1"/>
  <c r="AB21" i="1"/>
  <c r="L21" i="1" a="1"/>
  <c r="AB20" i="1"/>
  <c r="L21" i="1" l="1"/>
  <c r="I20" i="1"/>
  <c r="L20" i="1"/>
  <c r="H25" i="2"/>
  <c r="L49" i="1" a="1"/>
  <c r="AF49" i="1"/>
  <c r="AB49" i="1"/>
  <c r="AC49" i="1" a="1"/>
  <c r="L26" i="1" a="1"/>
  <c r="AF26" i="1"/>
  <c r="AC26" i="1" a="1"/>
  <c r="AB26" i="1"/>
  <c r="L24" i="1" a="1"/>
  <c r="L39" i="1" a="1"/>
  <c r="L44" i="1" a="1"/>
  <c r="L51" i="1" a="1"/>
  <c r="J20" i="1" l="1"/>
  <c r="N20" i="1"/>
  <c r="N21" i="1"/>
  <c r="J21" i="1"/>
  <c r="AC49" i="1"/>
  <c r="L49" i="1"/>
  <c r="AC26" i="1"/>
  <c r="L26" i="1"/>
  <c r="L24" i="1"/>
  <c r="L39" i="1"/>
  <c r="L44" i="1"/>
  <c r="L51" i="1"/>
  <c r="T21" i="1" l="1"/>
  <c r="T20" i="1"/>
  <c r="J49" i="1"/>
  <c r="N49" i="1"/>
  <c r="N26" i="1"/>
  <c r="J26" i="1"/>
  <c r="N24" i="1"/>
  <c r="J24" i="1"/>
  <c r="N39" i="1"/>
  <c r="J39" i="1"/>
  <c r="N44" i="1"/>
  <c r="J44" i="1"/>
  <c r="N51" i="1"/>
  <c r="J51" i="1"/>
  <c r="T26" i="1" l="1"/>
  <c r="T24" i="1"/>
  <c r="T39" i="1"/>
  <c r="T44" i="1"/>
  <c r="I19" i="1" a="1"/>
  <c r="I19" i="1"/>
  <c r="J19" i="1" s="1"/>
  <c r="I25" i="1" a="1"/>
  <c r="I25" i="1"/>
  <c r="I38" i="1" a="1"/>
  <c r="I38" i="1"/>
  <c r="I50" i="1" a="1"/>
  <c r="I50" i="1"/>
  <c r="I23" i="1" a="1"/>
  <c r="I23" i="1"/>
  <c r="I48" i="1" a="1"/>
  <c r="I48" i="1"/>
  <c r="I43" i="1" a="1"/>
  <c r="I43" i="1"/>
  <c r="L16" i="1" a="1"/>
  <c r="AB16" i="1"/>
  <c r="AF16" i="1"/>
  <c r="I16" i="1" a="1"/>
  <c r="E14" i="89" a="1"/>
  <c r="I16" i="1" l="1"/>
  <c r="L16" i="1"/>
  <c r="E14" i="89"/>
  <c r="D13" i="89" a="1"/>
  <c r="N16" i="1" l="1"/>
  <c r="J16" i="1"/>
  <c r="D13" i="89"/>
  <c r="D14" i="89" a="1"/>
  <c r="T16" i="1" l="1"/>
  <c r="D14" i="89"/>
  <c r="E13" i="89" a="1"/>
  <c r="F16" i="1" l="1"/>
  <c r="E13" i="89"/>
  <c r="I27" i="2"/>
  <c r="AR23" i="2" a="1"/>
  <c r="AR23" i="2" l="1"/>
  <c r="F23" i="2" a="1"/>
  <c r="F23" i="2"/>
  <c r="C23" i="2" a="1"/>
  <c r="C23" i="2"/>
  <c r="E23" i="2" a="1"/>
  <c r="E23" i="2"/>
  <c r="AN23" i="2" a="1"/>
  <c r="AN23" i="2"/>
  <c r="L23" i="2" a="1"/>
  <c r="L23" i="2"/>
  <c r="AD23" i="2" a="1"/>
  <c r="AD23" i="2"/>
  <c r="AA23" i="2" a="1"/>
  <c r="AA23" i="2"/>
  <c r="D23" i="2" a="1"/>
  <c r="D23" i="2"/>
  <c r="T23" i="2" a="1"/>
  <c r="T23" i="2"/>
  <c r="Q23" i="2" a="1"/>
  <c r="Q23" i="2"/>
  <c r="G23" i="2" a="1"/>
  <c r="G23" i="2"/>
  <c r="AF23" i="2" a="1"/>
  <c r="AF23" i="2"/>
  <c r="P23" i="2" a="1"/>
  <c r="P23" i="2"/>
  <c r="BA23" i="2"/>
  <c r="BB23" i="2" l="1"/>
  <c r="BC23" i="2" s="1"/>
  <c r="S23" i="2" a="1"/>
  <c r="S23" i="2" l="1"/>
  <c r="AO23" i="2" s="1"/>
  <c r="R23" i="2"/>
  <c r="AP23" i="2"/>
  <c r="U23" i="2"/>
  <c r="O23" i="2"/>
  <c r="AQ23" i="2" a="1"/>
  <c r="Z23" i="2"/>
  <c r="AV23" i="2" a="1"/>
  <c r="AC23" i="2" a="1"/>
  <c r="AC23" i="2" l="1"/>
  <c r="AE23" i="2" s="1"/>
  <c r="AV23" i="2"/>
  <c r="AT23" i="2"/>
  <c r="AS23" i="2"/>
  <c r="AL23" i="2"/>
  <c r="AM23" i="2"/>
  <c r="X23" i="2"/>
  <c r="Y23" i="2" s="1"/>
  <c r="AB23" i="2"/>
  <c r="M23" i="2"/>
  <c r="AQ23" i="2"/>
  <c r="AF31" i="1"/>
  <c r="AC31" i="1" a="1"/>
  <c r="AB31" i="1"/>
  <c r="L31" i="1" a="1"/>
  <c r="L31" i="1" l="1"/>
  <c r="AC31" i="1"/>
  <c r="N31" i="1" l="1"/>
  <c r="J31" i="1"/>
  <c r="T31" i="1" l="1"/>
  <c r="J5" i="2" l="1"/>
  <c r="K5" i="2" s="1"/>
  <c r="J6" i="2"/>
  <c r="K6" i="2" s="1"/>
  <c r="J7" i="2"/>
  <c r="J8" i="2"/>
  <c r="K8" i="2" s="1"/>
  <c r="J9" i="2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/>
  <c r="J22" i="2"/>
  <c r="K22" i="2" s="1"/>
  <c r="J24" i="2"/>
  <c r="K24" i="2" s="1"/>
  <c r="J25" i="2"/>
  <c r="K25" i="2" s="1"/>
  <c r="AC35" i="1" a="1"/>
  <c r="AB35" i="1"/>
  <c r="L35" i="1" a="1"/>
  <c r="AF35" i="1"/>
  <c r="K7" i="2" l="1"/>
  <c r="K28" i="2" s="1"/>
  <c r="J28" i="2"/>
  <c r="K9" i="2"/>
  <c r="K27" i="2" s="1"/>
  <c r="J27" i="2"/>
  <c r="L35" i="1"/>
  <c r="AC35" i="1"/>
  <c r="J35" i="1" l="1"/>
  <c r="N35" i="1"/>
  <c r="T35" i="1" l="1"/>
  <c r="AB197" i="89" a="1"/>
  <c r="AB197" i="89"/>
  <c r="AB196" i="89" a="1"/>
  <c r="AB196" i="89"/>
  <c r="AB195" i="89" a="1"/>
  <c r="AB195" i="89"/>
  <c r="AB63" i="89" a="1"/>
  <c r="AB63" i="89"/>
  <c r="AB62" i="89" a="1"/>
  <c r="AB62" i="89"/>
  <c r="AB129" i="89" a="1"/>
  <c r="AB129" i="89"/>
  <c r="AB160" i="89" a="1"/>
  <c r="AB160" i="89"/>
  <c r="AB154" i="89" a="1"/>
  <c r="AB154" i="89"/>
  <c r="AB153" i="89" a="1"/>
  <c r="AB153" i="89"/>
  <c r="AB116" i="89" a="1"/>
  <c r="AB116" i="89"/>
  <c r="AB115" i="89" a="1"/>
  <c r="AB115" i="89"/>
  <c r="AB108" i="89" a="1"/>
  <c r="AB108" i="89"/>
  <c r="AB40" i="89" a="1"/>
  <c r="AB40" i="89"/>
  <c r="AB237" i="89" a="1"/>
  <c r="AB237" i="89"/>
  <c r="AB138" i="89" a="1"/>
  <c r="AB138" i="89"/>
  <c r="AB137" i="89" a="1"/>
  <c r="AB137" i="89"/>
  <c r="AB136" i="89" a="1"/>
  <c r="AB136" i="89"/>
  <c r="AB96" i="89" a="1"/>
  <c r="AB96" i="89"/>
  <c r="AB95" i="89" a="1"/>
  <c r="AB95" i="89"/>
  <c r="AB102" i="89" a="1"/>
  <c r="AB102" i="89"/>
  <c r="AB101" i="89" a="1"/>
  <c r="AB101" i="89"/>
  <c r="AB188" i="89" a="1"/>
  <c r="AB188" i="89"/>
  <c r="AB187" i="89" a="1"/>
  <c r="AB187" i="89"/>
  <c r="AB186" i="89" a="1"/>
  <c r="AB186" i="89"/>
  <c r="AB234" i="89" a="1"/>
  <c r="AB234" i="89"/>
  <c r="AB236" i="89" a="1"/>
  <c r="AB236" i="89"/>
  <c r="AB145" i="89" a="1"/>
  <c r="AB145" i="89"/>
  <c r="AB144" i="89" a="1"/>
  <c r="AB144" i="89"/>
  <c r="AB109" i="89" a="1"/>
  <c r="AB109" i="89"/>
  <c r="R40" i="89" a="1"/>
  <c r="R40" i="89"/>
  <c r="AB123" i="89" a="1"/>
  <c r="AB123" i="89"/>
  <c r="AB122" i="89" a="1"/>
  <c r="AB122" i="89"/>
  <c r="AB235" i="89" a="1"/>
  <c r="AB235" i="89"/>
  <c r="AB56" i="89" a="1"/>
  <c r="AB56" i="89"/>
  <c r="AB55" i="89" a="1"/>
  <c r="AB55" i="89"/>
  <c r="AB90" i="89" a="1"/>
  <c r="AB90" i="89"/>
  <c r="AB89" i="89" a="1"/>
  <c r="AB89" i="89"/>
  <c r="AB20" i="89" a="1"/>
  <c r="AB20" i="89"/>
  <c r="AB19" i="89" a="1"/>
  <c r="AB19" i="89"/>
  <c r="S197" i="89" a="1"/>
  <c r="S197" i="89"/>
  <c r="R197" i="89" a="1"/>
  <c r="S129" i="89" a="1"/>
  <c r="R197" i="89" l="1"/>
  <c r="S129" i="89"/>
  <c r="R129" i="89" a="1"/>
  <c r="S108" i="89" a="1"/>
  <c r="R129" i="89" l="1"/>
  <c r="S108" i="89"/>
  <c r="R108" i="89" a="1"/>
  <c r="S154" i="89" a="1"/>
  <c r="R108" i="89" l="1"/>
  <c r="S154" i="89"/>
  <c r="R154" i="89" a="1"/>
  <c r="S160" i="89" a="1"/>
  <c r="R154" i="89" l="1"/>
  <c r="S160" i="89"/>
  <c r="R160" i="89" a="1"/>
  <c r="S116" i="89" a="1"/>
  <c r="R160" i="89" l="1"/>
  <c r="S116" i="89"/>
  <c r="R116" i="89" a="1"/>
  <c r="R116" i="89" l="1"/>
  <c r="AB82" i="89" a="1"/>
  <c r="AB82" i="89"/>
  <c r="AB81" i="89" a="1"/>
  <c r="AB81" i="89"/>
  <c r="AB76" i="89" a="1"/>
  <c r="AB76" i="89"/>
  <c r="AB75" i="89" a="1"/>
  <c r="AB75" i="89"/>
  <c r="AB69" i="89" a="1"/>
  <c r="AB69" i="89"/>
  <c r="AB68" i="89" a="1"/>
  <c r="AB68" i="89"/>
  <c r="AB27" i="89" a="1"/>
  <c r="AB27" i="89"/>
  <c r="AB171" i="89" a="1"/>
  <c r="AB171" i="89"/>
  <c r="V205" i="89" a="1"/>
  <c r="V205" i="89" l="1"/>
  <c r="T233" i="89" a="1"/>
  <c r="T233" i="89"/>
  <c r="O55" i="89" a="1"/>
  <c r="O55" i="89"/>
  <c r="T205" i="89" a="1"/>
  <c r="T205" i="89"/>
  <c r="C180" i="89" a="1"/>
  <c r="C180" i="89"/>
  <c r="V180" i="89" a="1"/>
  <c r="V180" i="89"/>
  <c r="C55" i="89" a="1"/>
  <c r="C55" i="89"/>
  <c r="O235" i="89" a="1"/>
  <c r="O235" i="89"/>
  <c r="C8" i="89" a="1"/>
  <c r="C8" i="89"/>
  <c r="T7" i="89" a="1"/>
  <c r="T7" i="89"/>
  <c r="T26" i="89" a="1"/>
  <c r="T26" i="89"/>
  <c r="T170" i="89" a="1"/>
  <c r="T170" i="89"/>
  <c r="T180" i="89" a="1"/>
  <c r="T180" i="89"/>
  <c r="T55" i="89" a="1"/>
  <c r="T55" i="89"/>
  <c r="T8" i="89" a="1"/>
  <c r="T8" i="89"/>
  <c r="O205" i="89" a="1"/>
  <c r="O205" i="89"/>
  <c r="V235" i="89" a="1"/>
  <c r="V235" i="89"/>
  <c r="O180" i="89" a="1"/>
  <c r="O180" i="89"/>
  <c r="C7" i="89" a="1"/>
  <c r="C7" i="89"/>
  <c r="C26" i="89" a="1"/>
  <c r="C26" i="89"/>
  <c r="C170" i="89" a="1"/>
  <c r="C170" i="89"/>
  <c r="V8" i="89" a="1"/>
  <c r="V8" i="89"/>
  <c r="C233" i="89" a="1"/>
  <c r="C233" i="89"/>
  <c r="C205" i="89" a="1"/>
  <c r="C205" i="89"/>
  <c r="V55" i="89" a="1"/>
  <c r="V55" i="89"/>
  <c r="O233" i="89" a="1"/>
  <c r="O233" i="89"/>
  <c r="O8" i="89" a="1"/>
  <c r="O8" i="89"/>
  <c r="V233" i="89" a="1"/>
  <c r="V233" i="89" l="1"/>
  <c r="T235" i="89" a="1"/>
  <c r="T235" i="89"/>
  <c r="C235" i="89" a="1"/>
  <c r="C235" i="89"/>
  <c r="V7" i="89" a="1"/>
  <c r="V7" i="89"/>
  <c r="V26" i="89" a="1"/>
  <c r="V26" i="89"/>
  <c r="V170" i="89" a="1"/>
  <c r="V170" i="89"/>
  <c r="O7" i="89" a="1"/>
  <c r="O7" i="89"/>
  <c r="O26" i="89" a="1"/>
  <c r="O26" i="89"/>
  <c r="O170" i="89" a="1"/>
  <c r="O170" i="89" l="1"/>
  <c r="C15" i="2" a="1"/>
  <c r="C15" i="2"/>
  <c r="D14" i="2" a="1"/>
  <c r="D14" i="2"/>
  <c r="AQ14" i="2" a="1"/>
  <c r="AC14" i="2" a="1"/>
  <c r="E11" i="2" a="1"/>
  <c r="AC14" i="2" l="1"/>
  <c r="AQ14" i="2"/>
  <c r="E11" i="2"/>
  <c r="T6" i="2" a="1"/>
  <c r="T6" i="2"/>
  <c r="F14" i="2" a="1"/>
  <c r="F14" i="2"/>
  <c r="T24" i="2" a="1"/>
  <c r="T24" i="2"/>
  <c r="AD14" i="2" a="1"/>
  <c r="AD14" i="2"/>
  <c r="F9" i="2" a="1"/>
  <c r="F9" i="2"/>
  <c r="C4" i="2" a="1"/>
  <c r="C4" i="2"/>
  <c r="AD9" i="2" a="1"/>
  <c r="AD9" i="2"/>
  <c r="F6" i="2" a="1"/>
  <c r="F6" i="2"/>
  <c r="AD15" i="2" a="1"/>
  <c r="AD15" i="2"/>
  <c r="F15" i="2" a="1"/>
  <c r="F15" i="2"/>
  <c r="C14" i="2" a="1"/>
  <c r="C14" i="2"/>
  <c r="AR24" i="2" a="1"/>
  <c r="AR24" i="2"/>
  <c r="D6" i="2" a="1"/>
  <c r="D6" i="2"/>
  <c r="AQ6" i="2" a="1"/>
  <c r="AC6" i="2" a="1"/>
  <c r="AR6" i="2" a="1"/>
  <c r="AC6" i="2" l="1"/>
  <c r="AQ6" i="2"/>
  <c r="AR6" i="2"/>
  <c r="F10" i="2" a="1"/>
  <c r="F10" i="2"/>
  <c r="AD25" i="2" a="1"/>
  <c r="AD25" i="2"/>
  <c r="AA4" i="2" a="1"/>
  <c r="AA4" i="2"/>
  <c r="E6" i="2" a="1"/>
  <c r="E6" i="2"/>
  <c r="AR25" i="2" a="1"/>
  <c r="AR25" i="2"/>
  <c r="AA11" i="2" a="1"/>
  <c r="AA11" i="2"/>
  <c r="E14" i="2" a="1"/>
  <c r="E14" i="2"/>
  <c r="F11" i="2" a="1"/>
  <c r="F11" i="2"/>
  <c r="E4" i="2" a="1"/>
  <c r="E4" i="2"/>
  <c r="AR11" i="2" a="1"/>
  <c r="AR11" i="2"/>
  <c r="C25" i="2" a="1"/>
  <c r="C25" i="2"/>
  <c r="F4" i="2" a="1"/>
  <c r="F4" i="2"/>
  <c r="T11" i="2" a="1"/>
  <c r="T11" i="2"/>
  <c r="E15" i="2" a="1"/>
  <c r="E15" i="2"/>
  <c r="T9" i="2" a="1"/>
  <c r="T9" i="2"/>
  <c r="AD24" i="2" a="1"/>
  <c r="AD24" i="2"/>
  <c r="E25" i="2" a="1"/>
  <c r="E25" i="2"/>
  <c r="D9" i="2" a="1"/>
  <c r="D9" i="2"/>
  <c r="AQ9" i="2" a="1"/>
  <c r="AC9" i="2" a="1"/>
  <c r="C10" i="2" a="1"/>
  <c r="AC9" i="2" l="1"/>
  <c r="AQ9" i="2"/>
  <c r="C10" i="2"/>
  <c r="AR10" i="2" a="1"/>
  <c r="AR10" i="2"/>
  <c r="C24" i="2" a="1"/>
  <c r="C24" i="2"/>
  <c r="C6" i="2" a="1"/>
  <c r="C6" i="2"/>
  <c r="E24" i="2" a="1"/>
  <c r="E24" i="2"/>
  <c r="AD10" i="2" a="1"/>
  <c r="AD10" i="2"/>
  <c r="D15" i="2" a="1"/>
  <c r="D15" i="2"/>
  <c r="Z15" i="2"/>
  <c r="AQ15" i="2" a="1"/>
  <c r="AC15" i="2" a="1"/>
  <c r="T15" i="2" a="1"/>
  <c r="AC15" i="2" l="1"/>
  <c r="AQ15" i="2"/>
  <c r="T15" i="2"/>
  <c r="T4" i="2" a="1"/>
  <c r="T4" i="2"/>
  <c r="AA15" i="2" a="1"/>
  <c r="AA15" i="2"/>
  <c r="AV15" i="2" a="1"/>
  <c r="D25" i="2" a="1"/>
  <c r="AV15" i="2" l="1"/>
  <c r="D25" i="2"/>
  <c r="AQ25" i="2" a="1"/>
  <c r="AC25" i="2" a="1"/>
  <c r="F25" i="2" a="1"/>
  <c r="AC25" i="2" l="1"/>
  <c r="AQ25" i="2"/>
  <c r="F25" i="2"/>
  <c r="AA24" i="2" a="1"/>
  <c r="AA24" i="2"/>
  <c r="AD4" i="2" a="1"/>
  <c r="AD4" i="2"/>
  <c r="AA6" i="2" a="1"/>
  <c r="AA6" i="2"/>
  <c r="AR14" i="2" a="1"/>
  <c r="AR14" i="2"/>
  <c r="E9" i="2" a="1"/>
  <c r="E9" i="2"/>
  <c r="C9" i="2" a="1"/>
  <c r="C9" i="2"/>
  <c r="AD6" i="2" a="1"/>
  <c r="AD6" i="2"/>
  <c r="C11" i="2" a="1"/>
  <c r="C11" i="2"/>
  <c r="AR4" i="2" a="1"/>
  <c r="AR4" i="2"/>
  <c r="AA9" i="2" a="1"/>
  <c r="AA9" i="2"/>
  <c r="AA25" i="2" a="1"/>
  <c r="AA25" i="2"/>
  <c r="E10" i="2" a="1"/>
  <c r="E10" i="2"/>
  <c r="AA10" i="2" a="1"/>
  <c r="AA10" i="2"/>
  <c r="D4" i="2" a="1"/>
  <c r="D4" i="2"/>
  <c r="Z4" i="2"/>
  <c r="AV4" i="2" s="1" a="1"/>
  <c r="AC4" i="2" a="1"/>
  <c r="AQ4" i="2" a="1"/>
  <c r="AR9" i="2" a="1"/>
  <c r="AQ4" i="2" l="1"/>
  <c r="AC4" i="2"/>
  <c r="AV4" i="2"/>
  <c r="AR9" i="2"/>
  <c r="T10" i="2" a="1"/>
  <c r="T10" i="2"/>
  <c r="F24" i="2" a="1"/>
  <c r="F24" i="2"/>
  <c r="AR15" i="2" a="1"/>
  <c r="AR15" i="2"/>
  <c r="AA14" i="2" a="1"/>
  <c r="AA14" i="2"/>
  <c r="D11" i="2" a="1"/>
  <c r="D11" i="2"/>
  <c r="Z11" i="2"/>
  <c r="AV11" i="2" s="1" a="1"/>
  <c r="AC11" i="2" a="1"/>
  <c r="AQ11" i="2" a="1"/>
  <c r="T25" i="2" a="1"/>
  <c r="AQ11" i="2" l="1"/>
  <c r="AC11" i="2"/>
  <c r="AV11" i="2"/>
  <c r="T25" i="2"/>
  <c r="AD11" i="2" a="1"/>
  <c r="AD11" i="2"/>
  <c r="D24" i="2" a="1"/>
  <c r="D24" i="2"/>
  <c r="AQ24" i="2" a="1"/>
  <c r="AC24" i="2" a="1"/>
  <c r="T14" i="2" a="1"/>
  <c r="AC24" i="2" l="1"/>
  <c r="AQ24" i="2"/>
  <c r="T14" i="2"/>
  <c r="D10" i="2" a="1"/>
  <c r="D10" i="2"/>
  <c r="Z10" i="2"/>
  <c r="AV10" i="2" s="1" a="1"/>
  <c r="AQ10" i="2" a="1"/>
  <c r="AC10" i="2" a="1"/>
  <c r="AC10" i="2" l="1"/>
  <c r="AQ10" i="2"/>
  <c r="AV10" i="2"/>
  <c r="S138" i="89" a="1"/>
  <c r="S138" i="89" l="1"/>
  <c r="R138" i="89" a="1"/>
  <c r="S101" i="89" a="1"/>
  <c r="R138" i="89" l="1"/>
  <c r="S101" i="89"/>
  <c r="R101" i="89" a="1"/>
  <c r="S123" i="89" a="1"/>
  <c r="R101" i="89" l="1"/>
  <c r="S123" i="89"/>
  <c r="R123" i="89" a="1"/>
  <c r="S145" i="89" a="1"/>
  <c r="R123" i="89" l="1"/>
  <c r="S145" i="89"/>
  <c r="R145" i="89" a="1"/>
  <c r="S234" i="89" a="1"/>
  <c r="R145" i="89" l="1"/>
  <c r="S234" i="89"/>
  <c r="R234" i="89" a="1"/>
  <c r="S109" i="89" a="1"/>
  <c r="R234" i="89" l="1"/>
  <c r="S109" i="89"/>
  <c r="R109" i="89" a="1"/>
  <c r="S90" i="89" a="1"/>
  <c r="R109" i="89" l="1"/>
  <c r="S90" i="89"/>
  <c r="R90" i="89" a="1"/>
  <c r="AB225" i="89" a="1"/>
  <c r="R90" i="89" l="1"/>
  <c r="AB225" i="89"/>
  <c r="F18" i="2" a="1"/>
  <c r="F18" i="2"/>
  <c r="AA21" i="2" a="1"/>
  <c r="AA21" i="2"/>
  <c r="T197" i="89" a="1"/>
  <c r="T197" i="89"/>
  <c r="AA16" i="2" a="1"/>
  <c r="AA16" i="2"/>
  <c r="T62" i="89" a="1"/>
  <c r="T62" i="89"/>
  <c r="AR20" i="2" a="1"/>
  <c r="AR20" i="2"/>
  <c r="C7" i="2" a="1"/>
  <c r="C7" i="2"/>
  <c r="AR18" i="2" a="1"/>
  <c r="AR18" i="2"/>
  <c r="C19" i="2" a="1"/>
  <c r="C19" i="2"/>
  <c r="C20" i="2" a="1"/>
  <c r="C20" i="2"/>
  <c r="T16" i="2" a="1"/>
  <c r="T16" i="2"/>
  <c r="O62" i="89" a="1"/>
  <c r="O62" i="89"/>
  <c r="F21" i="2" a="1"/>
  <c r="F21" i="2"/>
  <c r="AA19" i="2" a="1"/>
  <c r="AA19" i="2"/>
  <c r="T195" i="89" a="1"/>
  <c r="T195" i="89"/>
  <c r="AA17" i="2" a="1"/>
  <c r="AA17" i="2"/>
  <c r="T63" i="89" a="1"/>
  <c r="T63" i="89"/>
  <c r="D20" i="2" a="1"/>
  <c r="D20" i="2"/>
  <c r="AQ20" i="2" a="1"/>
  <c r="AC20" i="2" a="1"/>
  <c r="C196" i="89" a="1"/>
  <c r="AC20" i="2" l="1"/>
  <c r="AQ20" i="2"/>
  <c r="C196" i="89"/>
  <c r="AD7" i="2" a="1"/>
  <c r="AD7" i="2"/>
  <c r="AD16" i="2" a="1"/>
  <c r="AD16" i="2"/>
  <c r="V62" i="89" a="1"/>
  <c r="V62" i="89"/>
  <c r="C8" i="2" a="1"/>
  <c r="C8" i="2"/>
  <c r="AA8" i="2" a="1"/>
  <c r="AA8" i="2"/>
  <c r="D18" i="2" a="1"/>
  <c r="D18" i="2"/>
  <c r="AQ18" i="2" a="1"/>
  <c r="AC18" i="2" a="1"/>
  <c r="C14" i="89" a="1"/>
  <c r="AC18" i="2" l="1"/>
  <c r="AQ18" i="2"/>
  <c r="C14" i="89"/>
  <c r="AB14" i="89" a="1"/>
  <c r="C16" i="2" a="1"/>
  <c r="AB14" i="89" l="1"/>
  <c r="C16" i="2"/>
  <c r="AR12" i="2" a="1"/>
  <c r="AR12" i="2"/>
  <c r="AR16" i="2" a="1"/>
  <c r="AR16" i="2"/>
  <c r="D12" i="2" a="1"/>
  <c r="D12" i="2"/>
  <c r="C169" i="89" a="1"/>
  <c r="C169" i="89"/>
  <c r="F5" i="2" a="1"/>
  <c r="F5" i="2"/>
  <c r="AR8" i="2" a="1"/>
  <c r="AR8" i="2"/>
  <c r="D17" i="2" a="1"/>
  <c r="D17" i="2"/>
  <c r="AQ17" i="2" a="1"/>
  <c r="AC17" i="2" a="1"/>
  <c r="C63" i="89" a="1"/>
  <c r="AC17" i="2" l="1"/>
  <c r="AQ17" i="2"/>
  <c r="C63" i="89"/>
  <c r="AA12" i="2" a="1"/>
  <c r="AA12" i="2"/>
  <c r="T169" i="89" a="1"/>
  <c r="T169" i="89"/>
  <c r="C21" i="2" a="1"/>
  <c r="C21" i="2"/>
  <c r="AR7" i="2" a="1"/>
  <c r="AR7" i="2"/>
  <c r="E19" i="2" a="1"/>
  <c r="E19" i="2"/>
  <c r="T12" i="2" a="1"/>
  <c r="T12" i="2"/>
  <c r="O169" i="89" a="1"/>
  <c r="O169" i="89"/>
  <c r="AD19" i="2" a="1"/>
  <c r="AD19" i="2"/>
  <c r="V195" i="89" a="1"/>
  <c r="V195" i="89"/>
  <c r="E18" i="2" a="1"/>
  <c r="E18" i="2"/>
  <c r="T5" i="2" a="1"/>
  <c r="T5" i="2"/>
  <c r="O223" i="89" a="1"/>
  <c r="O223" i="89"/>
  <c r="AR21" i="2" a="1"/>
  <c r="AR21" i="2"/>
  <c r="E5" i="2" a="1"/>
  <c r="E5" i="2"/>
  <c r="E7" i="2" a="1"/>
  <c r="E7" i="2"/>
  <c r="E16" i="2" a="1"/>
  <c r="E16" i="2"/>
  <c r="F17" i="2" a="1"/>
  <c r="F17" i="2"/>
  <c r="C12" i="2" a="1"/>
  <c r="C12" i="2"/>
  <c r="AA20" i="2" a="1"/>
  <c r="AA20" i="2"/>
  <c r="T196" i="89" a="1"/>
  <c r="T196" i="89"/>
  <c r="E17" i="2" a="1"/>
  <c r="E17" i="2"/>
  <c r="AD8" i="2" a="1"/>
  <c r="AD8" i="2"/>
  <c r="F16" i="2" a="1"/>
  <c r="F16" i="2"/>
  <c r="AD21" i="2" a="1"/>
  <c r="AD21" i="2"/>
  <c r="V197" i="89" a="1"/>
  <c r="V197" i="89"/>
  <c r="D19" i="2" a="1"/>
  <c r="D19" i="2"/>
  <c r="AQ19" i="2" a="1"/>
  <c r="AC19" i="2" a="1"/>
  <c r="C195" i="89" a="1"/>
  <c r="AC19" i="2" l="1"/>
  <c r="AQ19" i="2"/>
  <c r="C195" i="89"/>
  <c r="AD5" i="2" a="1"/>
  <c r="AD5" i="2"/>
  <c r="V223" i="89" a="1"/>
  <c r="V223" i="89"/>
  <c r="E20" i="2" a="1"/>
  <c r="E20" i="2"/>
  <c r="AA5" i="2" a="1"/>
  <c r="AA5" i="2"/>
  <c r="T223" i="89" a="1"/>
  <c r="T223" i="89"/>
  <c r="T7" i="2" a="1"/>
  <c r="T7" i="2"/>
  <c r="AR5" i="2" a="1"/>
  <c r="AR5" i="2" l="1"/>
  <c r="D8" i="2" a="1"/>
  <c r="D8" i="2"/>
  <c r="AQ8" i="2" a="1"/>
  <c r="AC8" i="2" a="1"/>
  <c r="AC8" i="2" l="1"/>
  <c r="AQ8" i="2"/>
  <c r="AB34" i="89" a="1"/>
  <c r="D16" i="2" a="1"/>
  <c r="AB34" i="89" l="1"/>
  <c r="D16" i="2"/>
  <c r="AQ16" i="2" a="1"/>
  <c r="AC16" i="2" a="1"/>
  <c r="C62" i="89" a="1"/>
  <c r="AC16" i="2" l="1"/>
  <c r="AQ16" i="2"/>
  <c r="C62" i="89"/>
  <c r="F19" i="2" a="1"/>
  <c r="F19" i="2"/>
  <c r="AA7" i="2" a="1"/>
  <c r="AA7" i="2"/>
  <c r="F8" i="2" a="1"/>
  <c r="F8" i="2"/>
  <c r="AD17" i="2" a="1"/>
  <c r="AD17" i="2"/>
  <c r="V63" i="89" a="1"/>
  <c r="V63" i="89"/>
  <c r="AD12" i="2" a="1"/>
  <c r="AD12" i="2"/>
  <c r="V169" i="89" a="1"/>
  <c r="V169" i="89"/>
  <c r="D5" i="2" a="1"/>
  <c r="D5" i="2"/>
  <c r="AC5" i="2" a="1"/>
  <c r="C223" i="89" a="1"/>
  <c r="AC5" i="2" l="1"/>
  <c r="C223" i="89"/>
  <c r="D7" i="2" a="1"/>
  <c r="D7" i="2"/>
  <c r="AQ7" i="2" a="1"/>
  <c r="AC7" i="2" a="1"/>
  <c r="AC7" i="2" l="1"/>
  <c r="AQ7" i="2"/>
  <c r="AB33" i="89" a="1"/>
  <c r="T21" i="2" a="1"/>
  <c r="AB33" i="89" l="1"/>
  <c r="T21" i="2"/>
  <c r="O197" i="89" a="1"/>
  <c r="O197" i="89"/>
  <c r="AR17" i="2" a="1"/>
  <c r="AR17" i="2" l="1"/>
  <c r="E8" i="2" a="1"/>
  <c r="E8" i="2"/>
  <c r="AR19" i="2" a="1"/>
  <c r="AR19" i="2"/>
  <c r="E21" i="2" a="1"/>
  <c r="E21" i="2"/>
  <c r="T20" i="2" a="1"/>
  <c r="T20" i="2"/>
  <c r="O196" i="89" a="1"/>
  <c r="O196" i="89"/>
  <c r="T18" i="2" a="1"/>
  <c r="T18" i="2" l="1"/>
  <c r="O14" i="89" a="1"/>
  <c r="O14" i="89"/>
  <c r="F7" i="2" a="1"/>
  <c r="F7" i="2" l="1"/>
  <c r="C5" i="2" a="1"/>
  <c r="C5" i="2"/>
  <c r="AA18" i="2" a="1"/>
  <c r="AA18" i="2"/>
  <c r="T14" i="89" a="1"/>
  <c r="T14" i="89"/>
  <c r="F20" i="2" a="1"/>
  <c r="F20" i="2"/>
  <c r="E12" i="2" a="1"/>
  <c r="E12" i="2"/>
  <c r="T19" i="2" a="1"/>
  <c r="T19" i="2"/>
  <c r="O195" i="89" a="1"/>
  <c r="O195" i="89"/>
  <c r="C18" i="2" a="1"/>
  <c r="C18" i="2" l="1"/>
  <c r="C17" i="2" a="1"/>
  <c r="C17" i="2"/>
  <c r="AD20" i="2" a="1"/>
  <c r="AD20" i="2"/>
  <c r="V196" i="89" a="1"/>
  <c r="V196" i="89"/>
  <c r="T8" i="2" a="1"/>
  <c r="T8" i="2"/>
  <c r="F12" i="2" a="1"/>
  <c r="F12" i="2"/>
  <c r="T17" i="2" a="1"/>
  <c r="T17" i="2"/>
  <c r="O63" i="89" a="1"/>
  <c r="O63" i="89"/>
  <c r="D21" i="2" a="1"/>
  <c r="D21" i="2" l="1"/>
  <c r="AQ21" i="2" a="1"/>
  <c r="AC21" i="2" a="1"/>
  <c r="C197" i="89" a="1"/>
  <c r="AC21" i="2" l="1"/>
  <c r="AQ21" i="2"/>
  <c r="C197" i="89"/>
  <c r="AD18" i="2" a="1"/>
  <c r="AD18" i="2"/>
  <c r="V14" i="89" a="1"/>
  <c r="V14" i="89"/>
  <c r="D160" i="89" a="1"/>
  <c r="D160" i="89"/>
  <c r="E102" i="89" a="1"/>
  <c r="E102" i="89"/>
  <c r="V96" i="89" a="1"/>
  <c r="V96" i="89"/>
  <c r="T154" i="89" a="1"/>
  <c r="T154" i="89"/>
  <c r="T153" i="89" a="1"/>
  <c r="T153" i="89"/>
  <c r="T129" i="89" a="1"/>
  <c r="T129" i="89"/>
  <c r="C129" i="89" a="1"/>
  <c r="C129" i="89"/>
  <c r="V115" i="89" a="1"/>
  <c r="V115" i="89"/>
  <c r="C115" i="89" a="1"/>
  <c r="C115" i="89"/>
  <c r="E108" i="89" a="1"/>
  <c r="E108" i="89"/>
  <c r="V154" i="89" a="1"/>
  <c r="V154" i="89"/>
  <c r="V153" i="89" a="1"/>
  <c r="V153" i="89"/>
  <c r="E137" i="89" a="1"/>
  <c r="E137" i="89"/>
  <c r="C154" i="89" a="1"/>
  <c r="C154" i="89"/>
  <c r="C153" i="89" a="1"/>
  <c r="C153" i="89"/>
  <c r="V102" i="89" a="1"/>
  <c r="V102" i="89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T102" i="89" a="1"/>
  <c r="T102" i="89"/>
  <c r="E129" i="89" a="1"/>
  <c r="E129" i="89"/>
  <c r="AA153" i="89" a="1"/>
  <c r="AA153" i="89"/>
  <c r="C116" i="89" a="1"/>
  <c r="C116" i="89"/>
  <c r="T108" i="89" a="1"/>
  <c r="T108" i="89"/>
  <c r="T96" i="89" a="1"/>
  <c r="T96" i="89"/>
  <c r="D108" i="89" a="1"/>
  <c r="D108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96" i="89" a="1"/>
  <c r="C96" i="89"/>
  <c r="C102" i="89" a="1"/>
  <c r="C102" i="89"/>
  <c r="C108" i="89" a="1"/>
  <c r="C108" i="89"/>
  <c r="V122" i="89" a="1"/>
  <c r="V122" i="89"/>
  <c r="E154" i="89" a="1"/>
  <c r="E154" i="89"/>
  <c r="E153" i="89" a="1"/>
  <c r="E153" i="89"/>
  <c r="V160" i="89" a="1"/>
  <c r="V160" i="89"/>
  <c r="T115" i="89" a="1"/>
  <c r="T115" i="89"/>
  <c r="D96" i="89" a="1"/>
  <c r="D96" i="89"/>
  <c r="T137" i="89" a="1"/>
  <c r="T137" i="89"/>
  <c r="C122" i="89" a="1"/>
  <c r="C122" i="89"/>
  <c r="D154" i="89" a="1"/>
  <c r="D154" i="89"/>
  <c r="D153" i="89" a="1"/>
  <c r="D153" i="89"/>
  <c r="Z102" i="89" a="1"/>
  <c r="Z102" i="89"/>
  <c r="D129" i="89" a="1"/>
  <c r="D129" i="89"/>
  <c r="Z160" i="89" a="1"/>
  <c r="Z160" i="89"/>
  <c r="D122" i="89" a="1"/>
  <c r="D122" i="89"/>
  <c r="T116" i="89" a="1"/>
  <c r="T116" i="89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G31" i="446" a="1"/>
  <c r="G31" i="446"/>
  <c r="F45" i="446" a="1"/>
  <c r="F45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AI30" i="338" a="1"/>
  <c r="AI30" i="338"/>
  <c r="F33" i="446" a="1"/>
  <c r="F33" i="446"/>
  <c r="AF12" i="338"/>
  <c r="F34" i="446" a="1"/>
  <c r="F34" i="446"/>
  <c r="AG12" i="338"/>
  <c r="AK29" i="338" a="1"/>
  <c r="AK29" i="338"/>
  <c r="F41" i="446" a="1"/>
  <c r="F41" i="446"/>
  <c r="AK18" i="338" a="1"/>
  <c r="AK18" i="338"/>
  <c r="F42" i="446" a="1"/>
  <c r="F42" i="446"/>
  <c r="G41" i="446" a="1"/>
  <c r="G41" i="446"/>
  <c r="D32" i="446" a="1"/>
  <c r="D3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D69" i="89" a="1"/>
  <c r="D69" i="89"/>
  <c r="D76" i="89" a="1"/>
  <c r="D76" i="89"/>
  <c r="D82" i="89" a="1"/>
  <c r="D82" i="89"/>
  <c r="V82" i="89" a="1"/>
  <c r="V82" i="89"/>
  <c r="V69" i="89" a="1"/>
  <c r="V69" i="89"/>
  <c r="E76" i="89" a="1"/>
  <c r="E76" i="89"/>
  <c r="T69" i="89" a="1"/>
  <c r="T69" i="89"/>
  <c r="E82" i="89" a="1"/>
  <c r="E82" i="89"/>
  <c r="T76" i="89" a="1"/>
  <c r="T76" i="89"/>
  <c r="C76" i="89" a="1"/>
  <c r="C76" i="89"/>
  <c r="V76" i="89" a="1"/>
  <c r="V76" i="89"/>
  <c r="O82" i="89" a="1"/>
  <c r="O82" i="89"/>
  <c r="Z82" i="89" a="1"/>
  <c r="T82" i="89" a="1"/>
  <c r="Z82" i="89" l="1"/>
  <c r="T82" i="89"/>
  <c r="O76" i="89" a="1"/>
  <c r="O76" i="89"/>
  <c r="Z76" i="89" a="1"/>
  <c r="O69" i="89" a="1"/>
  <c r="Z76" i="89" l="1"/>
  <c r="O69" i="89"/>
  <c r="C82" i="89" a="1"/>
  <c r="C82" i="89" l="1"/>
  <c r="E69" i="89" a="1"/>
  <c r="E69" i="89"/>
  <c r="C69" i="89" a="1"/>
  <c r="C69" i="89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T224" i="89" a="1"/>
  <c r="T224" i="89"/>
  <c r="V13" i="89" a="1"/>
  <c r="V13" i="89"/>
  <c r="T20" i="89" a="1"/>
  <c r="T20" i="89"/>
  <c r="V224" i="89" a="1"/>
  <c r="V224" i="89"/>
  <c r="V237" i="89" a="1"/>
  <c r="V237" i="89"/>
  <c r="V68" i="89" a="1"/>
  <c r="V68" i="89"/>
  <c r="T222" i="89" a="1"/>
  <c r="T222" i="89" l="1"/>
  <c r="O222" i="89" a="1"/>
  <c r="O222" i="89"/>
  <c r="T234" i="89" a="1"/>
  <c r="T234" i="89"/>
  <c r="C187" i="89" a="1"/>
  <c r="C187" i="89"/>
  <c r="C68" i="89" a="1"/>
  <c r="C68" i="89"/>
  <c r="AB212" i="89" a="1"/>
  <c r="V222" i="89" a="1"/>
  <c r="AB212" i="89" l="1"/>
  <c r="V222" i="89"/>
  <c r="V20" i="89" a="1"/>
  <c r="V20" i="89"/>
  <c r="C20" i="89" a="1"/>
  <c r="C20" i="89"/>
  <c r="T13" i="89" a="1"/>
  <c r="T13" i="89"/>
  <c r="C13" i="89" a="1"/>
  <c r="C13" i="89"/>
  <c r="S13" i="89" a="1"/>
  <c r="AB13" i="89" a="1"/>
  <c r="C188" i="89" a="1"/>
  <c r="AB13" i="89" l="1"/>
  <c r="S13" i="89"/>
  <c r="C188" i="89"/>
  <c r="R13" i="89" a="1"/>
  <c r="O234" i="89" a="1"/>
  <c r="R13" i="89" l="1"/>
  <c r="O234" i="89"/>
  <c r="O20" i="89" a="1"/>
  <c r="O20" i="89" l="1"/>
  <c r="T68" i="89" a="1"/>
  <c r="T68" i="89"/>
  <c r="T237" i="89" a="1"/>
  <c r="T237" i="89"/>
  <c r="C224" i="89" a="1"/>
  <c r="C224" i="89"/>
  <c r="V234" i="89" a="1"/>
  <c r="V234" i="89"/>
  <c r="T188" i="89" a="1"/>
  <c r="T188" i="89"/>
  <c r="O68" i="89" a="1"/>
  <c r="O68" i="89"/>
  <c r="T187" i="89" a="1"/>
  <c r="T187" i="89"/>
  <c r="O187" i="89" a="1"/>
  <c r="O187" i="89"/>
  <c r="C237" i="89" a="1"/>
  <c r="C237" i="89" l="1"/>
  <c r="C222" i="89" a="1"/>
  <c r="C222" i="89"/>
  <c r="O13" i="89" a="1"/>
  <c r="O13" i="89"/>
  <c r="O188" i="89" a="1"/>
  <c r="O188" i="89"/>
  <c r="V187" i="89" a="1"/>
  <c r="V187" i="89" l="1"/>
  <c r="O237" i="89" a="1"/>
  <c r="O237" i="89"/>
  <c r="V188" i="89" a="1"/>
  <c r="V188" i="89"/>
  <c r="O224" i="89" a="1"/>
  <c r="O224" i="89"/>
  <c r="C234" i="89" a="1"/>
  <c r="C234" i="89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8" i="338" a="1"/>
  <c r="T8" i="338"/>
  <c r="T18" i="338" a="1"/>
  <c r="T1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X33" i="338" a="1"/>
  <c r="X33" i="338"/>
  <c r="P46" i="338" a="1"/>
  <c r="P46" i="338"/>
  <c r="S8" i="338" a="1"/>
  <c r="S8" i="338"/>
  <c r="P52" i="338" a="1"/>
  <c r="P52" i="338"/>
  <c r="T36" i="338" a="1"/>
  <c r="T36" i="338"/>
  <c r="T39" i="338" a="1"/>
  <c r="T39" i="338"/>
  <c r="T15" i="338" a="1"/>
  <c r="T15" i="338"/>
  <c r="X49" i="338" a="1"/>
  <c r="X49" i="338"/>
  <c r="S11" i="338" a="1"/>
  <c r="S11" i="338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T9" i="338" a="1"/>
  <c r="T9" i="338"/>
  <c r="S31" i="338" a="1"/>
  <c r="S31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D196" i="89" a="1"/>
  <c r="D196" i="89"/>
  <c r="E224" i="89" a="1"/>
  <c r="E224" i="89"/>
  <c r="E195" i="89" a="1"/>
  <c r="E195" i="89"/>
  <c r="D195" i="89" a="1"/>
  <c r="D195" i="89"/>
  <c r="E196" i="89" a="1"/>
  <c r="E196" i="89"/>
  <c r="D224" i="89" a="1"/>
  <c r="D224" i="89"/>
  <c r="E225" i="89" a="1"/>
  <c r="E225" i="89"/>
  <c r="E27" i="89" a="1"/>
  <c r="E27" i="89"/>
  <c r="E171" i="89" a="1"/>
  <c r="E171" i="89"/>
  <c r="D27" i="89" a="1"/>
  <c r="D27" i="89"/>
  <c r="D225" i="89" a="1"/>
  <c r="D225" i="89"/>
  <c r="S186" i="89" a="1"/>
  <c r="S186" i="89"/>
  <c r="R186" i="89" a="1"/>
  <c r="R186" i="89" l="1"/>
  <c r="S56" i="89" a="1"/>
  <c r="S56" i="89" l="1"/>
  <c r="R56" i="89" a="1"/>
  <c r="S236" i="89" a="1"/>
  <c r="R56" i="89" l="1"/>
  <c r="S236" i="89"/>
  <c r="R236" i="89" a="1"/>
  <c r="R236" i="89" l="1"/>
  <c r="S19" i="89" a="1"/>
  <c r="S19" i="89" l="1"/>
  <c r="R19" i="89" a="1"/>
  <c r="X13" i="338" a="1"/>
  <c r="R19" i="89" l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S53" i="338" a="1"/>
  <c r="S53" i="338"/>
  <c r="P54" i="338" a="1"/>
  <c r="P54" i="338"/>
  <c r="S54" i="338" a="1"/>
  <c r="S54" i="338"/>
  <c r="T40" i="338" a="1"/>
  <c r="T40" i="338"/>
  <c r="P51" i="338" a="1"/>
  <c r="P51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40" i="338" a="1"/>
  <c r="X40" i="338"/>
  <c r="X37" i="338" a="1"/>
  <c r="X37" i="338"/>
  <c r="X10" i="338" a="1"/>
  <c r="X10" i="338"/>
  <c r="S38" i="338" a="1"/>
  <c r="S38" i="338"/>
  <c r="S16" i="338" a="1"/>
  <c r="S16" i="338"/>
  <c r="P53" i="338" a="1"/>
  <c r="P53" i="338"/>
  <c r="X51" i="338" a="1"/>
  <c r="X51" i="338"/>
  <c r="S37" i="338" a="1"/>
  <c r="S37" i="338"/>
  <c r="T22" i="2" a="1"/>
  <c r="T22" i="2"/>
  <c r="O81" i="89" a="1"/>
  <c r="O81" i="89"/>
  <c r="AD13" i="2" a="1"/>
  <c r="AD13" i="2"/>
  <c r="V27" i="89" a="1"/>
  <c r="V27" i="89"/>
  <c r="V171" i="89" a="1"/>
  <c r="V171" i="89"/>
  <c r="AA13" i="2" a="1"/>
  <c r="AA13" i="2"/>
  <c r="T27" i="89" a="1"/>
  <c r="T27" i="89"/>
  <c r="T171" i="89" a="1"/>
  <c r="T171" i="89"/>
  <c r="AA22" i="2" a="1"/>
  <c r="AA22" i="2"/>
  <c r="T81" i="89" a="1"/>
  <c r="T81" i="89"/>
  <c r="AR22" i="2" a="1"/>
  <c r="AR22" i="2"/>
  <c r="D22" i="2" a="1"/>
  <c r="D22" i="2"/>
  <c r="AC22" i="2" a="1"/>
  <c r="AQ22" i="2" a="1"/>
  <c r="C81" i="89" a="1"/>
  <c r="AQ22" i="2" l="1"/>
  <c r="AC22" i="2"/>
  <c r="C81" i="89"/>
  <c r="T13" i="2" a="1"/>
  <c r="T13" i="2"/>
  <c r="O27" i="89" a="1"/>
  <c r="O27" i="89"/>
  <c r="O171" i="89" a="1"/>
  <c r="O171" i="89" l="1"/>
  <c r="D13" i="2" a="1"/>
  <c r="D13" i="2"/>
  <c r="Z13" i="2"/>
  <c r="AV13" i="2" s="1" a="1"/>
  <c r="AC13" i="2" a="1"/>
  <c r="AQ13" i="2" a="1"/>
  <c r="C27" i="89" a="1"/>
  <c r="AQ13" i="2" l="1"/>
  <c r="AC13" i="2"/>
  <c r="AV13" i="2"/>
  <c r="C27" i="89"/>
  <c r="C171" i="89" a="1"/>
  <c r="C171" i="89"/>
  <c r="F22" i="2" a="1"/>
  <c r="F22" i="2"/>
  <c r="C13" i="2" a="1"/>
  <c r="C13" i="2"/>
  <c r="E13" i="2" a="1"/>
  <c r="E13" i="2"/>
  <c r="AR13" i="2" a="1"/>
  <c r="AR13" i="2"/>
  <c r="F13" i="2" a="1"/>
  <c r="F13" i="2"/>
  <c r="AD22" i="2" a="1"/>
  <c r="AD22" i="2"/>
  <c r="V81" i="89" a="1"/>
  <c r="V81" i="89"/>
  <c r="C22" i="2" a="1"/>
  <c r="C22" i="2"/>
  <c r="E22" i="2" a="1"/>
  <c r="E22" i="2"/>
  <c r="E187" i="89" a="1"/>
  <c r="E187" i="89"/>
  <c r="E180" i="89" a="1"/>
  <c r="E180" i="89"/>
  <c r="E169" i="89" a="1"/>
  <c r="E169" i="89"/>
  <c r="E186" i="89" a="1"/>
  <c r="E186" i="89"/>
  <c r="E235" i="89" a="1"/>
  <c r="E235" i="89"/>
  <c r="E188" i="89" a="1"/>
  <c r="E188" i="89"/>
  <c r="E233" i="89" a="1"/>
  <c r="E233" i="89"/>
  <c r="E234" i="89" a="1"/>
  <c r="E234" i="89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E68" i="89"/>
  <c r="E55" i="89" a="1"/>
  <c r="E55" i="89"/>
  <c r="E81" i="89" a="1"/>
  <c r="E81" i="89"/>
  <c r="D8" i="89" a="1"/>
  <c r="D8" i="89"/>
  <c r="D63" i="89" a="1"/>
  <c r="D63" i="89"/>
  <c r="E7" i="89"/>
  <c r="E26" i="89" a="1"/>
  <c r="E26" i="89"/>
  <c r="E170" i="89" a="1"/>
  <c r="E170" i="89"/>
  <c r="D7" i="89"/>
  <c r="D26" i="89" a="1"/>
  <c r="D26" i="89"/>
  <c r="D20" i="89" a="1"/>
  <c r="D20" i="89"/>
  <c r="D68" i="89"/>
  <c r="D75" i="89" a="1"/>
  <c r="D75" i="89"/>
  <c r="D55" i="89" a="1"/>
  <c r="D55" i="89"/>
  <c r="E75" i="89" a="1"/>
  <c r="E75" i="89"/>
  <c r="E20" i="89" a="1"/>
  <c r="E20" i="89"/>
  <c r="E8" i="89" a="1"/>
  <c r="E8" i="89"/>
  <c r="D81" i="89" a="1"/>
  <c r="D81" i="89"/>
  <c r="E63" i="89" a="1"/>
  <c r="E63" i="89"/>
  <c r="AH32" i="338" a="1"/>
  <c r="AH32" i="338"/>
  <c r="AH31" i="338" a="1"/>
  <c r="AH31" i="338"/>
  <c r="AG42" i="338"/>
  <c r="AJ42" i="338" a="1"/>
  <c r="AJ42" i="338"/>
  <c r="AJ41" i="338" a="1"/>
  <c r="AJ41" i="338"/>
  <c r="AH42" i="338" a="1"/>
  <c r="AH42" i="338"/>
  <c r="AH41" i="338" a="1"/>
  <c r="AH41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D40" i="89" a="1"/>
  <c r="D40" i="89"/>
  <c r="D223" i="89" a="1"/>
  <c r="D223" i="89"/>
  <c r="D19" i="89"/>
  <c r="E62" i="89" a="1"/>
  <c r="E62" i="89"/>
  <c r="D222" i="89" a="1"/>
  <c r="D222" i="89"/>
  <c r="E56" i="89" a="1"/>
  <c r="E56" i="89"/>
  <c r="D197" i="89" a="1"/>
  <c r="D197" i="89"/>
  <c r="D62" i="89" a="1"/>
  <c r="D62" i="89"/>
  <c r="E223" i="89" a="1"/>
  <c r="E223" i="89"/>
  <c r="E205" i="89" a="1"/>
  <c r="E205" i="89"/>
  <c r="E197" i="89" a="1"/>
  <c r="E197" i="89"/>
  <c r="E222" i="89" a="1"/>
  <c r="E222" i="89"/>
  <c r="E40" i="89" a="1"/>
  <c r="E40" i="89"/>
  <c r="D56" i="89" a="1"/>
  <c r="D56" i="89"/>
  <c r="E19" i="89"/>
  <c r="AK13" i="338" a="1"/>
  <c r="AK13" i="338"/>
  <c r="AG54" i="338"/>
  <c r="F16" i="446" a="1"/>
  <c r="F16" i="446"/>
  <c r="AI54" i="338" a="1"/>
  <c r="AI54" i="338"/>
  <c r="F17" i="446" a="1"/>
  <c r="F17" i="446"/>
  <c r="AI13" i="338" a="1"/>
  <c r="AI13" i="338"/>
  <c r="AG13" i="338"/>
  <c r="AK54" i="338" a="1"/>
  <c r="AK54" i="338"/>
  <c r="G16" i="446" a="1"/>
  <c r="G16" i="446"/>
  <c r="G17" i="446" a="1"/>
  <c r="G17" i="446"/>
  <c r="E145" i="89" a="1"/>
  <c r="E145" i="89"/>
  <c r="T90" i="89" a="1"/>
  <c r="T90" i="89"/>
  <c r="V89" i="89" a="1"/>
  <c r="V89" i="89"/>
  <c r="V109" i="89" a="1"/>
  <c r="V109" i="89"/>
  <c r="V90" i="89" a="1"/>
  <c r="V90" i="89"/>
  <c r="V144" i="89" a="1"/>
  <c r="V144" i="89"/>
  <c r="D145" i="89" a="1"/>
  <c r="D145" i="89"/>
  <c r="D109" i="89" a="1"/>
  <c r="D109" i="89"/>
  <c r="C90" i="89" a="1"/>
  <c r="C90" i="89"/>
  <c r="T136" i="89" a="1"/>
  <c r="T136" i="89"/>
  <c r="C123" i="89" a="1"/>
  <c r="C123" i="89"/>
  <c r="D101" i="89" a="1"/>
  <c r="D101" i="89"/>
  <c r="D123" i="89" a="1"/>
  <c r="D123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D90" i="89" a="1"/>
  <c r="D90" i="89"/>
  <c r="C89" i="89" a="1"/>
  <c r="C89" i="89"/>
  <c r="V138" i="89" a="1"/>
  <c r="V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D95" i="89" a="1"/>
  <c r="D95" i="89"/>
  <c r="V145" i="89" a="1"/>
  <c r="V145" i="89"/>
  <c r="Z101" i="89" a="1"/>
  <c r="Z101" i="89"/>
  <c r="E123" i="89" a="1"/>
  <c r="E123" i="89"/>
  <c r="D89" i="89" a="1"/>
  <c r="D89" i="89"/>
  <c r="C109" i="89" a="1"/>
  <c r="C109" i="89"/>
  <c r="D138" i="89" a="1"/>
  <c r="D138" i="89"/>
  <c r="D144" i="89" a="1"/>
  <c r="D144" i="89"/>
  <c r="E109" i="89" a="1"/>
  <c r="E109" i="89"/>
  <c r="E95" i="89" a="1"/>
  <c r="E95" i="89"/>
  <c r="E90" i="89" a="1"/>
  <c r="E90" i="89"/>
  <c r="T145" i="89" a="1"/>
  <c r="T145" i="89"/>
  <c r="Z95" i="89" a="1"/>
  <c r="Z95" i="89"/>
  <c r="C101" i="89" a="1"/>
  <c r="C101" i="89"/>
  <c r="T101" i="89" a="1"/>
  <c r="T101" i="89"/>
  <c r="T144" i="89" a="1"/>
  <c r="T144" i="89"/>
  <c r="E144" i="89" a="1"/>
  <c r="E144" i="89"/>
  <c r="T95" i="89" a="1"/>
  <c r="T95" i="89"/>
  <c r="T89" i="89" a="1"/>
  <c r="T89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C19" i="89"/>
  <c r="V236" i="89" a="1"/>
  <c r="V236" i="89"/>
  <c r="V19" i="89"/>
  <c r="O56" i="89" a="1"/>
  <c r="O56" i="89"/>
  <c r="AB211" i="89" a="1"/>
  <c r="O236" i="89" a="1"/>
  <c r="AB211" i="89" l="1"/>
  <c r="O236" i="89"/>
  <c r="C186" i="89" a="1"/>
  <c r="C186" i="89"/>
  <c r="S39" i="89" a="1"/>
  <c r="AB39" i="89" a="1"/>
  <c r="T75" i="89" a="1"/>
  <c r="AB39" i="89" l="1"/>
  <c r="S39" i="89"/>
  <c r="T75" i="89"/>
  <c r="C56" i="89" a="1"/>
  <c r="C56" i="89"/>
  <c r="V40" i="89" a="1"/>
  <c r="V40" i="89"/>
  <c r="O186" i="89" a="1"/>
  <c r="O186" i="89"/>
  <c r="S213" i="89" a="1"/>
  <c r="AB213" i="89" a="1"/>
  <c r="R39" i="89" a="1"/>
  <c r="S49" i="89" a="1"/>
  <c r="AB213" i="89" l="1"/>
  <c r="S213" i="89"/>
  <c r="R39" i="89"/>
  <c r="S49" i="89"/>
  <c r="R49" i="89" a="1"/>
  <c r="R49" i="89" l="1"/>
  <c r="O75" i="89" a="1"/>
  <c r="O75" i="89"/>
  <c r="T236" i="89" a="1"/>
  <c r="T236" i="89" l="1"/>
  <c r="T56" i="89" a="1"/>
  <c r="T56" i="89"/>
  <c r="V186" i="89" a="1"/>
  <c r="V186" i="89"/>
  <c r="O40" i="89" a="1"/>
  <c r="O40" i="89"/>
  <c r="T40" i="89" a="1"/>
  <c r="T40" i="89"/>
  <c r="T19" i="89"/>
  <c r="V56" i="89" a="1"/>
  <c r="V56" i="89"/>
  <c r="R213" i="89" a="1"/>
  <c r="C236" i="89" a="1"/>
  <c r="R213" i="89" l="1"/>
  <c r="C236" i="89"/>
  <c r="C40" i="89" a="1"/>
  <c r="C40" i="89"/>
  <c r="T186" i="89" a="1"/>
  <c r="T186" i="89" l="1"/>
  <c r="V75" i="89" a="1"/>
  <c r="V75" i="89" l="1"/>
  <c r="E237" i="89" a="1"/>
  <c r="E237" i="89"/>
  <c r="O19" i="89"/>
  <c r="C75" i="89" a="1"/>
  <c r="C75" i="89"/>
  <c r="E236" i="89" a="1"/>
  <c r="E236" i="89"/>
  <c r="AH9" i="338" a="1"/>
  <c r="AH9" i="338"/>
  <c r="AH8" i="338" a="1"/>
  <c r="AH8" i="338"/>
  <c r="AG9" i="338"/>
  <c r="AF57" i="1"/>
  <c r="AK9" i="338" a="1"/>
  <c r="AK9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J9" i="338" a="1"/>
  <c r="AJ9" i="338"/>
  <c r="AJ8" i="338" a="1"/>
  <c r="AJ8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G27" i="446" a="1"/>
  <c r="G27" i="446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B18" i="1"/>
  <c r="F23" i="446" a="1"/>
  <c r="F23" i="446"/>
  <c r="AB25" i="1"/>
  <c r="F27" i="446" a="1"/>
  <c r="F27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30" i="1"/>
  <c r="AF29" i="1"/>
  <c r="AK11" i="338" a="1"/>
  <c r="AK11" i="338"/>
  <c r="AI11" i="338" a="1"/>
  <c r="AI11" i="338"/>
  <c r="AH33" i="338" a="1"/>
  <c r="AH33" i="338"/>
  <c r="AH11" i="338" a="1"/>
  <c r="AH11" i="338"/>
  <c r="AH10" i="338" a="1"/>
  <c r="AH10" i="338"/>
  <c r="G19" i="446" a="1"/>
  <c r="G19" i="446"/>
  <c r="AH18" i="338" a="1"/>
  <c r="AH18" i="338"/>
  <c r="AH17" i="338" a="1"/>
  <c r="AH17" i="338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18" i="338"/>
  <c r="AF17" i="338"/>
  <c r="AF55" i="1"/>
  <c r="AF35" i="338"/>
  <c r="AF14" i="338"/>
  <c r="AF52" i="1"/>
  <c r="AC25" i="1" a="1"/>
  <c r="AC25" i="1"/>
  <c r="D27" i="446" a="1"/>
  <c r="D27" i="446"/>
  <c r="AC48" i="1" a="1"/>
  <c r="AC48" i="1"/>
  <c r="D35" i="446" a="1"/>
  <c r="D35" i="446"/>
  <c r="AB15" i="1"/>
  <c r="F21" i="446" a="1"/>
  <c r="F21" i="446"/>
  <c r="AI8" i="338" a="1"/>
  <c r="AI8" i="338"/>
  <c r="AI50" i="338" a="1"/>
  <c r="AI50" i="338"/>
  <c r="AI46" i="338" a="1"/>
  <c r="AI46" i="338"/>
  <c r="AI32" i="338" a="1"/>
  <c r="AI32" i="338"/>
  <c r="G26" i="446" a="1"/>
  <c r="G26" i="446"/>
  <c r="AJ18" i="338" a="1"/>
  <c r="AJ18" i="338"/>
  <c r="AJ17" i="338" a="1"/>
  <c r="AJ17" i="338"/>
  <c r="AI9" i="338" a="1"/>
  <c r="AI9" i="338"/>
  <c r="AB55" i="1"/>
  <c r="F14" i="446" a="1"/>
  <c r="F14" i="446"/>
  <c r="AB57" i="1"/>
  <c r="F19" i="446" a="1"/>
  <c r="F19" i="446"/>
  <c r="AC30" i="1" a="1"/>
  <c r="AC30" i="1"/>
  <c r="AC29" i="1" a="1"/>
  <c r="AC29" i="1"/>
  <c r="D26" i="446" a="1"/>
  <c r="D26" i="446"/>
  <c r="AB30" i="1"/>
  <c r="AB29" i="1"/>
  <c r="F26" i="446" a="1"/>
  <c r="F26" i="446"/>
  <c r="G23" i="446" a="1"/>
  <c r="G23" i="446"/>
  <c r="AK8" i="338" a="1"/>
  <c r="AK8" i="338"/>
  <c r="AK50" i="338" a="1"/>
  <c r="AK50" i="338"/>
  <c r="AK46" i="338" a="1"/>
  <c r="AK46" i="338"/>
  <c r="AK32" i="338" a="1"/>
  <c r="AK32" i="338"/>
  <c r="AC34" i="1" a="1"/>
  <c r="AC34" i="1"/>
  <c r="AC33" i="1" a="1"/>
  <c r="AC33" i="1"/>
  <c r="AC32" i="1" a="1"/>
  <c r="AC32" i="1"/>
  <c r="D30" i="446" a="1"/>
  <c r="D30" i="446"/>
  <c r="AF34" i="338"/>
  <c r="AF13" i="338"/>
  <c r="AF48" i="1"/>
  <c r="G30" i="446" a="1"/>
  <c r="G30" i="446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AF18" i="1"/>
  <c r="AC52" i="1" a="1"/>
  <c r="AC52" i="1"/>
  <c r="D36" i="446" a="1"/>
  <c r="D36" i="446"/>
  <c r="AF9" i="338"/>
  <c r="AF8" i="338"/>
  <c r="AF34" i="1"/>
  <c r="AF33" i="1"/>
  <c r="AF32" i="1"/>
  <c r="AG8" i="338"/>
  <c r="AG50" i="338"/>
  <c r="AG46" i="338"/>
  <c r="AG32" i="338"/>
  <c r="AF36" i="1"/>
  <c r="AJ33" i="338" a="1"/>
  <c r="AJ33" i="338"/>
  <c r="AJ11" i="338" a="1"/>
  <c r="AJ11" i="338"/>
  <c r="AJ10" i="338" a="1"/>
  <c r="AJ10" i="338"/>
  <c r="AB34" i="1"/>
  <c r="AB33" i="1"/>
  <c r="AB32" i="1"/>
  <c r="F30" i="446" a="1"/>
  <c r="F30" i="446"/>
  <c r="G35" i="446" a="1"/>
  <c r="G35" i="446"/>
  <c r="AB52" i="1"/>
  <c r="F36" i="446" a="1"/>
  <c r="F36" i="446"/>
  <c r="G21" i="446" a="1"/>
  <c r="G21" i="446"/>
  <c r="AH34" i="338" a="1"/>
  <c r="AH34" i="338"/>
  <c r="AH13" i="338" a="1"/>
  <c r="AH13" i="338"/>
  <c r="AB48" i="1"/>
  <c r="F35" i="446" a="1"/>
  <c r="F35" i="446"/>
  <c r="AG52" i="338"/>
  <c r="AG44" i="338"/>
  <c r="AG39" i="338"/>
  <c r="AG38" i="338"/>
  <c r="AG17" i="338"/>
  <c r="AG16" i="338"/>
  <c r="AG15" i="338"/>
  <c r="AF15" i="1"/>
  <c r="G14" i="446" a="1"/>
  <c r="G14" i="446"/>
  <c r="G9" i="446" a="1"/>
  <c r="G9" i="446"/>
  <c r="AB36" i="1"/>
  <c r="F9" i="446" a="1"/>
  <c r="F9" i="446"/>
  <c r="AG11" i="338"/>
  <c r="AF25" i="1"/>
  <c r="F13" i="252" a="1"/>
  <c r="F13" i="252"/>
  <c r="M13" i="252" a="1"/>
  <c r="M13" i="252"/>
  <c r="L13" i="252" a="1"/>
  <c r="L13" i="252"/>
  <c r="O13" i="252" a="1"/>
  <c r="O13" i="252"/>
  <c r="N13" i="252" a="1"/>
  <c r="N13" i="252"/>
  <c r="F11" i="252" a="1"/>
  <c r="F11" i="252"/>
  <c r="P17" i="252" a="1"/>
  <c r="P17" i="252"/>
  <c r="F20" i="252" a="1"/>
  <c r="F20" i="252"/>
  <c r="F19" i="252" a="1"/>
  <c r="F19" i="252"/>
  <c r="N19" i="252" a="1"/>
  <c r="N19" i="252"/>
  <c r="F14" i="252" a="1"/>
  <c r="F14" i="252"/>
  <c r="P19" i="252" a="1"/>
  <c r="P19" i="252"/>
  <c r="M17" i="252" a="1"/>
  <c r="M17" i="252"/>
  <c r="S20" i="252" a="1"/>
  <c r="S20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S18" i="252" a="1"/>
  <c r="S18" i="252"/>
  <c r="F10" i="252" a="1"/>
  <c r="F10" i="252"/>
  <c r="N8" i="252" a="1"/>
  <c r="N8" i="252"/>
  <c r="S14" i="252" a="1"/>
  <c r="S14" i="252"/>
  <c r="L10" i="252" a="1"/>
  <c r="L10" i="252"/>
  <c r="O19" i="252" a="1"/>
  <c r="O19" i="252"/>
  <c r="M16" i="252" a="1"/>
  <c r="M16" i="252"/>
  <c r="M10" i="252" a="1"/>
  <c r="M10" i="252"/>
  <c r="L7" i="252" a="1"/>
  <c r="L7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8" i="252" a="1"/>
  <c r="L8" i="252"/>
  <c r="L17" i="252" a="1"/>
  <c r="L17" i="252"/>
  <c r="M18" i="252" a="1"/>
  <c r="M18" i="252"/>
  <c r="S16" i="252" a="1"/>
  <c r="S16" i="252"/>
  <c r="L11" i="252" a="1"/>
  <c r="L11" i="252"/>
  <c r="O14" i="252" a="1"/>
  <c r="O14" i="252"/>
  <c r="N14" i="252" a="1"/>
  <c r="N14" i="252"/>
  <c r="O17" i="252" a="1"/>
  <c r="O17" i="252"/>
  <c r="M20" i="252" a="1"/>
  <c r="M20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P10" i="252" a="1"/>
  <c r="P10" i="252"/>
  <c r="O11" i="252" a="1"/>
  <c r="O11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O7" i="252" a="1"/>
  <c r="O7" i="252"/>
  <c r="P16" i="252" a="1"/>
  <c r="P16" i="252"/>
  <c r="F18" i="252" a="1"/>
  <c r="F18" i="252"/>
  <c r="F8" i="252" a="1"/>
  <c r="F8" i="252"/>
  <c r="O18" i="252" a="1"/>
  <c r="O18" i="252"/>
  <c r="S17" i="252" a="1"/>
  <c r="S17" i="252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F18" i="446" a="1"/>
  <c r="F18" i="446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K49" i="338" a="1"/>
  <c r="AK49" i="338"/>
  <c r="AK48" i="338" a="1"/>
  <c r="AK48" i="338"/>
  <c r="AF54" i="338"/>
  <c r="AF53" i="338"/>
  <c r="AF52" i="338"/>
  <c r="F15" i="446" a="1"/>
  <c r="F15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G37" i="338"/>
  <c r="AG36" i="338"/>
  <c r="AG35" i="338"/>
  <c r="AG34" i="338"/>
  <c r="AF51" i="338"/>
  <c r="AF50" i="338"/>
  <c r="AG49" i="338"/>
  <c r="AG48" i="338"/>
  <c r="G24" i="446" a="1"/>
  <c r="G24" i="446"/>
  <c r="G18" i="446" a="1"/>
  <c r="G18" i="446"/>
  <c r="S225" i="89" a="1"/>
  <c r="S225" i="89"/>
  <c r="R225" i="89" a="1"/>
  <c r="R225" i="89" l="1"/>
  <c r="N95" i="89" a="1"/>
  <c r="N95" i="89"/>
  <c r="N82" i="89" a="1"/>
  <c r="N82" i="89"/>
  <c r="N76" i="89" a="1"/>
  <c r="N76" i="89"/>
  <c r="N160" i="89" a="1"/>
  <c r="N160" i="89"/>
  <c r="N102" i="89" a="1"/>
  <c r="N102" i="89"/>
  <c r="N101" i="89" a="1"/>
  <c r="N101" i="89"/>
  <c r="L57" i="1" a="1"/>
  <c r="L57" i="1"/>
  <c r="L56" i="1" a="1"/>
  <c r="L56" i="1"/>
  <c r="L55" i="1" a="1"/>
  <c r="L55" i="1"/>
  <c r="L54" i="1" a="1"/>
  <c r="L54" i="1"/>
  <c r="L53" i="1" a="1"/>
  <c r="L53" i="1"/>
  <c r="L52" i="1" a="1"/>
  <c r="L52" i="1"/>
  <c r="L50" i="1" a="1"/>
  <c r="L50" i="1"/>
  <c r="L48" i="1" a="1"/>
  <c r="L48" i="1"/>
  <c r="L46" i="1" a="1"/>
  <c r="L46" i="1"/>
  <c r="L43" i="1" a="1"/>
  <c r="L43" i="1"/>
  <c r="L42" i="1" a="1"/>
  <c r="L42" i="1"/>
  <c r="L41" i="1" a="1"/>
  <c r="L41" i="1"/>
  <c r="L38" i="1" a="1"/>
  <c r="L38" i="1"/>
  <c r="L36" i="1" a="1"/>
  <c r="L36" i="1"/>
  <c r="L34" i="1" a="1"/>
  <c r="L34" i="1"/>
  <c r="L33" i="1" a="1"/>
  <c r="L33" i="1"/>
  <c r="L32" i="1" a="1"/>
  <c r="L32" i="1"/>
  <c r="L30" i="1" a="1"/>
  <c r="L30" i="1"/>
  <c r="L29" i="1" a="1"/>
  <c r="L29" i="1"/>
  <c r="L27" i="1" a="1"/>
  <c r="L27" i="1"/>
  <c r="L25" i="1" a="1"/>
  <c r="L25" i="1"/>
  <c r="L23" i="1" a="1"/>
  <c r="L23" i="1"/>
  <c r="L19" i="1" a="1"/>
  <c r="L19" i="1"/>
  <c r="L18" i="1" a="1"/>
  <c r="L18" i="1"/>
  <c r="L15" i="1" a="1"/>
  <c r="L15" i="1"/>
  <c r="L14" i="1" a="1"/>
  <c r="L14" i="1"/>
  <c r="L13" i="1" a="1"/>
  <c r="L13" i="1"/>
  <c r="L12" i="1" a="1"/>
  <c r="L12" i="1"/>
  <c r="AJ37" i="338" a="1"/>
  <c r="AJ37" i="338"/>
  <c r="AH37" i="338" a="1"/>
  <c r="AH37" i="338"/>
  <c r="AJ36" i="338" a="1"/>
  <c r="AJ36" i="338"/>
  <c r="AF37" i="338"/>
  <c r="AF53" i="1"/>
  <c r="AH36" i="338" a="1"/>
  <c r="AH36" i="338"/>
  <c r="AF36" i="338"/>
  <c r="AF46" i="1"/>
  <c r="O6" i="252" a="1"/>
  <c r="O6" i="252"/>
  <c r="Y6" i="252" a="1"/>
  <c r="Y6" i="252"/>
  <c r="L6" i="252" a="1"/>
  <c r="L6" i="252"/>
  <c r="M6" i="252" a="1"/>
  <c r="M6" i="252"/>
  <c r="N6" i="252" a="1"/>
  <c r="N6" i="252"/>
  <c r="G6" i="446" a="1"/>
  <c r="G6" i="446"/>
  <c r="G5" i="446" a="1"/>
  <c r="G5" i="446"/>
  <c r="AB19" i="1"/>
  <c r="F6" i="446" a="1"/>
  <c r="F6" i="446"/>
  <c r="F5" i="446" a="1"/>
  <c r="F5" i="446"/>
  <c r="O225" i="89" a="1"/>
  <c r="O225" i="89"/>
  <c r="C225" i="89" a="1"/>
  <c r="C225" i="89"/>
  <c r="V225" i="89" a="1"/>
  <c r="V225" i="89"/>
  <c r="T225" i="89" a="1"/>
  <c r="T225" i="89"/>
  <c r="AK45" i="338" a="1"/>
  <c r="AK45" i="338"/>
  <c r="AG45" i="338"/>
  <c r="AI45" i="338" a="1"/>
  <c r="AI45" i="338"/>
  <c r="AA179" i="89" a="1"/>
  <c r="AA179" i="89"/>
  <c r="AA178" i="89" a="1"/>
  <c r="AA178" i="89"/>
  <c r="J55" i="338" a="1"/>
  <c r="J55" i="338"/>
  <c r="J14" i="338" a="1"/>
  <c r="J14" i="338"/>
  <c r="H55" i="338" a="1"/>
  <c r="H55" i="338"/>
  <c r="E179" i="89" a="1"/>
  <c r="E179" i="89"/>
  <c r="E178" i="89" a="1"/>
  <c r="E178" i="89"/>
  <c r="AI55" i="338" a="1"/>
  <c r="AI55" i="338"/>
  <c r="AI14" i="338" a="1"/>
  <c r="AI14" i="338"/>
  <c r="AH55" i="338" a="1"/>
  <c r="AH55" i="338"/>
  <c r="O179" i="89" a="1"/>
  <c r="O179" i="89"/>
  <c r="Z179" i="89" a="1"/>
  <c r="O178" i="89" a="1"/>
  <c r="Z179" i="89" l="1"/>
  <c r="O178" i="89"/>
  <c r="Z178" i="89" a="1"/>
  <c r="C179" i="89" a="1"/>
  <c r="Z178" i="89" l="1"/>
  <c r="C179" i="89"/>
  <c r="C178" i="89" a="1"/>
  <c r="C178" i="89"/>
  <c r="AK55" i="338" a="1"/>
  <c r="AK55" i="338"/>
  <c r="AK14" i="338" a="1"/>
  <c r="AK14" i="338"/>
  <c r="AJ55" i="338" a="1"/>
  <c r="AJ55" i="338"/>
  <c r="AC2" i="1" a="1"/>
  <c r="AC2" i="1"/>
  <c r="X55" i="338" a="1"/>
  <c r="X55" i="338"/>
  <c r="V179" i="89" a="1"/>
  <c r="V179" i="89"/>
  <c r="V178" i="89" a="1"/>
  <c r="V178" i="89"/>
  <c r="T55" i="338" a="1"/>
  <c r="T55" i="338"/>
  <c r="J1" i="24" a="1"/>
  <c r="J1" i="24"/>
  <c r="K2" i="2" a="1"/>
  <c r="K2" i="2"/>
  <c r="T179" i="89" a="1"/>
  <c r="T179" i="89"/>
  <c r="T178" i="89" a="1"/>
  <c r="T178" i="89"/>
  <c r="S55" i="338" a="1"/>
  <c r="S55" i="338"/>
  <c r="P55" i="338" a="1"/>
  <c r="P55" i="338"/>
  <c r="I34" i="1" a="1"/>
  <c r="I33" i="1" a="1"/>
  <c r="I30" i="1" a="1"/>
  <c r="N36" i="1" l="1"/>
  <c r="I30" i="1"/>
  <c r="I33" i="1"/>
  <c r="I34" i="1"/>
  <c r="J36" i="1" l="1"/>
  <c r="T36" i="1"/>
  <c r="N30" i="1"/>
  <c r="J30" i="1"/>
  <c r="J34" i="1"/>
  <c r="N34" i="1"/>
  <c r="N33" i="1"/>
  <c r="J33" i="1"/>
  <c r="T33" i="1" l="1"/>
  <c r="T34" i="1"/>
  <c r="I32" i="1" a="1"/>
  <c r="I29" i="1" a="1"/>
  <c r="I29" i="1" l="1"/>
  <c r="I32" i="1"/>
  <c r="BB8" i="2" l="1"/>
  <c r="BA8" i="2"/>
  <c r="BB7" i="2"/>
  <c r="BA7" i="2"/>
  <c r="BA18" i="2"/>
  <c r="BB18" i="2"/>
  <c r="Q11" i="2" a="1"/>
  <c r="G14" i="2" a="1"/>
  <c r="P24" i="2" a="1"/>
  <c r="AN25" i="2" a="1"/>
  <c r="Q18" i="2" a="1"/>
  <c r="G18" i="2" a="1"/>
  <c r="G4" i="2" a="1"/>
  <c r="Q10" i="2" a="1"/>
  <c r="G10" i="2" a="1"/>
  <c r="L24" i="2" a="1"/>
  <c r="L15" i="2" a="1"/>
  <c r="L19" i="2" a="1"/>
  <c r="Q14" i="2" a="1"/>
  <c r="AF25" i="2" a="1"/>
  <c r="G11" i="2" a="1"/>
  <c r="L6" i="2" a="1"/>
  <c r="Q6" i="2" a="1"/>
  <c r="AN7" i="2" a="1"/>
  <c r="L11" i="2" a="1"/>
  <c r="L5" i="2" a="1"/>
  <c r="P10" i="2" a="1"/>
  <c r="P11" i="2" a="1"/>
  <c r="P6" i="2" a="1"/>
  <c r="Q8" i="2" a="1"/>
  <c r="Q9" i="2" a="1"/>
  <c r="G25" i="2" a="1"/>
  <c r="AN10" i="2" a="1"/>
  <c r="AN5" i="2" a="1"/>
  <c r="AN19" i="2" a="1"/>
  <c r="L12" i="2" a="1"/>
  <c r="L17" i="2" a="1"/>
  <c r="AN21" i="2" a="1"/>
  <c r="P7" i="2" a="1"/>
  <c r="Q4" i="2" a="1"/>
  <c r="P14" i="2" a="1"/>
  <c r="AF6" i="2" a="1"/>
  <c r="P4" i="2" a="1"/>
  <c r="AF9" i="2" a="1"/>
  <c r="L14" i="2" a="1"/>
  <c r="AF14" i="2" a="1"/>
  <c r="Q24" i="2" a="1"/>
  <c r="P9" i="2" a="1"/>
  <c r="AN16" i="2" a="1"/>
  <c r="AF11" i="2" a="1"/>
  <c r="AN18" i="2" a="1"/>
  <c r="AN6" i="2" a="1"/>
  <c r="Q25" i="2" a="1"/>
  <c r="AN14" i="2" a="1"/>
  <c r="G8" i="2" a="1"/>
  <c r="Q7" i="2" a="1"/>
  <c r="P8" i="2" a="1"/>
  <c r="L10" i="2" a="1"/>
  <c r="AF24" i="2" a="1"/>
  <c r="P15" i="2" a="1"/>
  <c r="AN13" i="2" a="1"/>
  <c r="AF15" i="2" a="1"/>
  <c r="AF4" i="2" a="1"/>
  <c r="G6" i="2" a="1"/>
  <c r="G15" i="2" a="1"/>
  <c r="AN11" i="2" a="1"/>
  <c r="AN12" i="2" a="1"/>
  <c r="G9" i="2" a="1"/>
  <c r="L13" i="2" a="1"/>
  <c r="L4" i="2" a="1"/>
  <c r="L21" i="2" a="1"/>
  <c r="Q15" i="2" a="1"/>
  <c r="AN17" i="2" a="1"/>
  <c r="L9" i="2" a="1"/>
  <c r="AN22" i="2" a="1"/>
  <c r="P18" i="2" a="1"/>
  <c r="L2" i="2" a="1"/>
  <c r="AF10" i="2" a="1"/>
  <c r="G7" i="2" a="1"/>
  <c r="AN24" i="2" a="1"/>
  <c r="AN8" i="2" a="1"/>
  <c r="P25" i="2" a="1"/>
  <c r="AN9" i="2" a="1"/>
  <c r="AN4" i="2" a="1"/>
  <c r="G24" i="2" a="1"/>
  <c r="L16" i="2" a="1"/>
  <c r="L25" i="2" a="1"/>
  <c r="AN15" i="2" a="1"/>
  <c r="AN21" i="2" l="1"/>
  <c r="L9" i="2"/>
  <c r="L14" i="2"/>
  <c r="AN6" i="2"/>
  <c r="AN15" i="2"/>
  <c r="G9" i="2"/>
  <c r="AN19" i="2"/>
  <c r="AN12" i="2"/>
  <c r="G11" i="2"/>
  <c r="AN8" i="2"/>
  <c r="L25" i="2"/>
  <c r="Q15" i="2"/>
  <c r="P15" i="2"/>
  <c r="Q10" i="2"/>
  <c r="AN5" i="2"/>
  <c r="P6" i="2"/>
  <c r="AN7" i="2"/>
  <c r="L12" i="2"/>
  <c r="P10" i="2"/>
  <c r="AN18" i="2"/>
  <c r="AN11" i="2"/>
  <c r="L10" i="2"/>
  <c r="AN4" i="2"/>
  <c r="AF15" i="2"/>
  <c r="L6" i="2"/>
  <c r="Q24" i="2"/>
  <c r="G15" i="2"/>
  <c r="G14" i="2"/>
  <c r="G25" i="2"/>
  <c r="L19" i="2"/>
  <c r="G10" i="2"/>
  <c r="AN14" i="2"/>
  <c r="AF11" i="2"/>
  <c r="AF4" i="2"/>
  <c r="AF24" i="2"/>
  <c r="L15" i="2"/>
  <c r="L24" i="2"/>
  <c r="L17" i="2"/>
  <c r="AF14" i="2"/>
  <c r="Q11" i="2"/>
  <c r="AN9" i="2"/>
  <c r="Q4" i="2"/>
  <c r="P25" i="2"/>
  <c r="P9" i="2"/>
  <c r="AN10" i="2"/>
  <c r="AF10" i="2"/>
  <c r="Q6" i="2"/>
  <c r="AN24" i="2"/>
  <c r="L5" i="2"/>
  <c r="P24" i="2"/>
  <c r="AN13" i="2"/>
  <c r="AN25" i="2"/>
  <c r="L2" i="2"/>
  <c r="L21" i="2"/>
  <c r="G6" i="2"/>
  <c r="AN17" i="2"/>
  <c r="L13" i="2"/>
  <c r="G24" i="2"/>
  <c r="AN16" i="2"/>
  <c r="Q14" i="2"/>
  <c r="P11" i="2"/>
  <c r="AF9" i="2"/>
  <c r="P4" i="2"/>
  <c r="AF25" i="2"/>
  <c r="G4" i="2"/>
  <c r="AF6" i="2"/>
  <c r="Q25" i="2"/>
  <c r="AN22" i="2"/>
  <c r="L16" i="2"/>
  <c r="P14" i="2"/>
  <c r="L11" i="2"/>
  <c r="Q9" i="2"/>
  <c r="L4" i="2"/>
  <c r="BC18" i="2"/>
  <c r="BC7" i="2"/>
  <c r="BC8" i="2"/>
  <c r="G8" i="2"/>
  <c r="P8" i="2"/>
  <c r="Q8" i="2"/>
  <c r="Q7" i="2"/>
  <c r="G7" i="2"/>
  <c r="P7" i="2"/>
  <c r="G18" i="2"/>
  <c r="P18" i="2"/>
  <c r="Q18" i="2"/>
  <c r="Q40" i="531"/>
  <c r="R40" i="531"/>
  <c r="S40" i="531"/>
  <c r="T40" i="531"/>
  <c r="P40" i="531"/>
  <c r="T45" i="531"/>
  <c r="S45" i="531"/>
  <c r="R45" i="531"/>
  <c r="Q45" i="531"/>
  <c r="P45" i="531"/>
  <c r="AB8" i="89" a="1"/>
  <c r="S7" i="2" a="1"/>
  <c r="AB203" i="89" a="1"/>
  <c r="AB204" i="89" a="1"/>
  <c r="S8" i="2" a="1"/>
  <c r="S18" i="2" a="1"/>
  <c r="AB233" i="89" a="1"/>
  <c r="AB180" i="89" a="1"/>
  <c r="AB170" i="89" a="1"/>
  <c r="AB26" i="89" a="1"/>
  <c r="AB7" i="89" a="1"/>
  <c r="AB169" i="89" a="1"/>
  <c r="AB205" i="89" a="1"/>
  <c r="L28" i="2" l="1"/>
  <c r="L27" i="2"/>
  <c r="AB205" i="89"/>
  <c r="AB169" i="89"/>
  <c r="AB7" i="89"/>
  <c r="AB26" i="89"/>
  <c r="AB170" i="89"/>
  <c r="AB180" i="89"/>
  <c r="AB233" i="89"/>
  <c r="AB204" i="89"/>
  <c r="AB203" i="89"/>
  <c r="AB8" i="89"/>
  <c r="R8" i="2"/>
  <c r="R7" i="2"/>
  <c r="S8" i="2"/>
  <c r="U8" i="2" s="1"/>
  <c r="S7" i="2"/>
  <c r="AP7" i="2" s="1"/>
  <c r="AO7" i="2"/>
  <c r="O7" i="2"/>
  <c r="O8" i="2"/>
  <c r="R18" i="2"/>
  <c r="S18" i="2"/>
  <c r="AP18" i="2" s="1"/>
  <c r="O18" i="2"/>
  <c r="AC12" i="2" a="1"/>
  <c r="AB223" i="89" a="1"/>
  <c r="AQ5" i="2" a="1"/>
  <c r="Z7" i="2"/>
  <c r="AV7" i="2" s="1" a="1"/>
  <c r="AB224" i="89" a="1"/>
  <c r="AB222" i="89" a="1"/>
  <c r="Z18" i="2"/>
  <c r="AV18" i="2" s="1" a="1"/>
  <c r="AQ12" i="2" a="1"/>
  <c r="S223" i="89" a="1"/>
  <c r="S188" i="89" a="1"/>
  <c r="Z8" i="2"/>
  <c r="AV8" i="2" s="1" a="1"/>
  <c r="U7" i="2" l="1"/>
  <c r="AV18" i="2"/>
  <c r="AV8" i="2"/>
  <c r="AV7" i="2"/>
  <c r="AO8" i="2"/>
  <c r="AP8" i="2"/>
  <c r="AE8" i="2"/>
  <c r="S188" i="89"/>
  <c r="S223" i="89"/>
  <c r="AQ12" i="2"/>
  <c r="AE7" i="2"/>
  <c r="AB222" i="89"/>
  <c r="AB224" i="89"/>
  <c r="AE18" i="2"/>
  <c r="AQ5" i="2"/>
  <c r="AB223" i="89"/>
  <c r="AC12" i="2"/>
  <c r="U18" i="2"/>
  <c r="AO18" i="2"/>
  <c r="AS7" i="2"/>
  <c r="AL7" i="2"/>
  <c r="AT7" i="2"/>
  <c r="AB7" i="2"/>
  <c r="X7" i="2"/>
  <c r="Y7" i="2" s="1"/>
  <c r="M7" i="2"/>
  <c r="AM7" i="2"/>
  <c r="AS8" i="2"/>
  <c r="AL8" i="2"/>
  <c r="AT8" i="2"/>
  <c r="AB8" i="2"/>
  <c r="X8" i="2"/>
  <c r="Y8" i="2" s="1"/>
  <c r="M8" i="2"/>
  <c r="AM8" i="2"/>
  <c r="AL18" i="2"/>
  <c r="AT18" i="2"/>
  <c r="AS18" i="2"/>
  <c r="X18" i="2"/>
  <c r="Y18" i="2" s="1"/>
  <c r="M18" i="2"/>
  <c r="AM18" i="2"/>
  <c r="AB18" i="2"/>
  <c r="R188" i="89" a="1"/>
  <c r="R223" i="89" a="1"/>
  <c r="R188" i="89" l="1"/>
  <c r="R223" i="89"/>
  <c r="BA13" i="2"/>
  <c r="BB13" i="2"/>
  <c r="H27" i="89"/>
  <c r="P13" i="2" a="1"/>
  <c r="Q13" i="2" a="1"/>
  <c r="G13" i="2" a="1"/>
  <c r="AF13" i="2" a="1"/>
  <c r="BC13" i="2" l="1"/>
  <c r="P13" i="2"/>
  <c r="AF13" i="2"/>
  <c r="G13" i="2"/>
  <c r="Q13" i="2"/>
  <c r="S13" i="2" a="1"/>
  <c r="R13" i="2" l="1"/>
  <c r="S13" i="2"/>
  <c r="U13" i="2" s="1"/>
  <c r="O13" i="2"/>
  <c r="AO13" i="2"/>
  <c r="AP13" i="2" l="1"/>
  <c r="AE13" i="2"/>
  <c r="AT13" i="2"/>
  <c r="AS13" i="2"/>
  <c r="AL13" i="2"/>
  <c r="M13" i="2"/>
  <c r="AB13" i="2"/>
  <c r="J17" i="531" s="1"/>
  <c r="X13" i="2"/>
  <c r="Y13" i="2" s="1"/>
  <c r="AM13" i="2"/>
  <c r="AC28" i="531" l="1"/>
  <c r="AA28" i="531"/>
  <c r="Y28" i="531"/>
  <c r="W28" i="531"/>
  <c r="T30" i="531"/>
  <c r="S30" i="531"/>
  <c r="R30" i="531"/>
  <c r="Q30" i="531"/>
  <c r="P30" i="531"/>
  <c r="Q20" i="531"/>
  <c r="R20" i="531"/>
  <c r="S20" i="531"/>
  <c r="T20" i="531"/>
  <c r="P20" i="531"/>
  <c r="H17" i="531"/>
  <c r="L171" i="89" a="1"/>
  <c r="K171" i="89" a="1"/>
  <c r="F171" i="89" a="1"/>
  <c r="W171" i="89" a="1"/>
  <c r="W171" i="89" l="1"/>
  <c r="K171" i="89"/>
  <c r="L171" i="89"/>
  <c r="F171" i="89"/>
  <c r="AC10" i="531" l="1"/>
  <c r="AA10" i="531"/>
  <c r="Y10" i="531"/>
  <c r="W10" i="531"/>
  <c r="AC43" i="531"/>
  <c r="AA43" i="531"/>
  <c r="Y43" i="531"/>
  <c r="W43" i="531"/>
  <c r="AC18" i="531"/>
  <c r="AA18" i="531"/>
  <c r="Y18" i="531"/>
  <c r="W18" i="531"/>
  <c r="H63" i="531"/>
  <c r="H64" i="531"/>
  <c r="H27" i="531"/>
  <c r="H42" i="531"/>
  <c r="H8" i="531"/>
  <c r="F8" i="531"/>
  <c r="F8" i="89" a="1"/>
  <c r="K8" i="89" a="1"/>
  <c r="L8" i="89" a="1"/>
  <c r="W8" i="89" a="1"/>
  <c r="K8" i="89" l="1"/>
  <c r="W8" i="89"/>
  <c r="F8" i="89"/>
  <c r="L8" i="89"/>
  <c r="H34" i="89"/>
  <c r="H40" i="89" l="1"/>
  <c r="L40" i="89" a="1"/>
  <c r="W40" i="89" a="1"/>
  <c r="F40" i="89" a="1"/>
  <c r="K40" i="89" a="1"/>
  <c r="L40" i="89" l="1"/>
  <c r="K40" i="89"/>
  <c r="F40" i="89"/>
  <c r="W40" i="89"/>
  <c r="BA6" i="2" l="1"/>
  <c r="S40" i="89" a="1"/>
  <c r="S33" i="89"/>
  <c r="R33" i="89" s="1" a="1"/>
  <c r="R33" i="89" l="1"/>
  <c r="S40" i="89"/>
  <c r="BB6" i="2"/>
  <c r="BC6" i="2" s="1"/>
  <c r="S6" i="2" a="1"/>
  <c r="S6" i="2" l="1"/>
  <c r="AP6" i="2" s="1"/>
  <c r="O6" i="2"/>
  <c r="R6" i="2"/>
  <c r="S81" i="89" a="1"/>
  <c r="S14" i="89" a="1"/>
  <c r="S7" i="89" a="1"/>
  <c r="S26" i="89" a="1"/>
  <c r="S8" i="89" a="1"/>
  <c r="Z6" i="2"/>
  <c r="AV6" i="2" s="1" a="1"/>
  <c r="S180" i="89" a="1"/>
  <c r="AV6" i="2" l="1"/>
  <c r="S7" i="89"/>
  <c r="S26" i="89"/>
  <c r="S180" i="89"/>
  <c r="S81" i="89"/>
  <c r="AE6" i="2"/>
  <c r="S14" i="89"/>
  <c r="S8" i="89"/>
  <c r="AO6" i="2"/>
  <c r="U6" i="2"/>
  <c r="AS6" i="2"/>
  <c r="AT6" i="2"/>
  <c r="AL6" i="2"/>
  <c r="M6" i="2"/>
  <c r="AM6" i="2"/>
  <c r="X6" i="2"/>
  <c r="Y6" i="2" s="1"/>
  <c r="AB6" i="2"/>
  <c r="J64" i="531" s="1"/>
  <c r="R14" i="89" a="1"/>
  <c r="R81" i="89" a="1"/>
  <c r="R8" i="89" a="1"/>
  <c r="R26" i="89" a="1"/>
  <c r="R7" i="89" a="1"/>
  <c r="R180" i="89" a="1"/>
  <c r="R14" i="89" l="1"/>
  <c r="R81" i="89"/>
  <c r="R8" i="89"/>
  <c r="R180" i="89"/>
  <c r="R7" i="89"/>
  <c r="R26" i="89"/>
  <c r="J4" i="2" l="1"/>
  <c r="K4" i="2" s="1"/>
  <c r="N45" i="1" l="1"/>
  <c r="J45" i="1"/>
  <c r="C67" i="54" l="1"/>
  <c r="C73" i="54"/>
  <c r="C72" i="54"/>
  <c r="I50" i="54" a="1"/>
  <c r="S34" i="89"/>
  <c r="R34" i="89" s="1" a="1"/>
  <c r="R34" i="89" l="1"/>
  <c r="I50" i="54"/>
  <c r="Q43" i="1" l="1"/>
  <c r="S43" i="1"/>
  <c r="Q45" i="1"/>
  <c r="S45" i="1"/>
  <c r="W19" i="252"/>
  <c r="T19" i="252"/>
  <c r="W10" i="252"/>
  <c r="T10" i="252"/>
  <c r="W8" i="252"/>
  <c r="T8" i="252"/>
  <c r="W16" i="252"/>
  <c r="T14" i="252"/>
  <c r="W17" i="252"/>
  <c r="T17" i="252"/>
  <c r="T11" i="252"/>
  <c r="W18" i="252"/>
  <c r="W14" i="252"/>
  <c r="T18" i="252"/>
  <c r="T16" i="252"/>
  <c r="W11" i="252"/>
  <c r="J17" i="252" a="1"/>
  <c r="J14" i="252" a="1"/>
  <c r="J7" i="252" a="1"/>
  <c r="J8" i="252" a="1"/>
  <c r="J10" i="252" a="1"/>
  <c r="J15" i="252" a="1"/>
  <c r="J9" i="252" a="1"/>
  <c r="S102" i="89" a="1"/>
  <c r="S27" i="89" a="1"/>
  <c r="S237" i="89" a="1"/>
  <c r="S27" i="89" l="1"/>
  <c r="S102" i="89"/>
  <c r="S237" i="89"/>
  <c r="T45" i="1"/>
  <c r="J9" i="252"/>
  <c r="J15" i="252"/>
  <c r="J10" i="252"/>
  <c r="J8" i="252"/>
  <c r="J7" i="252"/>
  <c r="J14" i="252"/>
  <c r="J17" i="252"/>
  <c r="J11" i="252" a="1"/>
  <c r="J13" i="252" a="1"/>
  <c r="J6" i="252" a="1"/>
  <c r="J12" i="252" a="1"/>
  <c r="J20" i="252" a="1"/>
  <c r="J18" i="252" a="1"/>
  <c r="J16" i="252" a="1"/>
  <c r="J19" i="252" a="1"/>
  <c r="R27" i="89" a="1"/>
  <c r="R102" i="89" a="1"/>
  <c r="R237" i="89" a="1"/>
  <c r="R237" i="89" l="1"/>
  <c r="R102" i="89"/>
  <c r="R27" i="89"/>
  <c r="J19" i="252"/>
  <c r="J16" i="252"/>
  <c r="J18" i="252"/>
  <c r="J20" i="252"/>
  <c r="J12" i="252"/>
  <c r="J6" i="252"/>
  <c r="J13" i="252"/>
  <c r="J11" i="252"/>
  <c r="T20" i="252"/>
  <c r="W20" i="252"/>
  <c r="W7" i="252"/>
  <c r="T7" i="252"/>
  <c r="X2" i="527"/>
  <c r="U2" i="527"/>
  <c r="R2" i="527"/>
  <c r="R165" i="444"/>
  <c r="G165" i="444"/>
  <c r="T164" i="444"/>
  <c r="U164" i="444" s="1"/>
  <c r="R164" i="444"/>
  <c r="S164" i="444" s="1"/>
  <c r="G164" i="444"/>
  <c r="R163" i="444"/>
  <c r="T163" i="444" s="1"/>
  <c r="U163" i="444" s="1"/>
  <c r="G163" i="444"/>
  <c r="T162" i="444"/>
  <c r="U162" i="444" s="1"/>
  <c r="S162" i="444"/>
  <c r="R162" i="444"/>
  <c r="G162" i="444"/>
  <c r="R161" i="444"/>
  <c r="T161" i="444" s="1"/>
  <c r="U161" i="444" s="1"/>
  <c r="G161" i="444"/>
  <c r="S160" i="444"/>
  <c r="R160" i="444"/>
  <c r="T160" i="444" s="1"/>
  <c r="U160" i="444" s="1"/>
  <c r="V160" i="444" s="1"/>
  <c r="W160" i="444" s="1"/>
  <c r="G160" i="444"/>
  <c r="T159" i="444"/>
  <c r="U159" i="444" s="1"/>
  <c r="R159" i="444"/>
  <c r="S159" i="444" s="1"/>
  <c r="G159" i="444"/>
  <c r="T158" i="444"/>
  <c r="U158" i="444" s="1"/>
  <c r="S158" i="444"/>
  <c r="R158" i="444"/>
  <c r="G158" i="444"/>
  <c r="T157" i="444"/>
  <c r="U157" i="444" s="1"/>
  <c r="S157" i="444"/>
  <c r="R157" i="444"/>
  <c r="G157" i="444"/>
  <c r="R156" i="444"/>
  <c r="G156" i="444"/>
  <c r="R155" i="444"/>
  <c r="S155" i="444" s="1"/>
  <c r="G155" i="444"/>
  <c r="T154" i="444"/>
  <c r="U154" i="444" s="1"/>
  <c r="R154" i="444"/>
  <c r="S154" i="444" s="1"/>
  <c r="G154" i="444"/>
  <c r="R153" i="444"/>
  <c r="T153" i="444" s="1"/>
  <c r="U153" i="444" s="1"/>
  <c r="G153" i="444"/>
  <c r="T152" i="444"/>
  <c r="U152" i="444" s="1"/>
  <c r="S152" i="444"/>
  <c r="R152" i="444"/>
  <c r="G152" i="444"/>
  <c r="R151" i="444"/>
  <c r="T151" i="444" s="1"/>
  <c r="U151" i="444" s="1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R148" i="444"/>
  <c r="S148" i="444" s="1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S146" i="444"/>
  <c r="R146" i="444"/>
  <c r="G146" i="444"/>
  <c r="R145" i="444"/>
  <c r="G145" i="444"/>
  <c r="R144" i="444"/>
  <c r="T144" i="444" s="1"/>
  <c r="U144" i="444" s="1"/>
  <c r="G144" i="444"/>
  <c r="R143" i="444"/>
  <c r="T143" i="444" s="1"/>
  <c r="U143" i="444" s="1"/>
  <c r="G143" i="444"/>
  <c r="T142" i="444"/>
  <c r="U142" i="444" s="1"/>
  <c r="S142" i="444"/>
  <c r="R142" i="444"/>
  <c r="G142" i="444"/>
  <c r="R141" i="444"/>
  <c r="T141" i="444" s="1"/>
  <c r="U141" i="444" s="1"/>
  <c r="G141" i="444"/>
  <c r="S140" i="444"/>
  <c r="R140" i="444"/>
  <c r="T140" i="444" s="1"/>
  <c r="U140" i="444" s="1"/>
  <c r="V140" i="444" s="1"/>
  <c r="W140" i="444" s="1"/>
  <c r="G140" i="444"/>
  <c r="T139" i="444"/>
  <c r="U139" i="444" s="1"/>
  <c r="R139" i="444"/>
  <c r="S139" i="444" s="1"/>
  <c r="G139" i="444"/>
  <c r="T138" i="444"/>
  <c r="U138" i="444" s="1"/>
  <c r="V138" i="444" s="1"/>
  <c r="W138" i="444" s="1"/>
  <c r="S138" i="444"/>
  <c r="R138" i="444"/>
  <c r="G138" i="444"/>
  <c r="T137" i="444"/>
  <c r="U137" i="444" s="1"/>
  <c r="S137" i="444"/>
  <c r="R137" i="444"/>
  <c r="G137" i="444"/>
  <c r="R136" i="444"/>
  <c r="G136" i="444"/>
  <c r="R135" i="444"/>
  <c r="T135" i="444" s="1"/>
  <c r="U135" i="444" s="1"/>
  <c r="G135" i="444"/>
  <c r="T134" i="444"/>
  <c r="U134" i="444" s="1"/>
  <c r="R134" i="444"/>
  <c r="S134" i="444" s="1"/>
  <c r="G134" i="444"/>
  <c r="R133" i="444"/>
  <c r="T133" i="444" s="1"/>
  <c r="U133" i="444" s="1"/>
  <c r="G133" i="444"/>
  <c r="R132" i="444"/>
  <c r="T132" i="444" s="1"/>
  <c r="U132" i="444" s="1"/>
  <c r="G132" i="444"/>
  <c r="R131" i="444"/>
  <c r="T131" i="444" s="1"/>
  <c r="U131" i="444" s="1"/>
  <c r="G131" i="444"/>
  <c r="R130" i="444"/>
  <c r="T130" i="444" s="1"/>
  <c r="U130" i="444" s="1"/>
  <c r="G130" i="444"/>
  <c r="T129" i="444"/>
  <c r="U129" i="444" s="1"/>
  <c r="S129" i="444"/>
  <c r="R129" i="444"/>
  <c r="G129" i="444"/>
  <c r="R128" i="444"/>
  <c r="S128" i="444" s="1"/>
  <c r="G128" i="444"/>
  <c r="R127" i="444"/>
  <c r="T127" i="444" s="1"/>
  <c r="U127" i="444" s="1"/>
  <c r="G127" i="444"/>
  <c r="T126" i="444"/>
  <c r="U126" i="444" s="1"/>
  <c r="V126" i="444" s="1"/>
  <c r="W126" i="444" s="1"/>
  <c r="S126" i="444"/>
  <c r="R126" i="444"/>
  <c r="G126" i="444"/>
  <c r="R125" i="444"/>
  <c r="G125" i="444"/>
  <c r="R124" i="444"/>
  <c r="T124" i="444" s="1"/>
  <c r="U124" i="444" s="1"/>
  <c r="G124" i="444"/>
  <c r="R123" i="444"/>
  <c r="T123" i="444" s="1"/>
  <c r="U123" i="444" s="1"/>
  <c r="G123" i="444"/>
  <c r="T122" i="444"/>
  <c r="U122" i="444" s="1"/>
  <c r="S122" i="444"/>
  <c r="R122" i="444"/>
  <c r="G122" i="444"/>
  <c r="R121" i="444"/>
  <c r="T121" i="444" s="1"/>
  <c r="U121" i="444" s="1"/>
  <c r="G121" i="444"/>
  <c r="R120" i="444"/>
  <c r="T120" i="444" s="1"/>
  <c r="U120" i="444" s="1"/>
  <c r="G120" i="444"/>
  <c r="T119" i="444"/>
  <c r="U119" i="444" s="1"/>
  <c r="R119" i="444"/>
  <c r="S119" i="444" s="1"/>
  <c r="G119" i="444"/>
  <c r="R118" i="444"/>
  <c r="T118" i="444" s="1"/>
  <c r="U118" i="444" s="1"/>
  <c r="G118" i="444"/>
  <c r="T117" i="444"/>
  <c r="U117" i="444" s="1"/>
  <c r="S117" i="444"/>
  <c r="R117" i="444"/>
  <c r="G117" i="444"/>
  <c r="R116" i="444"/>
  <c r="G116" i="444"/>
  <c r="R115" i="444"/>
  <c r="T115" i="444" s="1"/>
  <c r="U115" i="444" s="1"/>
  <c r="G115" i="444"/>
  <c r="T114" i="444"/>
  <c r="U114" i="444" s="1"/>
  <c r="R114" i="444"/>
  <c r="S114" i="444" s="1"/>
  <c r="G114" i="444"/>
  <c r="R113" i="444"/>
  <c r="T113" i="444" s="1"/>
  <c r="U113" i="444" s="1"/>
  <c r="G113" i="444"/>
  <c r="T112" i="444"/>
  <c r="U112" i="444" s="1"/>
  <c r="R112" i="444"/>
  <c r="S112" i="444" s="1"/>
  <c r="G112" i="444"/>
  <c r="R111" i="444"/>
  <c r="T111" i="444" s="1"/>
  <c r="U111" i="444" s="1"/>
  <c r="G111" i="444"/>
  <c r="S110" i="444"/>
  <c r="R110" i="444"/>
  <c r="T110" i="444" s="1"/>
  <c r="U110" i="444" s="1"/>
  <c r="G110" i="444"/>
  <c r="T109" i="444"/>
  <c r="U109" i="444" s="1"/>
  <c r="S109" i="444"/>
  <c r="R109" i="444"/>
  <c r="G109" i="444"/>
  <c r="R108" i="444"/>
  <c r="S108" i="444" s="1"/>
  <c r="G108" i="444"/>
  <c r="R107" i="444"/>
  <c r="T107" i="444" s="1"/>
  <c r="U107" i="444" s="1"/>
  <c r="G107" i="444"/>
  <c r="T106" i="444"/>
  <c r="U106" i="444" s="1"/>
  <c r="V106" i="444" s="1"/>
  <c r="W106" i="444" s="1"/>
  <c r="S106" i="444"/>
  <c r="R106" i="444"/>
  <c r="G106" i="444"/>
  <c r="R105" i="444"/>
  <c r="G105" i="444"/>
  <c r="T104" i="444"/>
  <c r="U104" i="444" s="1"/>
  <c r="V104" i="444" s="1"/>
  <c r="W104" i="444" s="1"/>
  <c r="S104" i="444"/>
  <c r="R104" i="444"/>
  <c r="G104" i="444"/>
  <c r="R103" i="444"/>
  <c r="T103" i="444" s="1"/>
  <c r="U103" i="444" s="1"/>
  <c r="G103" i="444"/>
  <c r="T102" i="444"/>
  <c r="U102" i="444" s="1"/>
  <c r="S102" i="444"/>
  <c r="R102" i="444"/>
  <c r="G102" i="444"/>
  <c r="R101" i="444"/>
  <c r="S101" i="444" s="1"/>
  <c r="G101" i="444"/>
  <c r="R100" i="444"/>
  <c r="T100" i="444" s="1"/>
  <c r="U100" i="444" s="1"/>
  <c r="G100" i="444"/>
  <c r="T99" i="444"/>
  <c r="U99" i="444" s="1"/>
  <c r="R99" i="444"/>
  <c r="S99" i="444" s="1"/>
  <c r="G99" i="444"/>
  <c r="R98" i="444"/>
  <c r="T98" i="444" s="1"/>
  <c r="U98" i="444" s="1"/>
  <c r="G98" i="444"/>
  <c r="T97" i="444"/>
  <c r="U97" i="444" s="1"/>
  <c r="S97" i="444"/>
  <c r="R97" i="444"/>
  <c r="G97" i="444"/>
  <c r="R96" i="444"/>
  <c r="G96" i="444"/>
  <c r="R95" i="444"/>
  <c r="T95" i="444" s="1"/>
  <c r="U95" i="444" s="1"/>
  <c r="G95" i="444"/>
  <c r="T94" i="444"/>
  <c r="U94" i="444" s="1"/>
  <c r="R94" i="444"/>
  <c r="S94" i="444" s="1"/>
  <c r="G94" i="444"/>
  <c r="R93" i="444"/>
  <c r="T93" i="444" s="1"/>
  <c r="U93" i="444" s="1"/>
  <c r="G93" i="444"/>
  <c r="T92" i="444"/>
  <c r="U92" i="444" s="1"/>
  <c r="S92" i="444"/>
  <c r="R92" i="444"/>
  <c r="G92" i="444"/>
  <c r="R91" i="444"/>
  <c r="T91" i="444" s="1"/>
  <c r="U91" i="444" s="1"/>
  <c r="G91" i="444"/>
  <c r="R90" i="444"/>
  <c r="T90" i="444" s="1"/>
  <c r="U90" i="444" s="1"/>
  <c r="G90" i="444"/>
  <c r="T89" i="444"/>
  <c r="U89" i="444" s="1"/>
  <c r="S89" i="444"/>
  <c r="R89" i="444"/>
  <c r="G89" i="444"/>
  <c r="R88" i="444"/>
  <c r="T88" i="444" s="1"/>
  <c r="U88" i="444" s="1"/>
  <c r="G88" i="444"/>
  <c r="T87" i="444"/>
  <c r="U87" i="444" s="1"/>
  <c r="R87" i="444"/>
  <c r="S87" i="444" s="1"/>
  <c r="G87" i="444"/>
  <c r="T86" i="444"/>
  <c r="U86" i="444" s="1"/>
  <c r="V86" i="444" s="1"/>
  <c r="W86" i="444" s="1"/>
  <c r="S86" i="444"/>
  <c r="R86" i="444"/>
  <c r="G86" i="444"/>
  <c r="R85" i="444"/>
  <c r="G85" i="444"/>
  <c r="R84" i="444"/>
  <c r="T84" i="444" s="1"/>
  <c r="U84" i="444" s="1"/>
  <c r="G84" i="444"/>
  <c r="R83" i="444"/>
  <c r="T83" i="444" s="1"/>
  <c r="U83" i="444" s="1"/>
  <c r="G83" i="444"/>
  <c r="T82" i="444"/>
  <c r="U82" i="444" s="1"/>
  <c r="S82" i="444"/>
  <c r="R82" i="444"/>
  <c r="G82" i="444"/>
  <c r="S81" i="444"/>
  <c r="R81" i="444"/>
  <c r="T81" i="444" s="1"/>
  <c r="U81" i="444" s="1"/>
  <c r="G81" i="444"/>
  <c r="R80" i="444"/>
  <c r="T80" i="444" s="1"/>
  <c r="U80" i="444" s="1"/>
  <c r="G80" i="444"/>
  <c r="T79" i="444"/>
  <c r="U79" i="444" s="1"/>
  <c r="R79" i="444"/>
  <c r="S79" i="444" s="1"/>
  <c r="G79" i="444"/>
  <c r="R78" i="444"/>
  <c r="T78" i="444" s="1"/>
  <c r="U78" i="444" s="1"/>
  <c r="G78" i="444"/>
  <c r="T77" i="444"/>
  <c r="U77" i="444" s="1"/>
  <c r="S77" i="444"/>
  <c r="R77" i="444"/>
  <c r="G77" i="444"/>
  <c r="R76" i="444"/>
  <c r="G76" i="444"/>
  <c r="R75" i="444"/>
  <c r="T75" i="444" s="1"/>
  <c r="U75" i="444" s="1"/>
  <c r="G75" i="444"/>
  <c r="T74" i="444"/>
  <c r="U74" i="444" s="1"/>
  <c r="R74" i="444"/>
  <c r="S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T71" i="444" s="1"/>
  <c r="U71" i="444" s="1"/>
  <c r="G71" i="444"/>
  <c r="R70" i="444"/>
  <c r="T70" i="444" s="1"/>
  <c r="U70" i="444" s="1"/>
  <c r="G70" i="444"/>
  <c r="T69" i="444"/>
  <c r="U69" i="444" s="1"/>
  <c r="S69" i="444"/>
  <c r="R69" i="444"/>
  <c r="G69" i="444"/>
  <c r="R68" i="444"/>
  <c r="S68" i="444" s="1"/>
  <c r="G68" i="444"/>
  <c r="R67" i="444"/>
  <c r="T67" i="444" s="1"/>
  <c r="U67" i="444" s="1"/>
  <c r="G67" i="444"/>
  <c r="T66" i="444"/>
  <c r="U66" i="444" s="1"/>
  <c r="V66" i="444" s="1"/>
  <c r="W66" i="444" s="1"/>
  <c r="S66" i="444"/>
  <c r="R66" i="444"/>
  <c r="G66" i="444"/>
  <c r="R65" i="444"/>
  <c r="G65" i="444"/>
  <c r="S64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S62" i="444"/>
  <c r="R62" i="444"/>
  <c r="G62" i="444"/>
  <c r="R61" i="444"/>
  <c r="T61" i="444" s="1"/>
  <c r="U61" i="444" s="1"/>
  <c r="G61" i="444"/>
  <c r="R60" i="444"/>
  <c r="T60" i="444" s="1"/>
  <c r="U60" i="444" s="1"/>
  <c r="G60" i="444"/>
  <c r="T59" i="444"/>
  <c r="U59" i="444" s="1"/>
  <c r="R59" i="444"/>
  <c r="S59" i="444" s="1"/>
  <c r="G59" i="444"/>
  <c r="R58" i="444"/>
  <c r="T58" i="444" s="1"/>
  <c r="U58" i="444" s="1"/>
  <c r="G58" i="444"/>
  <c r="T57" i="444"/>
  <c r="U57" i="444" s="1"/>
  <c r="S57" i="444"/>
  <c r="R57" i="444"/>
  <c r="G57" i="444"/>
  <c r="R56" i="444"/>
  <c r="G56" i="444"/>
  <c r="R55" i="444"/>
  <c r="S55" i="444" s="1"/>
  <c r="G55" i="444"/>
  <c r="T54" i="444"/>
  <c r="U54" i="444" s="1"/>
  <c r="R54" i="444"/>
  <c r="S54" i="444" s="1"/>
  <c r="G54" i="444"/>
  <c r="S53" i="444"/>
  <c r="R53" i="444"/>
  <c r="T53" i="444" s="1"/>
  <c r="U53" i="444" s="1"/>
  <c r="G53" i="444"/>
  <c r="R52" i="444"/>
  <c r="T52" i="444" s="1"/>
  <c r="U52" i="444" s="1"/>
  <c r="G52" i="444"/>
  <c r="R51" i="444"/>
  <c r="T51" i="444" s="1"/>
  <c r="U51" i="444" s="1"/>
  <c r="G51" i="444"/>
  <c r="R50" i="444"/>
  <c r="T50" i="444" s="1"/>
  <c r="U50" i="444" s="1"/>
  <c r="G50" i="444"/>
  <c r="T49" i="444"/>
  <c r="U49" i="444" s="1"/>
  <c r="V49" i="444" s="1"/>
  <c r="W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S46" i="444"/>
  <c r="R46" i="444"/>
  <c r="G46" i="444"/>
  <c r="R45" i="444"/>
  <c r="G45" i="444"/>
  <c r="R44" i="444"/>
  <c r="T44" i="444" s="1"/>
  <c r="U44" i="444" s="1"/>
  <c r="G44" i="444"/>
  <c r="R43" i="444"/>
  <c r="T43" i="444" s="1"/>
  <c r="U43" i="444" s="1"/>
  <c r="G43" i="444"/>
  <c r="T42" i="444"/>
  <c r="U42" i="444" s="1"/>
  <c r="S42" i="444"/>
  <c r="R42" i="444"/>
  <c r="G42" i="444"/>
  <c r="R41" i="444"/>
  <c r="T41" i="444" s="1"/>
  <c r="U41" i="444" s="1"/>
  <c r="G41" i="444"/>
  <c r="R40" i="444"/>
  <c r="T40" i="444" s="1"/>
  <c r="U40" i="444" s="1"/>
  <c r="G40" i="444"/>
  <c r="T39" i="444"/>
  <c r="U39" i="444" s="1"/>
  <c r="R39" i="444"/>
  <c r="S39" i="444" s="1"/>
  <c r="G39" i="444"/>
  <c r="R38" i="444"/>
  <c r="T38" i="444" s="1"/>
  <c r="U38" i="444" s="1"/>
  <c r="G38" i="444"/>
  <c r="T37" i="444"/>
  <c r="U37" i="444" s="1"/>
  <c r="S37" i="444"/>
  <c r="R37" i="444"/>
  <c r="G37" i="444"/>
  <c r="R36" i="444"/>
  <c r="G36" i="444"/>
  <c r="S35" i="444"/>
  <c r="R35" i="444"/>
  <c r="T35" i="444" s="1"/>
  <c r="U35" i="444" s="1"/>
  <c r="G35" i="444"/>
  <c r="T34" i="444"/>
  <c r="U34" i="444" s="1"/>
  <c r="R34" i="444"/>
  <c r="S34" i="444" s="1"/>
  <c r="G34" i="444"/>
  <c r="R33" i="444"/>
  <c r="T33" i="444" s="1"/>
  <c r="U33" i="444" s="1"/>
  <c r="G33" i="444"/>
  <c r="R32" i="444"/>
  <c r="T32" i="444" s="1"/>
  <c r="U32" i="444" s="1"/>
  <c r="G32" i="444"/>
  <c r="R31" i="444"/>
  <c r="T31" i="444" s="1"/>
  <c r="U31" i="444" s="1"/>
  <c r="G31" i="444"/>
  <c r="R30" i="444"/>
  <c r="T30" i="444" s="1"/>
  <c r="U30" i="444" s="1"/>
  <c r="G30" i="444"/>
  <c r="T29" i="444"/>
  <c r="U29" i="444" s="1"/>
  <c r="S29" i="444"/>
  <c r="R29" i="444"/>
  <c r="G29" i="444"/>
  <c r="R28" i="444"/>
  <c r="G28" i="444"/>
  <c r="R27" i="444"/>
  <c r="T27" i="444" s="1"/>
  <c r="U27" i="444" s="1"/>
  <c r="G27" i="444"/>
  <c r="T26" i="444"/>
  <c r="U26" i="444" s="1"/>
  <c r="V26" i="444" s="1"/>
  <c r="W26" i="444" s="1"/>
  <c r="S26" i="444"/>
  <c r="R26" i="444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T22" i="444"/>
  <c r="U22" i="444" s="1"/>
  <c r="S22" i="444"/>
  <c r="R22" i="444"/>
  <c r="G22" i="444"/>
  <c r="R21" i="444"/>
  <c r="S21" i="444" s="1"/>
  <c r="G21" i="444"/>
  <c r="R20" i="444"/>
  <c r="S20" i="444" s="1"/>
  <c r="G20" i="444"/>
  <c r="T19" i="444"/>
  <c r="U19" i="444" s="1"/>
  <c r="R19" i="444"/>
  <c r="S19" i="444" s="1"/>
  <c r="G19" i="444"/>
  <c r="T18" i="444"/>
  <c r="U18" i="444" s="1"/>
  <c r="S18" i="444"/>
  <c r="R18" i="444"/>
  <c r="G18" i="444"/>
  <c r="T17" i="444"/>
  <c r="U17" i="444" s="1"/>
  <c r="S17" i="444"/>
  <c r="R17" i="444"/>
  <c r="G17" i="444"/>
  <c r="R16" i="444"/>
  <c r="G16" i="444"/>
  <c r="S15" i="444"/>
  <c r="R15" i="444"/>
  <c r="T15" i="444" s="1"/>
  <c r="U15" i="444" s="1"/>
  <c r="G15" i="444"/>
  <c r="T14" i="444"/>
  <c r="U14" i="444" s="1"/>
  <c r="R14" i="444"/>
  <c r="S14" i="444" s="1"/>
  <c r="G14" i="444"/>
  <c r="R13" i="444"/>
  <c r="T13" i="444" s="1"/>
  <c r="U13" i="444" s="1"/>
  <c r="G13" i="444"/>
  <c r="T12" i="444"/>
  <c r="U12" i="444" s="1"/>
  <c r="V12" i="444" s="1"/>
  <c r="W12" i="444" s="1"/>
  <c r="S12" i="444"/>
  <c r="R12" i="444"/>
  <c r="G12" i="444"/>
  <c r="R11" i="444"/>
  <c r="T11" i="444" s="1"/>
  <c r="U11" i="444" s="1"/>
  <c r="G11" i="444"/>
  <c r="S10" i="444"/>
  <c r="R10" i="444"/>
  <c r="T10" i="444" s="1"/>
  <c r="U10" i="444" s="1"/>
  <c r="G10" i="444"/>
  <c r="T9" i="444"/>
  <c r="U9" i="444" s="1"/>
  <c r="S9" i="444"/>
  <c r="R9" i="444"/>
  <c r="G9" i="444"/>
  <c r="R8" i="444"/>
  <c r="G8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T5" i="444" s="1"/>
  <c r="U5" i="444" s="1"/>
  <c r="G5" i="444"/>
  <c r="R4" i="444"/>
  <c r="T4" i="444" s="1"/>
  <c r="U4" i="444" s="1"/>
  <c r="G4" i="444"/>
  <c r="R3" i="444"/>
  <c r="T3" i="444" s="1"/>
  <c r="U3" i="444" s="1"/>
  <c r="G3" i="444"/>
  <c r="T2" i="444"/>
  <c r="U2" i="444" s="1"/>
  <c r="S2" i="444"/>
  <c r="R2" i="444"/>
  <c r="G2" i="44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E45" i="415" s="1"/>
  <c r="D44" i="415"/>
  <c r="C44" i="415"/>
  <c r="E44" i="415" s="1"/>
  <c r="D43" i="415"/>
  <c r="C43" i="415"/>
  <c r="D42" i="415"/>
  <c r="C42" i="415"/>
  <c r="D17" i="415"/>
  <c r="C17" i="415"/>
  <c r="E17" i="415" s="1"/>
  <c r="D16" i="415"/>
  <c r="C16" i="415"/>
  <c r="E16" i="415" s="1"/>
  <c r="D15" i="415"/>
  <c r="C15" i="415"/>
  <c r="D14" i="415"/>
  <c r="C14" i="415"/>
  <c r="E14" i="415" s="1"/>
  <c r="D13" i="415"/>
  <c r="C13" i="415"/>
  <c r="D12" i="415"/>
  <c r="C12" i="415"/>
  <c r="D11" i="415"/>
  <c r="C11" i="415"/>
  <c r="D10" i="415"/>
  <c r="E10" i="415" s="1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L14" i="385" s="1"/>
  <c r="K3" i="414"/>
  <c r="O2" i="414"/>
  <c r="N2" i="414"/>
  <c r="M2" i="414"/>
  <c r="L2" i="414"/>
  <c r="L46" i="38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F37" i="385" s="1"/>
  <c r="L4" i="384"/>
  <c r="I84" i="385" s="1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S78" i="385"/>
  <c r="R78" i="385"/>
  <c r="Q78" i="385"/>
  <c r="P78" i="385"/>
  <c r="M78" i="385"/>
  <c r="L78" i="385"/>
  <c r="K78" i="385"/>
  <c r="J78" i="385"/>
  <c r="H78" i="385"/>
  <c r="G78" i="385"/>
  <c r="F78" i="385"/>
  <c r="E78" i="385"/>
  <c r="D78" i="385"/>
  <c r="C78" i="385"/>
  <c r="S77" i="385"/>
  <c r="R77" i="385"/>
  <c r="Q77" i="385"/>
  <c r="P77" i="385"/>
  <c r="M77" i="385"/>
  <c r="L77" i="385"/>
  <c r="K77" i="385"/>
  <c r="J77" i="385"/>
  <c r="H77" i="385"/>
  <c r="G77" i="385"/>
  <c r="F77" i="385"/>
  <c r="E77" i="385"/>
  <c r="D77" i="385"/>
  <c r="C77" i="385"/>
  <c r="S76" i="385"/>
  <c r="R76" i="385"/>
  <c r="Q76" i="385"/>
  <c r="P76" i="385"/>
  <c r="M76" i="385"/>
  <c r="L76" i="385"/>
  <c r="K76" i="385"/>
  <c r="J76" i="385"/>
  <c r="H76" i="385"/>
  <c r="G76" i="385"/>
  <c r="F76" i="385"/>
  <c r="E76" i="385"/>
  <c r="D76" i="385"/>
  <c r="C76" i="385"/>
  <c r="S75" i="385"/>
  <c r="R75" i="385"/>
  <c r="Q75" i="385"/>
  <c r="P75" i="385"/>
  <c r="M75" i="385"/>
  <c r="L75" i="385"/>
  <c r="K75" i="385"/>
  <c r="J75" i="385"/>
  <c r="H75" i="385"/>
  <c r="G75" i="385"/>
  <c r="F75" i="385"/>
  <c r="E75" i="385"/>
  <c r="D75" i="385"/>
  <c r="C75" i="385"/>
  <c r="S74" i="385"/>
  <c r="R74" i="385"/>
  <c r="Q74" i="385"/>
  <c r="P74" i="385"/>
  <c r="M74" i="385"/>
  <c r="L74" i="385"/>
  <c r="K74" i="385"/>
  <c r="J74" i="385"/>
  <c r="H74" i="385"/>
  <c r="G74" i="385"/>
  <c r="F74" i="385"/>
  <c r="E74" i="385"/>
  <c r="D74" i="385"/>
  <c r="C74" i="385"/>
  <c r="S73" i="385"/>
  <c r="R73" i="385"/>
  <c r="Q73" i="385"/>
  <c r="P73" i="385"/>
  <c r="M73" i="385"/>
  <c r="L73" i="385"/>
  <c r="K73" i="385"/>
  <c r="J73" i="385"/>
  <c r="H73" i="385"/>
  <c r="G73" i="385"/>
  <c r="F73" i="385"/>
  <c r="E73" i="385"/>
  <c r="D73" i="385"/>
  <c r="C73" i="385"/>
  <c r="S72" i="385"/>
  <c r="R72" i="385"/>
  <c r="Q72" i="385"/>
  <c r="P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P56" i="385"/>
  <c r="M56" i="385"/>
  <c r="L56" i="385"/>
  <c r="K56" i="385"/>
  <c r="J56" i="385"/>
  <c r="H56" i="385"/>
  <c r="G56" i="385"/>
  <c r="F56" i="385"/>
  <c r="E56" i="385"/>
  <c r="D56" i="385"/>
  <c r="C56" i="385"/>
  <c r="Q55" i="385"/>
  <c r="P55" i="385"/>
  <c r="M55" i="385"/>
  <c r="L55" i="385"/>
  <c r="K55" i="385"/>
  <c r="J55" i="385"/>
  <c r="H55" i="385"/>
  <c r="G55" i="385"/>
  <c r="F55" i="385"/>
  <c r="E55" i="385"/>
  <c r="D55" i="385"/>
  <c r="C55" i="385"/>
  <c r="Q54" i="385"/>
  <c r="P54" i="385"/>
  <c r="M54" i="385"/>
  <c r="L54" i="385"/>
  <c r="K54" i="385"/>
  <c r="J54" i="385"/>
  <c r="H54" i="385"/>
  <c r="G54" i="385"/>
  <c r="F54" i="385"/>
  <c r="E54" i="385"/>
  <c r="D54" i="385"/>
  <c r="C54" i="385"/>
  <c r="M53" i="385"/>
  <c r="L53" i="385"/>
  <c r="K53" i="385"/>
  <c r="J53" i="385"/>
  <c r="H53" i="385"/>
  <c r="G53" i="385"/>
  <c r="F53" i="385"/>
  <c r="E53" i="385"/>
  <c r="D53" i="385"/>
  <c r="C53" i="385"/>
  <c r="Q52" i="385"/>
  <c r="M52" i="385"/>
  <c r="L52" i="385"/>
  <c r="K52" i="385"/>
  <c r="J52" i="385"/>
  <c r="H52" i="385"/>
  <c r="G52" i="385"/>
  <c r="F52" i="385"/>
  <c r="E52" i="385"/>
  <c r="D52" i="385"/>
  <c r="C52" i="385"/>
  <c r="Q51" i="385"/>
  <c r="M51" i="385"/>
  <c r="L51" i="385"/>
  <c r="K51" i="385"/>
  <c r="J51" i="385"/>
  <c r="H51" i="385"/>
  <c r="G51" i="385"/>
  <c r="F51" i="385"/>
  <c r="E51" i="385"/>
  <c r="D51" i="385"/>
  <c r="C51" i="385"/>
  <c r="Q50" i="385"/>
  <c r="M50" i="385"/>
  <c r="L50" i="385"/>
  <c r="K50" i="385"/>
  <c r="J50" i="385"/>
  <c r="H50" i="385"/>
  <c r="G50" i="385"/>
  <c r="F50" i="385"/>
  <c r="E50" i="385"/>
  <c r="D50" i="385"/>
  <c r="C50" i="385"/>
  <c r="Q49" i="385"/>
  <c r="M49" i="385"/>
  <c r="L49" i="385"/>
  <c r="K49" i="385"/>
  <c r="J49" i="385"/>
  <c r="H49" i="385"/>
  <c r="G49" i="385"/>
  <c r="F49" i="385"/>
  <c r="E49" i="385"/>
  <c r="D49" i="385"/>
  <c r="C49" i="385"/>
  <c r="Q48" i="385"/>
  <c r="L48" i="385"/>
  <c r="C48" i="385"/>
  <c r="Q47" i="385"/>
  <c r="C47" i="385"/>
  <c r="Q46" i="385"/>
  <c r="C46" i="385"/>
  <c r="Q45" i="385"/>
  <c r="K45" i="385"/>
  <c r="C45" i="385"/>
  <c r="Q44" i="385"/>
  <c r="C44" i="385"/>
  <c r="Q43" i="385"/>
  <c r="C43" i="385"/>
  <c r="Q42" i="385"/>
  <c r="C42" i="385"/>
  <c r="Q41" i="385"/>
  <c r="L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L34" i="385"/>
  <c r="C34" i="385"/>
  <c r="Q33" i="385"/>
  <c r="C33" i="385"/>
  <c r="Q32" i="385"/>
  <c r="L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L26" i="385"/>
  <c r="F26" i="385"/>
  <c r="C26" i="385"/>
  <c r="Q25" i="385"/>
  <c r="C25" i="385"/>
  <c r="Q24" i="385"/>
  <c r="P24" i="385"/>
  <c r="L24" i="385"/>
  <c r="Q23" i="385"/>
  <c r="P23" i="385"/>
  <c r="L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L19" i="385"/>
  <c r="C19" i="385"/>
  <c r="Q18" i="385"/>
  <c r="P18" i="385"/>
  <c r="C18" i="385"/>
  <c r="Q17" i="385"/>
  <c r="P17" i="385"/>
  <c r="C17" i="385"/>
  <c r="Q16" i="385"/>
  <c r="P16" i="385"/>
  <c r="C16" i="385"/>
  <c r="Q15" i="385"/>
  <c r="C15" i="385"/>
  <c r="Q14" i="385"/>
  <c r="C14" i="385"/>
  <c r="Q13" i="385"/>
  <c r="C13" i="385"/>
  <c r="Q12" i="385"/>
  <c r="L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G54" i="54"/>
  <c r="E54" i="54"/>
  <c r="F53" i="54"/>
  <c r="F52" i="54"/>
  <c r="F54" i="54" s="1"/>
  <c r="I51" i="54"/>
  <c r="H51" i="54"/>
  <c r="S233" i="89" a="1"/>
  <c r="S20" i="89" a="1"/>
  <c r="S63" i="89" a="1"/>
  <c r="S55" i="89" a="1"/>
  <c r="S235" i="89" a="1"/>
  <c r="I166" i="385" l="1"/>
  <c r="I162" i="385"/>
  <c r="I94" i="385"/>
  <c r="F48" i="385"/>
  <c r="I88" i="385"/>
  <c r="I182" i="385"/>
  <c r="G44" i="385"/>
  <c r="F44" i="385"/>
  <c r="D15" i="385"/>
  <c r="P6" i="385"/>
  <c r="I69" i="385"/>
  <c r="G12" i="385"/>
  <c r="I98" i="385"/>
  <c r="F11" i="385"/>
  <c r="D25" i="385"/>
  <c r="P30" i="385"/>
  <c r="D36" i="385"/>
  <c r="I44" i="385"/>
  <c r="P61" i="385"/>
  <c r="I90" i="385"/>
  <c r="G22" i="385"/>
  <c r="G33" i="385"/>
  <c r="P41" i="385"/>
  <c r="D47" i="385"/>
  <c r="I49" i="385"/>
  <c r="I66" i="385"/>
  <c r="I8" i="385"/>
  <c r="G11" i="385"/>
  <c r="D14" i="385"/>
  <c r="I22" i="385"/>
  <c r="F25" i="385"/>
  <c r="I33" i="385"/>
  <c r="F36" i="385"/>
  <c r="D39" i="385"/>
  <c r="P44" i="385"/>
  <c r="R44" i="385" s="1"/>
  <c r="F47" i="385"/>
  <c r="I63" i="385"/>
  <c r="I138" i="385"/>
  <c r="P5" i="385"/>
  <c r="I11" i="385"/>
  <c r="J11" i="385" s="1"/>
  <c r="G36" i="385"/>
  <c r="F39" i="385"/>
  <c r="G47" i="385"/>
  <c r="I60" i="385"/>
  <c r="I158" i="385"/>
  <c r="P8" i="385"/>
  <c r="G14" i="385"/>
  <c r="D42" i="385"/>
  <c r="I103" i="385"/>
  <c r="I127" i="385"/>
  <c r="I139" i="385"/>
  <c r="I155" i="385"/>
  <c r="I163" i="385"/>
  <c r="I167" i="385"/>
  <c r="I171" i="385"/>
  <c r="I175" i="385"/>
  <c r="I179" i="385"/>
  <c r="I183" i="385"/>
  <c r="I187" i="385"/>
  <c r="I191" i="385"/>
  <c r="I74" i="385"/>
  <c r="I134" i="385"/>
  <c r="I178" i="385"/>
  <c r="F14" i="385"/>
  <c r="D28" i="385"/>
  <c r="D6" i="385"/>
  <c r="G39" i="385"/>
  <c r="I57" i="385"/>
  <c r="I83" i="385"/>
  <c r="I99" i="385"/>
  <c r="I115" i="385"/>
  <c r="I131" i="385"/>
  <c r="I135" i="385"/>
  <c r="I143" i="385"/>
  <c r="I147" i="385"/>
  <c r="I159" i="385"/>
  <c r="I14" i="385"/>
  <c r="G17" i="385"/>
  <c r="D20" i="385"/>
  <c r="P25" i="385"/>
  <c r="R25" i="385" s="1"/>
  <c r="G28" i="385"/>
  <c r="F31" i="385"/>
  <c r="P36" i="385"/>
  <c r="I39" i="385"/>
  <c r="F42" i="385"/>
  <c r="D45" i="385"/>
  <c r="P47" i="385"/>
  <c r="P52" i="385"/>
  <c r="I54" i="385"/>
  <c r="P69" i="385"/>
  <c r="R69" i="385" s="1"/>
  <c r="I34" i="385"/>
  <c r="I110" i="385"/>
  <c r="G8" i="385"/>
  <c r="D17" i="385"/>
  <c r="F28" i="385"/>
  <c r="J28" i="385" s="1"/>
  <c r="I36" i="385"/>
  <c r="I75" i="385"/>
  <c r="I87" i="385"/>
  <c r="I95" i="385"/>
  <c r="I111" i="385"/>
  <c r="I123" i="385"/>
  <c r="F6" i="385"/>
  <c r="D9" i="385"/>
  <c r="P14" i="385"/>
  <c r="I17" i="385"/>
  <c r="F20" i="385"/>
  <c r="D23" i="385"/>
  <c r="I28" i="385"/>
  <c r="G31" i="385"/>
  <c r="D34" i="385"/>
  <c r="P39" i="385"/>
  <c r="G42" i="385"/>
  <c r="F45" i="385"/>
  <c r="M45" i="385" s="1"/>
  <c r="E45" i="385" s="1"/>
  <c r="P49" i="385"/>
  <c r="S49" i="385" s="1"/>
  <c r="P66" i="385"/>
  <c r="R66" i="385" s="1"/>
  <c r="I71" i="385"/>
  <c r="I126" i="385"/>
  <c r="F17" i="385"/>
  <c r="D31" i="385"/>
  <c r="I47" i="385"/>
  <c r="J47" i="385" s="1"/>
  <c r="I79" i="385"/>
  <c r="I91" i="385"/>
  <c r="I107" i="385"/>
  <c r="I119" i="385"/>
  <c r="I151" i="385"/>
  <c r="G6" i="385"/>
  <c r="F9" i="385"/>
  <c r="D12" i="385"/>
  <c r="G20" i="385"/>
  <c r="F23" i="385"/>
  <c r="P28" i="385"/>
  <c r="I31" i="385"/>
  <c r="J31" i="385" s="1"/>
  <c r="F34" i="385"/>
  <c r="M34" i="385" s="1"/>
  <c r="E34" i="385" s="1"/>
  <c r="I42" i="385"/>
  <c r="G45" i="385"/>
  <c r="I51" i="385"/>
  <c r="P63" i="385"/>
  <c r="S63" i="385" s="1"/>
  <c r="I68" i="385"/>
  <c r="I9" i="385"/>
  <c r="J9" i="385" s="1"/>
  <c r="I82" i="385"/>
  <c r="I150" i="385"/>
  <c r="I190" i="385"/>
  <c r="G25" i="385"/>
  <c r="P33" i="385"/>
  <c r="P11" i="385"/>
  <c r="I25" i="385"/>
  <c r="I6" i="385"/>
  <c r="G9" i="385"/>
  <c r="F12" i="385"/>
  <c r="I20" i="385"/>
  <c r="J20" i="385" s="1"/>
  <c r="G23" i="385"/>
  <c r="D26" i="385"/>
  <c r="P31" i="385"/>
  <c r="G34" i="385"/>
  <c r="D37" i="385"/>
  <c r="P42" i="385"/>
  <c r="R42" i="385" s="1"/>
  <c r="I45" i="385"/>
  <c r="D48" i="385"/>
  <c r="P60" i="385"/>
  <c r="I65" i="385"/>
  <c r="I118" i="385"/>
  <c r="G37" i="385"/>
  <c r="F40" i="385"/>
  <c r="P45" i="385"/>
  <c r="G48" i="385"/>
  <c r="I59" i="385"/>
  <c r="I106" i="385"/>
  <c r="I12" i="385"/>
  <c r="P34" i="385"/>
  <c r="I37" i="385"/>
  <c r="G40" i="385"/>
  <c r="D43" i="385"/>
  <c r="I48" i="385"/>
  <c r="J48" i="385" s="1"/>
  <c r="I56" i="385"/>
  <c r="P71" i="385"/>
  <c r="S71" i="385" s="1"/>
  <c r="I102" i="385"/>
  <c r="F18" i="385"/>
  <c r="F32" i="385"/>
  <c r="J32" i="385" s="1"/>
  <c r="P37" i="385"/>
  <c r="I40" i="385"/>
  <c r="J40" i="385" s="1"/>
  <c r="F43" i="385"/>
  <c r="P51" i="385"/>
  <c r="P68" i="385"/>
  <c r="R68" i="385" s="1"/>
  <c r="I78" i="385"/>
  <c r="F29" i="385"/>
  <c r="D21" i="385"/>
  <c r="G43" i="385"/>
  <c r="D46" i="385"/>
  <c r="P48" i="385"/>
  <c r="S48" i="385" s="1"/>
  <c r="I53" i="385"/>
  <c r="P65" i="385"/>
  <c r="I70" i="385"/>
  <c r="F15" i="385"/>
  <c r="D7" i="385"/>
  <c r="I15" i="385"/>
  <c r="J15" i="385" s="1"/>
  <c r="G7" i="385"/>
  <c r="M7" i="385" s="1"/>
  <c r="E7" i="385" s="1"/>
  <c r="I43" i="385"/>
  <c r="I81" i="385"/>
  <c r="I117" i="385"/>
  <c r="I141" i="385"/>
  <c r="I161" i="385"/>
  <c r="I173" i="385"/>
  <c r="I177" i="385"/>
  <c r="I181" i="385"/>
  <c r="I185" i="385"/>
  <c r="I189" i="385"/>
  <c r="I130" i="385"/>
  <c r="G15" i="385"/>
  <c r="D32" i="385"/>
  <c r="P12" i="385"/>
  <c r="S12" i="385" s="1"/>
  <c r="F21" i="385"/>
  <c r="H21" i="385" s="1"/>
  <c r="I29" i="385"/>
  <c r="F46" i="385"/>
  <c r="H46" i="385" s="1"/>
  <c r="I73" i="385"/>
  <c r="I85" i="385"/>
  <c r="I105" i="385"/>
  <c r="I125" i="385"/>
  <c r="I133" i="385"/>
  <c r="I153" i="385"/>
  <c r="I169" i="385"/>
  <c r="G24" i="385"/>
  <c r="H24" i="385" s="1"/>
  <c r="G46" i="385"/>
  <c r="I64" i="385"/>
  <c r="I10" i="385"/>
  <c r="F13" i="385"/>
  <c r="H13" i="385" s="1"/>
  <c r="D16" i="385"/>
  <c r="I24" i="385"/>
  <c r="D27" i="385"/>
  <c r="P32" i="385"/>
  <c r="G35" i="385"/>
  <c r="F38" i="385"/>
  <c r="D41" i="385"/>
  <c r="I61" i="385"/>
  <c r="I23" i="385"/>
  <c r="I86" i="385"/>
  <c r="I122" i="385"/>
  <c r="I142" i="385"/>
  <c r="I154" i="385"/>
  <c r="I170" i="385"/>
  <c r="I186" i="385"/>
  <c r="D29" i="385"/>
  <c r="I26" i="385"/>
  <c r="G32" i="385"/>
  <c r="G21" i="385"/>
  <c r="D35" i="385"/>
  <c r="I50" i="385"/>
  <c r="I67" i="385"/>
  <c r="I77" i="385"/>
  <c r="I93" i="385"/>
  <c r="I97" i="385"/>
  <c r="I101" i="385"/>
  <c r="I113" i="385"/>
  <c r="I129" i="385"/>
  <c r="I137" i="385"/>
  <c r="I145" i="385"/>
  <c r="I149" i="385"/>
  <c r="I157" i="385"/>
  <c r="I165" i="385"/>
  <c r="I7" i="385"/>
  <c r="D13" i="385"/>
  <c r="I21" i="385"/>
  <c r="F35" i="385"/>
  <c r="D38" i="385"/>
  <c r="P43" i="385"/>
  <c r="R43" i="385" s="1"/>
  <c r="P7" i="385"/>
  <c r="S7" i="385" s="1"/>
  <c r="D5" i="385"/>
  <c r="P10" i="385"/>
  <c r="G13" i="385"/>
  <c r="F16" i="385"/>
  <c r="D19" i="385"/>
  <c r="F27" i="385"/>
  <c r="D30" i="385"/>
  <c r="I35" i="385"/>
  <c r="G38" i="385"/>
  <c r="F41" i="385"/>
  <c r="I46" i="385"/>
  <c r="I58" i="385"/>
  <c r="D40" i="385"/>
  <c r="I146" i="385"/>
  <c r="I174" i="385"/>
  <c r="P9" i="385"/>
  <c r="G18" i="385"/>
  <c r="D10" i="385"/>
  <c r="D24" i="385"/>
  <c r="F24" i="385"/>
  <c r="I32" i="385"/>
  <c r="P62" i="385"/>
  <c r="I89" i="385"/>
  <c r="I109" i="385"/>
  <c r="I121" i="385"/>
  <c r="G10" i="385"/>
  <c r="F5" i="385"/>
  <c r="I13" i="385"/>
  <c r="G16" i="385"/>
  <c r="J16" i="385" s="1"/>
  <c r="F19" i="385"/>
  <c r="G27" i="385"/>
  <c r="F30" i="385"/>
  <c r="P35" i="385"/>
  <c r="R35" i="385" s="1"/>
  <c r="I38" i="385"/>
  <c r="J38" i="385" s="1"/>
  <c r="G41" i="385"/>
  <c r="J41" i="385" s="1"/>
  <c r="D44" i="385"/>
  <c r="P46" i="385"/>
  <c r="S46" i="385" s="1"/>
  <c r="P53" i="385"/>
  <c r="I55" i="385"/>
  <c r="P70" i="385"/>
  <c r="R70" i="385" s="1"/>
  <c r="I62" i="385"/>
  <c r="I114" i="385"/>
  <c r="D18" i="385"/>
  <c r="F7" i="385"/>
  <c r="I18" i="385"/>
  <c r="P26" i="385"/>
  <c r="P40" i="385"/>
  <c r="S40" i="385" s="1"/>
  <c r="G5" i="385"/>
  <c r="P13" i="385"/>
  <c r="S13" i="385" s="1"/>
  <c r="I16" i="385"/>
  <c r="D33" i="385"/>
  <c r="P38" i="385"/>
  <c r="R38" i="385" s="1"/>
  <c r="I41" i="385"/>
  <c r="P50" i="385"/>
  <c r="S50" i="385" s="1"/>
  <c r="I72" i="385"/>
  <c r="I80" i="385"/>
  <c r="I92" i="385"/>
  <c r="I96" i="385"/>
  <c r="I104" i="385"/>
  <c r="I108" i="385"/>
  <c r="I112" i="385"/>
  <c r="I116" i="385"/>
  <c r="I120" i="385"/>
  <c r="I124" i="385"/>
  <c r="I128" i="385"/>
  <c r="I132" i="385"/>
  <c r="I136" i="385"/>
  <c r="I140" i="385"/>
  <c r="I144" i="385"/>
  <c r="I148" i="385"/>
  <c r="I152" i="385"/>
  <c r="I156" i="385"/>
  <c r="I160" i="385"/>
  <c r="I164" i="385"/>
  <c r="I168" i="385"/>
  <c r="I172" i="385"/>
  <c r="I176" i="385"/>
  <c r="I180" i="385"/>
  <c r="I184" i="385"/>
  <c r="I188" i="385"/>
  <c r="G26" i="385"/>
  <c r="H26" i="385" s="1"/>
  <c r="G29" i="385"/>
  <c r="H29" i="385" s="1"/>
  <c r="P15" i="385"/>
  <c r="S15" i="385" s="1"/>
  <c r="F10" i="385"/>
  <c r="P29" i="385"/>
  <c r="S29" i="385" s="1"/>
  <c r="D8" i="385"/>
  <c r="G19" i="385"/>
  <c r="D22" i="385"/>
  <c r="I27" i="385"/>
  <c r="G30" i="385"/>
  <c r="P67" i="385"/>
  <c r="R67" i="385" s="1"/>
  <c r="I76" i="385"/>
  <c r="I100" i="385"/>
  <c r="I5" i="385"/>
  <c r="F8" i="385"/>
  <c r="M8" i="385" s="1"/>
  <c r="E8" i="385" s="1"/>
  <c r="D11" i="385"/>
  <c r="I19" i="385"/>
  <c r="F22" i="385"/>
  <c r="P27" i="385"/>
  <c r="R27" i="385" s="1"/>
  <c r="I30" i="385"/>
  <c r="F33" i="385"/>
  <c r="H33" i="385" s="1"/>
  <c r="I52" i="385"/>
  <c r="P64" i="385"/>
  <c r="K5" i="385"/>
  <c r="K34" i="385"/>
  <c r="E43" i="415"/>
  <c r="L17" i="385"/>
  <c r="C49" i="415"/>
  <c r="K10" i="385"/>
  <c r="M37" i="385"/>
  <c r="E37" i="385" s="1"/>
  <c r="L39" i="385"/>
  <c r="K44" i="385"/>
  <c r="K46" i="385"/>
  <c r="L10" i="385"/>
  <c r="M10" i="385" s="1"/>
  <c r="E10" i="385" s="1"/>
  <c r="K15" i="385"/>
  <c r="L27" i="385"/>
  <c r="K32" i="385"/>
  <c r="L15" i="385"/>
  <c r="L37" i="385"/>
  <c r="D51" i="415"/>
  <c r="K8" i="385"/>
  <c r="L8" i="385"/>
  <c r="K13" i="385"/>
  <c r="L25" i="385"/>
  <c r="K30" i="385"/>
  <c r="C52" i="415"/>
  <c r="K17" i="385"/>
  <c r="K37" i="385"/>
  <c r="K6" i="385"/>
  <c r="L30" i="385"/>
  <c r="K35" i="385"/>
  <c r="D52" i="415"/>
  <c r="L6" i="385"/>
  <c r="L18" i="385"/>
  <c r="K23" i="385"/>
  <c r="L35" i="385"/>
  <c r="L47" i="385"/>
  <c r="K28" i="385"/>
  <c r="L45" i="385"/>
  <c r="C23" i="415"/>
  <c r="E23" i="415" s="1"/>
  <c r="L16" i="385"/>
  <c r="L28" i="385"/>
  <c r="D23" i="415"/>
  <c r="K21" i="385"/>
  <c r="K43" i="385"/>
  <c r="C26" i="415"/>
  <c r="K14" i="385"/>
  <c r="L21" i="385"/>
  <c r="K26" i="385"/>
  <c r="L38" i="385"/>
  <c r="L43" i="385"/>
  <c r="C7" i="415"/>
  <c r="D32" i="415"/>
  <c r="C33" i="415"/>
  <c r="E33" i="415" s="1"/>
  <c r="D33" i="415"/>
  <c r="L7" i="385"/>
  <c r="K12" i="385"/>
  <c r="K19" i="385"/>
  <c r="K24" i="385"/>
  <c r="L36" i="385"/>
  <c r="K41" i="385"/>
  <c r="K48" i="385"/>
  <c r="M48" i="385" s="1"/>
  <c r="E48" i="385" s="1"/>
  <c r="E11" i="415"/>
  <c r="C36" i="415"/>
  <c r="C21" i="415"/>
  <c r="D30" i="415"/>
  <c r="D40" i="415"/>
  <c r="D49" i="415"/>
  <c r="E49" i="415" s="1"/>
  <c r="L5" i="385"/>
  <c r="K16" i="385"/>
  <c r="K25" i="385"/>
  <c r="K36" i="385"/>
  <c r="M36" i="385" s="1"/>
  <c r="E36" i="385" s="1"/>
  <c r="K47" i="385"/>
  <c r="M47" i="385" s="1"/>
  <c r="E47" i="385" s="1"/>
  <c r="E12" i="415"/>
  <c r="D21" i="415"/>
  <c r="C31" i="415"/>
  <c r="C50" i="415"/>
  <c r="C22" i="415"/>
  <c r="D31" i="415"/>
  <c r="C41" i="415"/>
  <c r="E41" i="415" s="1"/>
  <c r="D50" i="415"/>
  <c r="E50" i="415" s="1"/>
  <c r="E13" i="415"/>
  <c r="D22" i="415"/>
  <c r="C32" i="415"/>
  <c r="D41" i="415"/>
  <c r="C51" i="415"/>
  <c r="C5" i="415"/>
  <c r="E15" i="415"/>
  <c r="C24" i="415"/>
  <c r="E24" i="415" s="1"/>
  <c r="C34" i="415"/>
  <c r="C53" i="415"/>
  <c r="K39" i="385"/>
  <c r="M39" i="385" s="1"/>
  <c r="E39" i="385" s="1"/>
  <c r="D5" i="415"/>
  <c r="D24" i="415"/>
  <c r="D34" i="415"/>
  <c r="D53" i="415"/>
  <c r="C6" i="415"/>
  <c r="C25" i="415"/>
  <c r="E25" i="415" s="1"/>
  <c r="C35" i="415"/>
  <c r="E35" i="415" s="1"/>
  <c r="C54" i="415"/>
  <c r="E54" i="415" s="1"/>
  <c r="D6" i="415"/>
  <c r="D25" i="415"/>
  <c r="D35" i="415"/>
  <c r="D54" i="415"/>
  <c r="D7" i="415"/>
  <c r="D26" i="415"/>
  <c r="D36" i="415"/>
  <c r="C8" i="415"/>
  <c r="C18" i="415"/>
  <c r="C27" i="415"/>
  <c r="C37" i="415"/>
  <c r="C46" i="415"/>
  <c r="D8" i="415"/>
  <c r="D18" i="415"/>
  <c r="D27" i="415"/>
  <c r="D37" i="415"/>
  <c r="D46" i="415"/>
  <c r="K11" i="385"/>
  <c r="C9" i="415"/>
  <c r="C19" i="415"/>
  <c r="C28" i="415"/>
  <c r="C38" i="415"/>
  <c r="C47" i="415"/>
  <c r="E42" i="415"/>
  <c r="E26" i="415"/>
  <c r="L13" i="385"/>
  <c r="M13" i="385" s="1"/>
  <c r="E13" i="385" s="1"/>
  <c r="K42" i="385"/>
  <c r="L11" i="385"/>
  <c r="L42" i="385"/>
  <c r="D9" i="415"/>
  <c r="D19" i="415"/>
  <c r="D28" i="415"/>
  <c r="D38" i="415"/>
  <c r="D47" i="415"/>
  <c r="E47" i="415" s="1"/>
  <c r="E36" i="415"/>
  <c r="L44" i="385"/>
  <c r="M44" i="385" s="1"/>
  <c r="E44" i="385" s="1"/>
  <c r="K22" i="385"/>
  <c r="L22" i="385"/>
  <c r="K9" i="385"/>
  <c r="K20" i="385"/>
  <c r="L31" i="385"/>
  <c r="K40" i="385"/>
  <c r="C20" i="415"/>
  <c r="C29" i="415"/>
  <c r="C39" i="415"/>
  <c r="C48" i="415"/>
  <c r="E48" i="415" s="1"/>
  <c r="L33" i="385"/>
  <c r="K31" i="385"/>
  <c r="M31" i="385" s="1"/>
  <c r="E31" i="385" s="1"/>
  <c r="L9" i="385"/>
  <c r="M9" i="385" s="1"/>
  <c r="E9" i="385" s="1"/>
  <c r="L20" i="385"/>
  <c r="M20" i="385" s="1"/>
  <c r="E20" i="385" s="1"/>
  <c r="K29" i="385"/>
  <c r="M29" i="385" s="1"/>
  <c r="E29" i="385" s="1"/>
  <c r="L40" i="385"/>
  <c r="M40" i="385" s="1"/>
  <c r="E40" i="385" s="1"/>
  <c r="D20" i="415"/>
  <c r="D29" i="415"/>
  <c r="D39" i="415"/>
  <c r="D48" i="415"/>
  <c r="K33" i="385"/>
  <c r="K7" i="385"/>
  <c r="M14" i="385"/>
  <c r="K18" i="385"/>
  <c r="K27" i="385"/>
  <c r="L29" i="385"/>
  <c r="K38" i="385"/>
  <c r="C30" i="415"/>
  <c r="C40" i="415"/>
  <c r="E40" i="415" s="1"/>
  <c r="S64" i="385"/>
  <c r="S17" i="385"/>
  <c r="S59" i="385"/>
  <c r="S37" i="385"/>
  <c r="S26" i="385"/>
  <c r="S65" i="385"/>
  <c r="S25" i="385"/>
  <c r="S36" i="385"/>
  <c r="S47" i="385"/>
  <c r="S14" i="385"/>
  <c r="S28" i="385"/>
  <c r="R51" i="385"/>
  <c r="S68" i="385"/>
  <c r="S56" i="385"/>
  <c r="V137" i="444"/>
  <c r="W137" i="444" s="1"/>
  <c r="S34" i="385"/>
  <c r="R23" i="385"/>
  <c r="S32" i="385"/>
  <c r="S54" i="385"/>
  <c r="V102" i="444"/>
  <c r="W102" i="444" s="1"/>
  <c r="V109" i="444"/>
  <c r="W109" i="444" s="1"/>
  <c r="S6" i="385"/>
  <c r="S44" i="385"/>
  <c r="S33" i="385"/>
  <c r="V59" i="444"/>
  <c r="W59" i="444" s="1"/>
  <c r="V29" i="444"/>
  <c r="W29" i="444" s="1"/>
  <c r="R7" i="385"/>
  <c r="S18" i="385"/>
  <c r="R55" i="385"/>
  <c r="V77" i="444"/>
  <c r="W77" i="444" s="1"/>
  <c r="S10" i="385"/>
  <c r="S21" i="385"/>
  <c r="S39" i="385"/>
  <c r="V147" i="444"/>
  <c r="W147" i="444" s="1"/>
  <c r="V134" i="444"/>
  <c r="W134" i="444" s="1"/>
  <c r="R15" i="385"/>
  <c r="S11" i="385"/>
  <c r="R22" i="385"/>
  <c r="S42" i="385"/>
  <c r="V14" i="444"/>
  <c r="W14" i="444" s="1"/>
  <c r="S8" i="385"/>
  <c r="S19" i="385"/>
  <c r="S30" i="385"/>
  <c r="S57" i="385"/>
  <c r="V164" i="444"/>
  <c r="W164" i="444" s="1"/>
  <c r="V18" i="444"/>
  <c r="W18" i="444" s="1"/>
  <c r="V152" i="444"/>
  <c r="W152" i="444" s="1"/>
  <c r="V34" i="444"/>
  <c r="W34" i="444" s="1"/>
  <c r="V87" i="444"/>
  <c r="W87" i="444" s="1"/>
  <c r="V94" i="444"/>
  <c r="W94" i="444" s="1"/>
  <c r="S24" i="385"/>
  <c r="S62" i="385"/>
  <c r="V159" i="444"/>
  <c r="W159" i="444" s="1"/>
  <c r="V42" i="444"/>
  <c r="W42" i="444" s="1"/>
  <c r="V57" i="444"/>
  <c r="W57" i="444" s="1"/>
  <c r="V35" i="444"/>
  <c r="W35" i="444" s="1"/>
  <c r="V81" i="444"/>
  <c r="W81" i="444" s="1"/>
  <c r="S9" i="385"/>
  <c r="E14" i="385"/>
  <c r="S20" i="385"/>
  <c r="S31" i="385"/>
  <c r="V154" i="444"/>
  <c r="W154" i="444" s="1"/>
  <c r="S67" i="385"/>
  <c r="V89" i="444"/>
  <c r="W89" i="444" s="1"/>
  <c r="R5" i="385"/>
  <c r="S61" i="385"/>
  <c r="V97" i="444"/>
  <c r="W97" i="444" s="1"/>
  <c r="S16" i="385"/>
  <c r="S58" i="385"/>
  <c r="V22" i="444"/>
  <c r="W22" i="444" s="1"/>
  <c r="V112" i="444"/>
  <c r="W112" i="444" s="1"/>
  <c r="V142" i="444"/>
  <c r="W142" i="444" s="1"/>
  <c r="V149" i="444"/>
  <c r="W149" i="444" s="1"/>
  <c r="S45" i="385"/>
  <c r="S52" i="385"/>
  <c r="V53" i="444"/>
  <c r="W53" i="444" s="1"/>
  <c r="V162" i="444"/>
  <c r="W162" i="444" s="1"/>
  <c r="S43" i="385"/>
  <c r="S66" i="385"/>
  <c r="V150" i="444"/>
  <c r="W150" i="444" s="1"/>
  <c r="V17" i="444"/>
  <c r="W17" i="444" s="1"/>
  <c r="V157" i="444"/>
  <c r="W157" i="444" s="1"/>
  <c r="S41" i="385"/>
  <c r="S60" i="385"/>
  <c r="V92" i="444"/>
  <c r="W92" i="444" s="1"/>
  <c r="S55" i="89"/>
  <c r="S235" i="89"/>
  <c r="S233" i="89"/>
  <c r="S20" i="89"/>
  <c r="S63" i="89"/>
  <c r="H22" i="385"/>
  <c r="H39" i="385"/>
  <c r="J43" i="385"/>
  <c r="M43" i="385"/>
  <c r="E43" i="385" s="1"/>
  <c r="J39" i="385"/>
  <c r="M12" i="385"/>
  <c r="E12" i="385" s="1"/>
  <c r="H14" i="385"/>
  <c r="H31" i="385"/>
  <c r="J6" i="385"/>
  <c r="M25" i="385"/>
  <c r="E25" i="385" s="1"/>
  <c r="H17" i="385"/>
  <c r="M23" i="385"/>
  <c r="E23" i="385" s="1"/>
  <c r="J34" i="385"/>
  <c r="M28" i="385"/>
  <c r="E28" i="385" s="1"/>
  <c r="H47" i="385"/>
  <c r="V15" i="444"/>
  <c r="W15" i="444" s="1"/>
  <c r="V9" i="444"/>
  <c r="W9" i="444" s="1"/>
  <c r="V69" i="444"/>
  <c r="W69" i="444" s="1"/>
  <c r="V129" i="444"/>
  <c r="W129" i="444" s="1"/>
  <c r="V158" i="444"/>
  <c r="W158" i="444" s="1"/>
  <c r="V64" i="444"/>
  <c r="W64" i="444" s="1"/>
  <c r="T16" i="444"/>
  <c r="U16" i="444" s="1"/>
  <c r="S16" i="444"/>
  <c r="S24" i="444"/>
  <c r="V24" i="444" s="1"/>
  <c r="W24" i="444" s="1"/>
  <c r="S28" i="444"/>
  <c r="T28" i="444"/>
  <c r="U28" i="444" s="1"/>
  <c r="S41" i="444"/>
  <c r="V41" i="444" s="1"/>
  <c r="W41" i="444" s="1"/>
  <c r="S70" i="444"/>
  <c r="V70" i="444" s="1"/>
  <c r="W70" i="444" s="1"/>
  <c r="S133" i="444"/>
  <c r="V133" i="444" s="1"/>
  <c r="W133" i="444" s="1"/>
  <c r="S4" i="444"/>
  <c r="V4" i="444" s="1"/>
  <c r="W4" i="444" s="1"/>
  <c r="T8" i="444"/>
  <c r="U8" i="444" s="1"/>
  <c r="S8" i="444"/>
  <c r="V37" i="444"/>
  <c r="W37" i="444" s="1"/>
  <c r="T45" i="444"/>
  <c r="U45" i="444" s="1"/>
  <c r="S45" i="444"/>
  <c r="S58" i="444"/>
  <c r="V58" i="444" s="1"/>
  <c r="W58" i="444" s="1"/>
  <c r="S75" i="444"/>
  <c r="V75" i="444" s="1"/>
  <c r="W75" i="444" s="1"/>
  <c r="S121" i="444"/>
  <c r="V121" i="444" s="1"/>
  <c r="W121" i="444" s="1"/>
  <c r="V54" i="444"/>
  <c r="W54" i="444" s="1"/>
  <c r="V62" i="444"/>
  <c r="W62" i="444" s="1"/>
  <c r="V79" i="444"/>
  <c r="W79" i="444" s="1"/>
  <c r="V117" i="444"/>
  <c r="W117" i="444" s="1"/>
  <c r="T125" i="444"/>
  <c r="U125" i="444" s="1"/>
  <c r="S125" i="444"/>
  <c r="T96" i="444"/>
  <c r="U96" i="444" s="1"/>
  <c r="S96" i="444"/>
  <c r="T55" i="444"/>
  <c r="U55" i="444" s="1"/>
  <c r="V55" i="444" s="1"/>
  <c r="W55" i="444" s="1"/>
  <c r="T101" i="444"/>
  <c r="U101" i="444" s="1"/>
  <c r="V101" i="444" s="1"/>
  <c r="W101" i="444" s="1"/>
  <c r="T21" i="444"/>
  <c r="U21" i="444" s="1"/>
  <c r="V21" i="444" s="1"/>
  <c r="W21" i="444" s="1"/>
  <c r="S50" i="444"/>
  <c r="V50" i="444" s="1"/>
  <c r="W50" i="444" s="1"/>
  <c r="S113" i="444"/>
  <c r="V113" i="444" s="1"/>
  <c r="W113" i="444" s="1"/>
  <c r="T155" i="444"/>
  <c r="U155" i="444" s="1"/>
  <c r="V155" i="444" s="1"/>
  <c r="W155" i="444" s="1"/>
  <c r="S25" i="444"/>
  <c r="V25" i="444" s="1"/>
  <c r="W25" i="444" s="1"/>
  <c r="S38" i="444"/>
  <c r="V38" i="444" s="1"/>
  <c r="W38" i="444" s="1"/>
  <c r="S67" i="444"/>
  <c r="V67" i="444" s="1"/>
  <c r="W67" i="444" s="1"/>
  <c r="S130" i="444"/>
  <c r="V130" i="444" s="1"/>
  <c r="W130" i="444" s="1"/>
  <c r="S5" i="444"/>
  <c r="V5" i="444" s="1"/>
  <c r="W5" i="444" s="1"/>
  <c r="S72" i="444"/>
  <c r="V72" i="444" s="1"/>
  <c r="W72" i="444" s="1"/>
  <c r="T76" i="444"/>
  <c r="U76" i="444" s="1"/>
  <c r="S76" i="444"/>
  <c r="S84" i="444"/>
  <c r="V84" i="444" s="1"/>
  <c r="W84" i="444" s="1"/>
  <c r="T105" i="444"/>
  <c r="U105" i="444" s="1"/>
  <c r="S105" i="444"/>
  <c r="S118" i="444"/>
  <c r="V118" i="444" s="1"/>
  <c r="W118" i="444" s="1"/>
  <c r="S135" i="444"/>
  <c r="V135" i="444" s="1"/>
  <c r="W135" i="444" s="1"/>
  <c r="V114" i="444"/>
  <c r="W114" i="444" s="1"/>
  <c r="V122" i="444"/>
  <c r="W122" i="444" s="1"/>
  <c r="V139" i="444"/>
  <c r="W139" i="444" s="1"/>
  <c r="S30" i="444"/>
  <c r="V30" i="444" s="1"/>
  <c r="W30" i="444" s="1"/>
  <c r="S93" i="444"/>
  <c r="V93" i="444" s="1"/>
  <c r="W93" i="444" s="1"/>
  <c r="T156" i="444"/>
  <c r="U156" i="444" s="1"/>
  <c r="S156" i="444"/>
  <c r="S33" i="444"/>
  <c r="V33" i="444" s="1"/>
  <c r="W33" i="444" s="1"/>
  <c r="V47" i="444"/>
  <c r="W47" i="444" s="1"/>
  <c r="V110" i="444"/>
  <c r="W110" i="444" s="1"/>
  <c r="V2" i="444"/>
  <c r="W2" i="444" s="1"/>
  <c r="V39" i="444"/>
  <c r="W39" i="444" s="1"/>
  <c r="S52" i="444"/>
  <c r="V52" i="444" s="1"/>
  <c r="W52" i="444" s="1"/>
  <c r="T56" i="444"/>
  <c r="U56" i="444" s="1"/>
  <c r="S56" i="444"/>
  <c r="S85" i="444"/>
  <c r="T85" i="444"/>
  <c r="U85" i="444" s="1"/>
  <c r="S98" i="444"/>
  <c r="V98" i="444" s="1"/>
  <c r="W98" i="444" s="1"/>
  <c r="S115" i="444"/>
  <c r="V115" i="444" s="1"/>
  <c r="W115" i="444" s="1"/>
  <c r="S127" i="444"/>
  <c r="V127" i="444" s="1"/>
  <c r="W127" i="444" s="1"/>
  <c r="V119" i="444"/>
  <c r="W119" i="444" s="1"/>
  <c r="S132" i="444"/>
  <c r="V132" i="444" s="1"/>
  <c r="W132" i="444" s="1"/>
  <c r="T136" i="444"/>
  <c r="U136" i="444" s="1"/>
  <c r="S136" i="444"/>
  <c r="S144" i="444"/>
  <c r="V144" i="444" s="1"/>
  <c r="W144" i="444" s="1"/>
  <c r="S73" i="444"/>
  <c r="V73" i="444" s="1"/>
  <c r="W73" i="444" s="1"/>
  <c r="S161" i="444"/>
  <c r="V161" i="444" s="1"/>
  <c r="W161" i="444" s="1"/>
  <c r="V19" i="444"/>
  <c r="W19" i="444" s="1"/>
  <c r="S61" i="444"/>
  <c r="V61" i="444" s="1"/>
  <c r="W61" i="444" s="1"/>
  <c r="S165" i="444"/>
  <c r="T165" i="444"/>
  <c r="U165" i="444" s="1"/>
  <c r="V10" i="444"/>
  <c r="W10" i="444" s="1"/>
  <c r="S27" i="444"/>
  <c r="V27" i="444" s="1"/>
  <c r="W27" i="444" s="1"/>
  <c r="S44" i="444"/>
  <c r="V44" i="444" s="1"/>
  <c r="W44" i="444" s="1"/>
  <c r="T65" i="444"/>
  <c r="U65" i="444" s="1"/>
  <c r="S65" i="444"/>
  <c r="S78" i="444"/>
  <c r="V78" i="444" s="1"/>
  <c r="W78" i="444" s="1"/>
  <c r="S90" i="444"/>
  <c r="V90" i="444" s="1"/>
  <c r="W90" i="444" s="1"/>
  <c r="S153" i="444"/>
  <c r="V153" i="444" s="1"/>
  <c r="W153" i="444" s="1"/>
  <c r="S13" i="444"/>
  <c r="V13" i="444" s="1"/>
  <c r="W13" i="444" s="1"/>
  <c r="S7" i="444"/>
  <c r="V7" i="444" s="1"/>
  <c r="W7" i="444" s="1"/>
  <c r="S32" i="444"/>
  <c r="V32" i="444" s="1"/>
  <c r="W32" i="444" s="1"/>
  <c r="T36" i="444"/>
  <c r="U36" i="444" s="1"/>
  <c r="S36" i="444"/>
  <c r="V74" i="444"/>
  <c r="W74" i="444" s="1"/>
  <c r="S95" i="444"/>
  <c r="V95" i="444" s="1"/>
  <c r="W95" i="444" s="1"/>
  <c r="S107" i="444"/>
  <c r="V107" i="444" s="1"/>
  <c r="W107" i="444" s="1"/>
  <c r="S124" i="444"/>
  <c r="V124" i="444" s="1"/>
  <c r="W124" i="444" s="1"/>
  <c r="S141" i="444"/>
  <c r="V141" i="444" s="1"/>
  <c r="W141" i="444" s="1"/>
  <c r="V82" i="444"/>
  <c r="W82" i="444" s="1"/>
  <c r="V99" i="444"/>
  <c r="W99" i="444" s="1"/>
  <c r="T116" i="444"/>
  <c r="U116" i="444" s="1"/>
  <c r="S116" i="444"/>
  <c r="T145" i="444"/>
  <c r="U145" i="444" s="1"/>
  <c r="S145" i="444"/>
  <c r="S88" i="444"/>
  <c r="V88" i="444" s="1"/>
  <c r="W88" i="444" s="1"/>
  <c r="S11" i="444"/>
  <c r="V11" i="444" s="1"/>
  <c r="W11" i="444" s="1"/>
  <c r="S31" i="444"/>
  <c r="V31" i="444" s="1"/>
  <c r="W31" i="444" s="1"/>
  <c r="T48" i="444"/>
  <c r="U48" i="444" s="1"/>
  <c r="V48" i="444" s="1"/>
  <c r="W48" i="444" s="1"/>
  <c r="S51" i="444"/>
  <c r="V51" i="444" s="1"/>
  <c r="W51" i="444" s="1"/>
  <c r="T68" i="444"/>
  <c r="U68" i="444" s="1"/>
  <c r="V68" i="444" s="1"/>
  <c r="W68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S111" i="444"/>
  <c r="V111" i="444" s="1"/>
  <c r="W111" i="444" s="1"/>
  <c r="T128" i="444"/>
  <c r="U128" i="444" s="1"/>
  <c r="V128" i="444" s="1"/>
  <c r="W128" i="444" s="1"/>
  <c r="S131" i="444"/>
  <c r="V131" i="444" s="1"/>
  <c r="W131" i="444" s="1"/>
  <c r="T148" i="444"/>
  <c r="U148" i="444" s="1"/>
  <c r="V148" i="444" s="1"/>
  <c r="W148" i="444" s="1"/>
  <c r="S151" i="444"/>
  <c r="V151" i="444" s="1"/>
  <c r="W151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3" i="444"/>
  <c r="V3" i="444" s="1"/>
  <c r="W3" i="444" s="1"/>
  <c r="T20" i="444"/>
  <c r="U20" i="444" s="1"/>
  <c r="V20" i="444" s="1"/>
  <c r="W20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B5" i="383"/>
  <c r="B4" i="383"/>
  <c r="R8" i="385"/>
  <c r="R28" i="385"/>
  <c r="R48" i="385"/>
  <c r="R52" i="385"/>
  <c r="R56" i="385"/>
  <c r="R60" i="385"/>
  <c r="R64" i="385"/>
  <c r="R16" i="385"/>
  <c r="R20" i="385"/>
  <c r="R24" i="385"/>
  <c r="R32" i="385"/>
  <c r="R36" i="385"/>
  <c r="S23" i="385"/>
  <c r="S55" i="385"/>
  <c r="R39" i="385"/>
  <c r="J14" i="385"/>
  <c r="R19" i="385"/>
  <c r="R59" i="385"/>
  <c r="R63" i="385"/>
  <c r="H37" i="385"/>
  <c r="J17" i="385"/>
  <c r="J21" i="385"/>
  <c r="J45" i="385"/>
  <c r="R18" i="385"/>
  <c r="R30" i="385"/>
  <c r="J10" i="385"/>
  <c r="R31" i="385"/>
  <c r="S51" i="385"/>
  <c r="M6" i="385"/>
  <c r="E6" i="385" s="1"/>
  <c r="H9" i="385"/>
  <c r="H25" i="385"/>
  <c r="J13" i="385"/>
  <c r="J25" i="385"/>
  <c r="R6" i="385"/>
  <c r="R10" i="385"/>
  <c r="R26" i="385"/>
  <c r="R34" i="385"/>
  <c r="R50" i="385"/>
  <c r="R54" i="385"/>
  <c r="R58" i="385"/>
  <c r="R62" i="385"/>
  <c r="S22" i="385"/>
  <c r="R14" i="385"/>
  <c r="H12" i="385"/>
  <c r="M17" i="385"/>
  <c r="E17" i="385" s="1"/>
  <c r="H20" i="385"/>
  <c r="M21" i="385"/>
  <c r="E21" i="385" s="1"/>
  <c r="H32" i="385"/>
  <c r="H36" i="385"/>
  <c r="H40" i="385"/>
  <c r="H44" i="385"/>
  <c r="H48" i="385"/>
  <c r="R11" i="385"/>
  <c r="R47" i="385"/>
  <c r="J12" i="385"/>
  <c r="J36" i="385"/>
  <c r="J44" i="385"/>
  <c r="R29" i="385"/>
  <c r="R33" i="385"/>
  <c r="R37" i="385"/>
  <c r="R41" i="385"/>
  <c r="R45" i="385"/>
  <c r="R49" i="385"/>
  <c r="R57" i="385"/>
  <c r="R61" i="385"/>
  <c r="R65" i="385"/>
  <c r="R9" i="385"/>
  <c r="R21" i="385"/>
  <c r="S5" i="385"/>
  <c r="R17" i="385"/>
  <c r="H52" i="54"/>
  <c r="C43" i="54"/>
  <c r="C45" i="54" s="1"/>
  <c r="D45" i="54" s="1"/>
  <c r="F41" i="54"/>
  <c r="C36" i="54"/>
  <c r="C38" i="54" s="1"/>
  <c r="D38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E248" i="89"/>
  <c r="F244" i="89"/>
  <c r="F245" i="89" s="1"/>
  <c r="F246" i="89" s="1"/>
  <c r="F247" i="89" s="1"/>
  <c r="AE237" i="89"/>
  <c r="R235" i="89" a="1"/>
  <c r="R63" i="89" a="1"/>
  <c r="R55" i="89" a="1"/>
  <c r="R20" i="89" a="1"/>
  <c r="R233" i="89" a="1"/>
  <c r="W237" i="89" a="1"/>
  <c r="J29" i="385" l="1"/>
  <c r="J42" i="385"/>
  <c r="J33" i="385"/>
  <c r="H28" i="385"/>
  <c r="M5" i="385"/>
  <c r="E5" i="385" s="1"/>
  <c r="J18" i="385"/>
  <c r="J37" i="385"/>
  <c r="H23" i="385"/>
  <c r="H45" i="385"/>
  <c r="H34" i="385"/>
  <c r="R13" i="385"/>
  <c r="S27" i="385"/>
  <c r="M16" i="385"/>
  <c r="E16" i="385" s="1"/>
  <c r="H19" i="385"/>
  <c r="H27" i="385"/>
  <c r="M32" i="385"/>
  <c r="E32" i="385" s="1"/>
  <c r="R46" i="385"/>
  <c r="J35" i="385"/>
  <c r="H16" i="385"/>
  <c r="S35" i="385"/>
  <c r="R71" i="385"/>
  <c r="M38" i="385"/>
  <c r="E38" i="385" s="1"/>
  <c r="J24" i="385"/>
  <c r="M46" i="385"/>
  <c r="E46" i="385" s="1"/>
  <c r="S38" i="385"/>
  <c r="H7" i="385"/>
  <c r="H30" i="385"/>
  <c r="H41" i="385"/>
  <c r="J7" i="385"/>
  <c r="M27" i="385"/>
  <c r="E27" i="385" s="1"/>
  <c r="M18" i="385"/>
  <c r="E18" i="385" s="1"/>
  <c r="J30" i="385"/>
  <c r="J46" i="385"/>
  <c r="M24" i="385"/>
  <c r="H18" i="385"/>
  <c r="H10" i="385"/>
  <c r="R40" i="385"/>
  <c r="H42" i="385"/>
  <c r="M19" i="385"/>
  <c r="E19" i="385" s="1"/>
  <c r="H8" i="385"/>
  <c r="R12" i="385"/>
  <c r="J26" i="385"/>
  <c r="J22" i="385"/>
  <c r="M41" i="385"/>
  <c r="E41" i="385" s="1"/>
  <c r="S70" i="385"/>
  <c r="M22" i="385"/>
  <c r="E22" i="385" s="1"/>
  <c r="J19" i="385"/>
  <c r="H35" i="385"/>
  <c r="H6" i="385"/>
  <c r="S69" i="385"/>
  <c r="H43" i="385"/>
  <c r="J23" i="385"/>
  <c r="H5" i="385"/>
  <c r="M35" i="385"/>
  <c r="E35" i="385" s="1"/>
  <c r="J8" i="385"/>
  <c r="M26" i="385"/>
  <c r="E26" i="385" s="1"/>
  <c r="J27" i="385"/>
  <c r="H38" i="385"/>
  <c r="H11" i="385"/>
  <c r="J5" i="385"/>
  <c r="M30" i="385"/>
  <c r="E30" i="385" s="1"/>
  <c r="M33" i="385"/>
  <c r="E33" i="385" s="1"/>
  <c r="H15" i="385"/>
  <c r="M11" i="385"/>
  <c r="E11" i="385" s="1"/>
  <c r="E27" i="415"/>
  <c r="E31" i="415"/>
  <c r="M15" i="385"/>
  <c r="E15" i="385" s="1"/>
  <c r="M42" i="385"/>
  <c r="E42" i="385" s="1"/>
  <c r="E7" i="415"/>
  <c r="E51" i="415"/>
  <c r="E52" i="415"/>
  <c r="E32" i="415"/>
  <c r="E6" i="415"/>
  <c r="E22" i="415"/>
  <c r="E46" i="415"/>
  <c r="E37" i="415"/>
  <c r="E18" i="415"/>
  <c r="E53" i="415"/>
  <c r="E8" i="415"/>
  <c r="E34" i="415"/>
  <c r="E20" i="415"/>
  <c r="E39" i="415"/>
  <c r="E5" i="415"/>
  <c r="E38" i="415"/>
  <c r="E28" i="415"/>
  <c r="E30" i="415"/>
  <c r="E29" i="415"/>
  <c r="E19" i="415"/>
  <c r="E21" i="415"/>
  <c r="E9" i="415"/>
  <c r="R63" i="89"/>
  <c r="R235" i="89"/>
  <c r="R20" i="89"/>
  <c r="R55" i="89"/>
  <c r="R233" i="89"/>
  <c r="V145" i="444"/>
  <c r="W145" i="444" s="1"/>
  <c r="V65" i="444"/>
  <c r="W65" i="444" s="1"/>
  <c r="V105" i="444"/>
  <c r="W105" i="444" s="1"/>
  <c r="V45" i="444"/>
  <c r="W45" i="444" s="1"/>
  <c r="V116" i="444"/>
  <c r="W116" i="444" s="1"/>
  <c r="V136" i="444"/>
  <c r="W136" i="444" s="1"/>
  <c r="V125" i="444"/>
  <c r="W125" i="444" s="1"/>
  <c r="V76" i="444"/>
  <c r="W76" i="444" s="1"/>
  <c r="V16" i="444"/>
  <c r="W16" i="444" s="1"/>
  <c r="V36" i="444"/>
  <c r="W36" i="444" s="1"/>
  <c r="V156" i="444"/>
  <c r="W156" i="444" s="1"/>
  <c r="V96" i="444"/>
  <c r="W96" i="444" s="1"/>
  <c r="I32" i="54"/>
  <c r="V85" i="444"/>
  <c r="W85" i="444" s="1"/>
  <c r="V165" i="444"/>
  <c r="W165" i="444" s="1"/>
  <c r="V28" i="444"/>
  <c r="W28" i="444" s="1"/>
  <c r="V8" i="444"/>
  <c r="W8" i="444" s="1"/>
  <c r="V56" i="444"/>
  <c r="W56" i="444" s="1"/>
  <c r="I53" i="54"/>
  <c r="H53" i="54"/>
  <c r="H54" i="54" s="1"/>
  <c r="I52" i="54"/>
  <c r="W237" i="89"/>
  <c r="J53" i="54" l="1"/>
  <c r="I54" i="54"/>
  <c r="J52" i="54"/>
  <c r="L237" i="89" a="1"/>
  <c r="J54" i="54" l="1"/>
  <c r="L237" i="89"/>
  <c r="K237" i="89" a="1"/>
  <c r="K237" i="89" l="1"/>
  <c r="M237" i="89" s="1"/>
  <c r="I237" i="89"/>
  <c r="AA237" i="89" a="1"/>
  <c r="F237" i="89" a="1"/>
  <c r="AA237" i="89" l="1"/>
  <c r="F237" i="89"/>
  <c r="N237" i="89" a="1"/>
  <c r="N237" i="89" l="1"/>
  <c r="P237" i="89"/>
  <c r="Q237" i="89" s="1"/>
  <c r="AE236" i="89"/>
  <c r="Z237" i="89" a="1"/>
  <c r="Z237" i="89" l="1"/>
  <c r="AC237" i="89"/>
  <c r="Y237" i="89"/>
  <c r="U237" i="89"/>
  <c r="J237" i="89"/>
  <c r="D237" i="89" l="1"/>
  <c r="A237" i="89"/>
  <c r="W236" i="89" a="1"/>
  <c r="W236" i="89" l="1"/>
  <c r="L236" i="89" a="1"/>
  <c r="L236" i="89" l="1"/>
  <c r="K236" i="89" a="1"/>
  <c r="K236" i="89" l="1"/>
  <c r="M236" i="89" s="1"/>
  <c r="I236" i="89"/>
  <c r="AA236" i="89" a="1"/>
  <c r="F236" i="89" a="1"/>
  <c r="AA236" i="89" l="1"/>
  <c r="F236" i="89"/>
  <c r="N236" i="89" a="1"/>
  <c r="N236" i="89" l="1"/>
  <c r="AE235" i="89"/>
  <c r="Z236" i="89" a="1"/>
  <c r="Z236" i="89" l="1"/>
  <c r="P236" i="89"/>
  <c r="Q236" i="89" s="1"/>
  <c r="AC236" i="89"/>
  <c r="Y236" i="89"/>
  <c r="U236" i="89"/>
  <c r="J236" i="89"/>
  <c r="D236" i="89" l="1"/>
  <c r="A236" i="89"/>
  <c r="W235" i="89" a="1"/>
  <c r="W235" i="89" l="1"/>
  <c r="L235" i="89" a="1"/>
  <c r="L235" i="89" l="1"/>
  <c r="K235" i="89" a="1"/>
  <c r="K235" i="89" l="1"/>
  <c r="M235" i="89" s="1"/>
  <c r="I235" i="89"/>
  <c r="AA235" i="89" a="1"/>
  <c r="F235" i="89" a="1"/>
  <c r="AA235" i="89" l="1"/>
  <c r="F235" i="89"/>
  <c r="N235" i="89" a="1"/>
  <c r="N235" i="89" l="1"/>
  <c r="P235" i="89"/>
  <c r="Q235" i="89" s="1"/>
  <c r="AE234" i="89"/>
  <c r="Z235" i="89" a="1"/>
  <c r="Z235" i="89" l="1"/>
  <c r="AC235" i="89"/>
  <c r="Y235" i="89"/>
  <c r="U235" i="89"/>
  <c r="J235" i="89"/>
  <c r="D235" i="89" l="1"/>
  <c r="A235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N234" i="89" a="1"/>
  <c r="N234" i="89" l="1"/>
  <c r="P234" i="89"/>
  <c r="Q234" i="89" s="1"/>
  <c r="AE233" i="89"/>
  <c r="Z234" i="89" a="1"/>
  <c r="Z234" i="89" l="1"/>
  <c r="AC234" i="89"/>
  <c r="Y234" i="89"/>
  <c r="U234" i="89"/>
  <c r="J234" i="89"/>
  <c r="D234" i="89" l="1"/>
  <c r="A234" i="89"/>
  <c r="W233" i="89" a="1"/>
  <c r="W233" i="89" l="1"/>
  <c r="L233" i="89" a="1"/>
  <c r="L233" i="89" l="1"/>
  <c r="K233" i="89" a="1"/>
  <c r="K233" i="89" l="1"/>
  <c r="K239" i="89" s="1"/>
  <c r="I233" i="89"/>
  <c r="AA233" i="89" a="1"/>
  <c r="F233" i="89" a="1"/>
  <c r="AA233" i="89" l="1"/>
  <c r="M233" i="89"/>
  <c r="F233" i="89"/>
  <c r="I239" i="89"/>
  <c r="N233" i="89" a="1"/>
  <c r="N233" i="89" l="1"/>
  <c r="Z233" i="89" a="1"/>
  <c r="Z233" i="89" l="1"/>
  <c r="P233" i="89"/>
  <c r="Q233" i="89" s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Z225" i="89" a="1"/>
  <c r="W224" i="89" a="1"/>
  <c r="Z225" i="89" l="1"/>
  <c r="W224" i="89"/>
  <c r="L224" i="89" a="1"/>
  <c r="L224" i="89" l="1"/>
  <c r="K224" i="89" a="1"/>
  <c r="K224" i="89" l="1"/>
  <c r="I224" i="89" s="1"/>
  <c r="H224" i="89"/>
  <c r="AA224" i="89" a="1"/>
  <c r="F224" i="89" a="1"/>
  <c r="AA224" i="89" l="1"/>
  <c r="M224" i="89"/>
  <c r="F224" i="89"/>
  <c r="H225" i="89"/>
  <c r="I229" i="89"/>
  <c r="N224" i="89" a="1"/>
  <c r="N224" i="89" l="1"/>
  <c r="P225" i="89"/>
  <c r="Q225" i="89" s="1"/>
  <c r="AC225" i="89"/>
  <c r="Y225" i="89"/>
  <c r="Z224" i="89" a="1"/>
  <c r="Z224" i="89" l="1"/>
  <c r="P224" i="89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Z223" i="89" a="1"/>
  <c r="Z223" i="89" l="1"/>
  <c r="P223" i="89"/>
  <c r="Q223" i="89" s="1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K228" i="89"/>
  <c r="I226" i="89"/>
  <c r="M229" i="89" s="1"/>
  <c r="I228" i="89"/>
  <c r="I230" i="89" s="1"/>
  <c r="N222" i="89"/>
  <c r="P222" i="89"/>
  <c r="Z222" i="89" a="1"/>
  <c r="Z222" i="89" l="1"/>
  <c r="P226" i="89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M213" i="89" l="1"/>
  <c r="I213" i="89"/>
  <c r="AA213" i="89" a="1"/>
  <c r="AA213" i="89" l="1"/>
  <c r="I218" i="89"/>
  <c r="N213" i="89" a="1"/>
  <c r="N213" i="89" l="1"/>
  <c r="P213" i="89"/>
  <c r="Q213" i="89" s="1"/>
  <c r="Z213" i="89" a="1"/>
  <c r="Z213" i="89" l="1"/>
  <c r="AC213" i="89"/>
  <c r="Y213" i="89"/>
  <c r="U213" i="89"/>
  <c r="J213" i="89"/>
  <c r="K215" i="89" l="1"/>
  <c r="M212" i="89"/>
  <c r="I212" i="89"/>
  <c r="AA212" i="89" a="1"/>
  <c r="N212" i="89" a="1"/>
  <c r="AA212" i="89" l="1"/>
  <c r="N212" i="89"/>
  <c r="Z212" i="89" a="1"/>
  <c r="S212" i="89" a="1"/>
  <c r="Z212" i="89" l="1"/>
  <c r="P212" i="89"/>
  <c r="Q212" i="89" s="1"/>
  <c r="S212" i="89"/>
  <c r="R212" i="89" a="1"/>
  <c r="R212" i="89" l="1"/>
  <c r="AC212" i="89"/>
  <c r="Y212" i="89"/>
  <c r="U212" i="89"/>
  <c r="J212" i="89"/>
  <c r="K216" i="89" l="1"/>
  <c r="I211" i="89"/>
  <c r="H211" i="89"/>
  <c r="AA211" i="89" a="1"/>
  <c r="AA211" i="89" l="1"/>
  <c r="M211" i="89"/>
  <c r="K217" i="89"/>
  <c r="I215" i="89"/>
  <c r="M218" i="89" s="1"/>
  <c r="I217" i="89"/>
  <c r="I219" i="89" s="1"/>
  <c r="N211" i="89" a="1"/>
  <c r="N211" i="89" l="1"/>
  <c r="P211" i="89"/>
  <c r="W210" i="89"/>
  <c r="I210" i="89"/>
  <c r="Z211" i="89" a="1"/>
  <c r="S211" i="89" a="1"/>
  <c r="Z211" i="89" l="1"/>
  <c r="S211" i="89"/>
  <c r="P215" i="89"/>
  <c r="Q211" i="89"/>
  <c r="R211" i="89" a="1"/>
  <c r="R211" i="89" l="1"/>
  <c r="Q215" i="89"/>
  <c r="C217" i="89"/>
  <c r="C218" i="89" s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F205" i="89" a="1"/>
  <c r="I205" i="89" l="1"/>
  <c r="F205" i="89"/>
  <c r="AE205" i="89"/>
  <c r="AA205" i="89" a="1"/>
  <c r="N205" i="89" a="1"/>
  <c r="AA205" i="89" l="1"/>
  <c r="N205" i="89"/>
  <c r="Z205" i="89" a="1"/>
  <c r="Z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K206" i="89" l="1"/>
  <c r="M204" i="89"/>
  <c r="I204" i="89"/>
  <c r="AA204" i="89" a="1"/>
  <c r="N204" i="89" a="1"/>
  <c r="AA204" i="89" l="1"/>
  <c r="N204" i="89"/>
  <c r="Z204" i="89" a="1"/>
  <c r="Z204" i="89" l="1"/>
  <c r="P204" i="89"/>
  <c r="Q204" i="89" l="1"/>
  <c r="S204" i="89"/>
  <c r="AC204" i="89" l="1"/>
  <c r="Y204" i="89"/>
  <c r="U204" i="89"/>
  <c r="J204" i="89"/>
  <c r="R204" i="89" a="1"/>
  <c r="R204" i="89" l="1"/>
  <c r="K207" i="89" l="1"/>
  <c r="H203" i="89"/>
  <c r="I203" i="89" l="1"/>
  <c r="M203" i="89"/>
  <c r="AE203" i="89"/>
  <c r="AA203" i="89" a="1"/>
  <c r="N203" i="89" a="1"/>
  <c r="AA203" i="89" l="1"/>
  <c r="I206" i="89"/>
  <c r="I208" i="89"/>
  <c r="N203" i="89"/>
  <c r="Z203" i="89" a="1"/>
  <c r="Z203" i="89" l="1"/>
  <c r="P203" i="89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W197" i="89" a="1"/>
  <c r="W197" i="89" l="1"/>
  <c r="L197" i="89" a="1"/>
  <c r="L197" i="89" l="1"/>
  <c r="K197" i="89" a="1"/>
  <c r="K197" i="89" l="1"/>
  <c r="M197" i="89" s="1"/>
  <c r="H197" i="89"/>
  <c r="F197" i="89" a="1"/>
  <c r="I197" i="89" l="1"/>
  <c r="F197" i="89"/>
  <c r="AE197" i="89"/>
  <c r="AA197" i="89" a="1"/>
  <c r="N197" i="89" a="1"/>
  <c r="AA197" i="89" l="1"/>
  <c r="N197" i="89"/>
  <c r="P197" i="89"/>
  <c r="Q197" i="89" s="1"/>
  <c r="Z197" i="89" a="1"/>
  <c r="Z197" i="89" l="1"/>
  <c r="AE196" i="89"/>
  <c r="AC197" i="89" l="1"/>
  <c r="Y197" i="89"/>
  <c r="U197" i="89"/>
  <c r="J197" i="89"/>
  <c r="W196" i="89" a="1"/>
  <c r="W196" i="89" l="1"/>
  <c r="L196" i="89" a="1"/>
  <c r="L196" i="89" l="1"/>
  <c r="K196" i="89" a="1"/>
  <c r="K196" i="89" l="1"/>
  <c r="M196" i="89" s="1"/>
  <c r="K198" i="89"/>
  <c r="I196" i="89"/>
  <c r="AA196" i="89" a="1"/>
  <c r="F196" i="89" a="1"/>
  <c r="AA196" i="89" l="1"/>
  <c r="F196" i="89"/>
  <c r="N196" i="89" a="1"/>
  <c r="N196" i="89" l="1"/>
  <c r="Z196" i="89" a="1"/>
  <c r="Z196" i="89" l="1"/>
  <c r="P196" i="89"/>
  <c r="Q196" i="89" s="1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H195" i="89"/>
  <c r="F195" i="89" a="1"/>
  <c r="I195" i="89" l="1"/>
  <c r="M195" i="89"/>
  <c r="F195" i="89"/>
  <c r="AE195" i="89"/>
  <c r="AA195" i="89" a="1"/>
  <c r="N195" i="89" a="1"/>
  <c r="AA195" i="89" l="1"/>
  <c r="I200" i="89"/>
  <c r="I198" i="89"/>
  <c r="N195" i="89"/>
  <c r="Z195" i="89" a="1"/>
  <c r="Z195" i="89" l="1"/>
  <c r="P195" i="89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AC188" i="89" l="1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M186" i="89"/>
  <c r="F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AE180" i="89"/>
  <c r="K185" i="89" l="1"/>
  <c r="P189" i="89"/>
  <c r="Q189" i="89" s="1"/>
  <c r="Q186" i="89"/>
  <c r="Q185" i="89" s="1"/>
  <c r="AC186" i="89" l="1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I180" i="89"/>
  <c r="AA180" i="89" a="1"/>
  <c r="F180" i="89" a="1"/>
  <c r="AA180" i="89" l="1"/>
  <c r="F180" i="89"/>
  <c r="N180" i="89" a="1"/>
  <c r="N180" i="89" l="1"/>
  <c r="D180" i="89"/>
  <c r="Z180" i="89" a="1"/>
  <c r="Z180" i="89" l="1"/>
  <c r="P180" i="89"/>
  <c r="Q180" i="89" s="1"/>
  <c r="AE179" i="89"/>
  <c r="AC180" i="89" l="1"/>
  <c r="Y180" i="89"/>
  <c r="U180" i="89"/>
  <c r="J180" i="89"/>
  <c r="W179" i="89" a="1"/>
  <c r="W179" i="89" l="1"/>
  <c r="L179" i="89" a="1"/>
  <c r="L179" i="89" l="1"/>
  <c r="K179" i="89" a="1"/>
  <c r="K179" i="89" l="1"/>
  <c r="K181" i="89"/>
  <c r="M179" i="89"/>
  <c r="I179" i="89"/>
  <c r="F179" i="89" a="1"/>
  <c r="F179" i="89" l="1"/>
  <c r="N179" i="89" a="1"/>
  <c r="N179" i="89" l="1"/>
  <c r="D179" i="89"/>
  <c r="P179" i="89" l="1"/>
  <c r="S179" i="89" a="1"/>
  <c r="AB179" i="89" a="1"/>
  <c r="AB179" i="89" l="1"/>
  <c r="S179" i="89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M178" i="89"/>
  <c r="I178" i="89"/>
  <c r="H178" i="89"/>
  <c r="F178" i="89" a="1"/>
  <c r="F178" i="89" l="1"/>
  <c r="AE178" i="89"/>
  <c r="I183" i="89"/>
  <c r="I181" i="89"/>
  <c r="N178" i="89" a="1"/>
  <c r="N178" i="89" l="1"/>
  <c r="D178" i="89"/>
  <c r="P178" i="89" l="1"/>
  <c r="J177" i="89"/>
  <c r="I177" i="89"/>
  <c r="S178" i="89" a="1"/>
  <c r="AB178" i="89" a="1"/>
  <c r="K177" i="89" l="1"/>
  <c r="AB178" i="89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M171" i="89" l="1"/>
  <c r="I171" i="89" l="1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F170" i="89" a="1"/>
  <c r="I170" i="89" l="1"/>
  <c r="F170" i="89"/>
  <c r="AA170" i="89" a="1"/>
  <c r="N170" i="89" a="1"/>
  <c r="AA170" i="89" l="1"/>
  <c r="I175" i="89"/>
  <c r="N170" i="89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F169" i="89" a="1"/>
  <c r="I169" i="89" l="1"/>
  <c r="M169" i="89"/>
  <c r="F169" i="89"/>
  <c r="AE169" i="89"/>
  <c r="AA169" i="89" a="1"/>
  <c r="N169" i="89" a="1"/>
  <c r="AA169" i="89" l="1"/>
  <c r="I174" i="89"/>
  <c r="I172" i="89"/>
  <c r="N169" i="89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AA160" i="89" a="1"/>
  <c r="AA160" i="89" l="1"/>
  <c r="I162" i="89"/>
  <c r="I163" i="89" s="1"/>
  <c r="P160" i="89"/>
  <c r="Q160" i="89" s="1"/>
  <c r="Q162" i="89" s="1"/>
  <c r="K163" i="89"/>
  <c r="K164" i="89"/>
  <c r="AG154" i="89" l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F154" i="89" a="1"/>
  <c r="I154" i="89" l="1"/>
  <c r="F154" i="89"/>
  <c r="AA154" i="89" a="1"/>
  <c r="N154" i="89" a="1"/>
  <c r="AA154" i="89" l="1"/>
  <c r="N154" i="89"/>
  <c r="I155" i="89"/>
  <c r="Z154" i="89" a="1"/>
  <c r="Z154" i="89" l="1"/>
  <c r="P154" i="89"/>
  <c r="Q154" i="89" s="1"/>
  <c r="AG153" i="89"/>
  <c r="AC154" i="89" l="1"/>
  <c r="Y154" i="89"/>
  <c r="U154" i="89"/>
  <c r="J154" i="89"/>
  <c r="W153" i="89" a="1"/>
  <c r="W153" i="89" l="1"/>
  <c r="T155" i="89" l="1"/>
  <c r="I156" i="89" s="1"/>
  <c r="L153" i="89" a="1"/>
  <c r="L153" i="89" l="1"/>
  <c r="K153" i="89" a="1"/>
  <c r="K153" i="89" l="1"/>
  <c r="M153" i="89" s="1"/>
  <c r="L157" i="89"/>
  <c r="L166" i="89" s="1"/>
  <c r="K155" i="89"/>
  <c r="F153" i="89" a="1"/>
  <c r="F153" i="89" l="1"/>
  <c r="K157" i="89"/>
  <c r="K166" i="89" s="1"/>
  <c r="K156" i="89"/>
  <c r="N153" i="89" a="1"/>
  <c r="N153" i="89" l="1"/>
  <c r="Z153" i="89" a="1"/>
  <c r="Z153" i="89" l="1"/>
  <c r="P153" i="89"/>
  <c r="Q153" i="89" s="1"/>
  <c r="Q155" i="89" s="1"/>
  <c r="Q165" i="89" s="1"/>
  <c r="S153" i="89" a="1"/>
  <c r="Z152" i="89" l="1"/>
  <c r="S153" i="89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AA145" i="89" a="1"/>
  <c r="F145" i="89" a="1"/>
  <c r="AA145" i="89" l="1"/>
  <c r="F145" i="89"/>
  <c r="AG145" i="89"/>
  <c r="N145" i="89"/>
  <c r="Z145" i="89" s="1" a="1"/>
  <c r="Z145" i="89" l="1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I138" i="89"/>
  <c r="H138" i="89"/>
  <c r="AA138" i="89" a="1"/>
  <c r="F138" i="89" a="1"/>
  <c r="AA138" i="89" l="1"/>
  <c r="F138" i="89"/>
  <c r="AG138" i="89"/>
  <c r="N138" i="89"/>
  <c r="Z138" i="89" s="1" a="1"/>
  <c r="Z138" i="89" l="1"/>
  <c r="P138" i="89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AA137" i="89" a="1"/>
  <c r="F137" i="89" a="1"/>
  <c r="AA137" i="89" l="1"/>
  <c r="M137" i="89"/>
  <c r="F137" i="89"/>
  <c r="N137" i="89"/>
  <c r="Z137" i="89" s="1" a="1"/>
  <c r="Z137" i="89" l="1"/>
  <c r="P137" i="89"/>
  <c r="Q137" i="89" l="1"/>
  <c r="S137" i="89" a="1"/>
  <c r="S137" i="89" l="1"/>
  <c r="R137" i="89" a="1"/>
  <c r="R137" i="89" l="1"/>
  <c r="AC137" i="89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I136" i="89"/>
  <c r="H136" i="89"/>
  <c r="AA136" i="89" a="1"/>
  <c r="F136" i="89" a="1"/>
  <c r="AA136" i="89" l="1"/>
  <c r="M136" i="89"/>
  <c r="F136" i="89"/>
  <c r="AG136" i="89"/>
  <c r="I139" i="89"/>
  <c r="I140" i="89" s="1"/>
  <c r="N136" i="89"/>
  <c r="Z136" i="89" s="1" a="1"/>
  <c r="Z136" i="89" l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L133" i="89"/>
  <c r="K131" i="89"/>
  <c r="M129" i="89"/>
  <c r="I129" i="89"/>
  <c r="AA129" i="89" a="1"/>
  <c r="F129" i="89" a="1"/>
  <c r="AA129" i="89" l="1"/>
  <c r="F129" i="89"/>
  <c r="I131" i="89"/>
  <c r="I132" i="89" s="1"/>
  <c r="K132" i="89"/>
  <c r="K133" i="89"/>
  <c r="N129" i="89"/>
  <c r="Z129" i="89" s="1" a="1"/>
  <c r="Z129" i="89" l="1"/>
  <c r="P129" i="89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I123" i="89"/>
  <c r="H123" i="89"/>
  <c r="AA123" i="89" a="1"/>
  <c r="F123" i="89" a="1"/>
  <c r="AA123" i="89" l="1"/>
  <c r="F123" i="89"/>
  <c r="AG123" i="89"/>
  <c r="N123" i="89"/>
  <c r="Z123" i="89" s="1" a="1"/>
  <c r="Z123" i="89" l="1"/>
  <c r="P123" i="89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AA122" i="89" a="1"/>
  <c r="F122" i="89" a="1"/>
  <c r="AA122" i="89" l="1"/>
  <c r="F122" i="89"/>
  <c r="I124" i="89"/>
  <c r="I125" i="89" s="1"/>
  <c r="K125" i="89"/>
  <c r="K126" i="89"/>
  <c r="N122" i="89"/>
  <c r="Z122" i="89" s="1" a="1"/>
  <c r="Z122" i="89" l="1"/>
  <c r="P122" i="89"/>
  <c r="Q122" i="89" s="1"/>
  <c r="Q124" i="89" s="1"/>
  <c r="D121" i="89" l="1"/>
  <c r="I119" i="89"/>
  <c r="S122" i="89" a="1"/>
  <c r="S122" i="89" l="1"/>
  <c r="R122" i="89" a="1"/>
  <c r="R122" i="89" l="1"/>
  <c r="AC122" i="89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I116" i="89"/>
  <c r="H116" i="89"/>
  <c r="AA116" i="89" a="1"/>
  <c r="F116" i="89" a="1"/>
  <c r="AA116" i="89" l="1"/>
  <c r="F116" i="89"/>
  <c r="AG116" i="89"/>
  <c r="N116" i="89"/>
  <c r="Z116" i="89" s="1" a="1"/>
  <c r="Z116" i="89" l="1"/>
  <c r="P116" i="89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M115" i="89"/>
  <c r="I115" i="89"/>
  <c r="AA115" i="89" a="1"/>
  <c r="F115" i="89" a="1"/>
  <c r="AA115" i="89" l="1"/>
  <c r="F115" i="89"/>
  <c r="I117" i="89"/>
  <c r="I118" i="89" s="1"/>
  <c r="N115" i="89"/>
  <c r="Z115" i="89" s="1" a="1"/>
  <c r="Z115" i="89" l="1"/>
  <c r="P115" i="89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H109" i="89"/>
  <c r="F109" i="89" a="1"/>
  <c r="F109" i="89" l="1"/>
  <c r="AG109" i="89"/>
  <c r="I109" i="89"/>
  <c r="M109" i="89"/>
  <c r="AA109" i="89" a="1"/>
  <c r="N109" i="89"/>
  <c r="Z109" i="89" s="1" a="1"/>
  <c r="Z109" i="89" l="1"/>
  <c r="AA109" i="89"/>
  <c r="P109" i="89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AA108" i="89" a="1"/>
  <c r="F108" i="89" a="1"/>
  <c r="AA108" i="89" l="1"/>
  <c r="F108" i="89"/>
  <c r="I110" i="89"/>
  <c r="I111" i="89" s="1"/>
  <c r="N108" i="89"/>
  <c r="Z108" i="89" s="1" a="1"/>
  <c r="Z108" i="89" l="1"/>
  <c r="P108" i="89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/>
  <c r="I102" i="89"/>
  <c r="H102" i="89"/>
  <c r="AA102" i="89" a="1"/>
  <c r="AA102" i="89" l="1"/>
  <c r="AG102" i="89"/>
  <c r="P102" i="89"/>
  <c r="Q102" i="89" s="1"/>
  <c r="AG101" i="89" l="1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AA101" i="89" a="1"/>
  <c r="AA101" i="89" l="1"/>
  <c r="I103" i="89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AA95" i="89" a="1"/>
  <c r="AA95" i="89" l="1"/>
  <c r="I97" i="89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/>
  <c r="I90" i="89"/>
  <c r="H90" i="89"/>
  <c r="AA90" i="89" a="1"/>
  <c r="F90" i="89" a="1"/>
  <c r="AA90" i="89" l="1"/>
  <c r="F90" i="89"/>
  <c r="AG90" i="89"/>
  <c r="N90" i="89"/>
  <c r="Z90" i="89" s="1" a="1"/>
  <c r="Z90" i="89" l="1"/>
  <c r="P90" i="89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AA89" i="89" a="1"/>
  <c r="F89" i="89" a="1"/>
  <c r="AA89" i="89" l="1"/>
  <c r="M89" i="89"/>
  <c r="F89" i="89"/>
  <c r="N89" i="89"/>
  <c r="Z89" i="89" s="1" a="1"/>
  <c r="Z89" i="89" l="1"/>
  <c r="P89" i="89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W82" i="89" a="1"/>
  <c r="W82" i="89" l="1"/>
  <c r="L82" i="89" a="1"/>
  <c r="L82" i="89" l="1"/>
  <c r="K82" i="89" a="1"/>
  <c r="K82" i="89" l="1"/>
  <c r="M82" i="89" s="1"/>
  <c r="H82" i="89"/>
  <c r="I82" i="89" l="1"/>
  <c r="AE82" i="89"/>
  <c r="AA82" i="89" a="1"/>
  <c r="AA82" i="89" l="1"/>
  <c r="P82" i="89"/>
  <c r="Q82" i="89" s="1"/>
  <c r="AE81" i="89"/>
  <c r="S82" i="89" a="1"/>
  <c r="S82" i="89" l="1"/>
  <c r="R82" i="89" a="1"/>
  <c r="R82" i="89" l="1"/>
  <c r="AC82" i="89"/>
  <c r="Y82" i="89"/>
  <c r="U82" i="89"/>
  <c r="J82" i="89"/>
  <c r="W81" i="89"/>
  <c r="T83" i="89" l="1"/>
  <c r="K81" i="89"/>
  <c r="L81" i="89"/>
  <c r="K84" i="89" l="1"/>
  <c r="K83" i="89"/>
  <c r="M81" i="89"/>
  <c r="I81" i="89"/>
  <c r="AA81" i="89" a="1"/>
  <c r="F81" i="89"/>
  <c r="AA81" i="89" l="1"/>
  <c r="I83" i="89"/>
  <c r="I84" i="89" s="1"/>
  <c r="N81" i="89" a="1"/>
  <c r="N81" i="89" l="1"/>
  <c r="Z81" i="89" a="1"/>
  <c r="Z81" i="89" l="1"/>
  <c r="P81" i="89"/>
  <c r="Q81" i="89" s="1"/>
  <c r="Q83" i="89" s="1"/>
  <c r="AC81" i="89"/>
  <c r="Y81" i="89"/>
  <c r="U81" i="89"/>
  <c r="J81" i="89"/>
  <c r="Y84" i="89" l="1"/>
  <c r="Y85" i="89" s="1"/>
  <c r="W76" i="89" a="1"/>
  <c r="W76" i="89" l="1"/>
  <c r="L76" i="89" a="1"/>
  <c r="L76" i="89" l="1"/>
  <c r="K76" i="89" a="1"/>
  <c r="K76" i="89" l="1"/>
  <c r="M76" i="89"/>
  <c r="I76" i="89"/>
  <c r="H76" i="89"/>
  <c r="AA76" i="89" a="1"/>
  <c r="AA76" i="89" l="1"/>
  <c r="P76" i="89"/>
  <c r="Q76" i="89" s="1"/>
  <c r="AE76" i="89"/>
  <c r="AE75" i="89" l="1"/>
  <c r="S76" i="89" a="1"/>
  <c r="S76" i="89" l="1"/>
  <c r="R76" i="89" a="1"/>
  <c r="R76" i="89" l="1"/>
  <c r="AC76" i="89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I75" i="89"/>
  <c r="AA75" i="89" a="1"/>
  <c r="F75" i="89" a="1"/>
  <c r="AA75" i="89" l="1"/>
  <c r="M75" i="89"/>
  <c r="F75" i="89"/>
  <c r="I77" i="89"/>
  <c r="I78" i="89" s="1"/>
  <c r="K85" i="89"/>
  <c r="N75" i="89" a="1"/>
  <c r="N75" i="89" l="1"/>
  <c r="P75" i="89"/>
  <c r="Q75" i="89" s="1"/>
  <c r="Q77" i="89" s="1"/>
  <c r="Z75" i="89" a="1"/>
  <c r="Z75" i="89" l="1"/>
  <c r="L74" i="89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/>
  <c r="I69" i="89"/>
  <c r="H69" i="89"/>
  <c r="AA69" i="89" a="1"/>
  <c r="F69" i="89" a="1"/>
  <c r="AA69" i="89" l="1"/>
  <c r="F69" i="89"/>
  <c r="AE69" i="89"/>
  <c r="N69" i="89" a="1"/>
  <c r="N69" i="89" l="1"/>
  <c r="Z69" i="89" a="1"/>
  <c r="Z69" i="89" l="1"/>
  <c r="P69" i="89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AA68" i="89" a="1"/>
  <c r="F68" i="89" a="1"/>
  <c r="AA68" i="89" l="1"/>
  <c r="M68" i="89"/>
  <c r="F68" i="89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AA63" i="89" a="1"/>
  <c r="N63" i="89" a="1"/>
  <c r="AA63" i="89" l="1"/>
  <c r="N63" i="89"/>
  <c r="P63" i="89" s="1"/>
  <c r="Q63" i="89" s="1"/>
  <c r="Z63" i="89" a="1"/>
  <c r="Z63" i="89" l="1"/>
  <c r="AE62" i="89"/>
  <c r="AC63" i="89" l="1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P62" i="89" s="1"/>
  <c r="Z62" i="89" a="1"/>
  <c r="Z62" i="89" l="1"/>
  <c r="P72" i="89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/>
  <c r="I56" i="89"/>
  <c r="H56" i="89"/>
  <c r="AA56" i="89" a="1"/>
  <c r="F56" i="89" a="1"/>
  <c r="AA56" i="89" l="1"/>
  <c r="F56" i="89"/>
  <c r="AE56" i="89"/>
  <c r="N56" i="89" a="1"/>
  <c r="N56" i="89" l="1"/>
  <c r="Z56" i="89" a="1"/>
  <c r="Z56" i="89" l="1"/>
  <c r="P56" i="89"/>
  <c r="Q56" i="89" s="1"/>
  <c r="AE55" i="89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G57" i="89"/>
  <c r="I58" i="89"/>
  <c r="Z55" i="89" a="1"/>
  <c r="Z55" i="89" l="1"/>
  <c r="P55" i="89"/>
  <c r="Q55" i="89" s="1"/>
  <c r="Q57" i="89" s="1"/>
  <c r="P54" i="89" l="1"/>
  <c r="A51" i="89"/>
  <c r="AC55" i="89" l="1"/>
  <c r="Y55" i="89"/>
  <c r="U55" i="89"/>
  <c r="J55" i="89"/>
  <c r="J54" i="89" s="1"/>
  <c r="Y58" i="89" l="1"/>
  <c r="Y59" i="89" s="1"/>
  <c r="M50" i="89" l="1"/>
  <c r="I50" i="89"/>
  <c r="AA50" i="89" a="1"/>
  <c r="AA50" i="89" l="1"/>
  <c r="AE50" i="89"/>
  <c r="N50" i="89" a="1"/>
  <c r="N50" i="89" l="1"/>
  <c r="Z50" i="89" a="1"/>
  <c r="Z50" i="89" l="1"/>
  <c r="P50" i="89"/>
  <c r="Q50" i="89" s="1"/>
  <c r="AE49" i="89"/>
  <c r="AC50" i="89" l="1"/>
  <c r="Y50" i="89"/>
  <c r="U50" i="89"/>
  <c r="J50" i="89"/>
  <c r="T51" i="89" l="1"/>
  <c r="I52" i="89" s="1"/>
  <c r="K52" i="89" l="1"/>
  <c r="K51" i="89"/>
  <c r="I49" i="89" l="1"/>
  <c r="M49" i="89"/>
  <c r="K60" i="89"/>
  <c r="K59" i="89"/>
  <c r="AA49" i="89" a="1"/>
  <c r="N49" i="89" a="1"/>
  <c r="AA49" i="89" l="1"/>
  <c r="N49" i="89"/>
  <c r="Z49" i="89" a="1"/>
  <c r="Z49" i="89" l="1"/>
  <c r="P49" i="89"/>
  <c r="Q49" i="89" s="1"/>
  <c r="Q51" i="89" s="1"/>
  <c r="I48" i="89"/>
  <c r="L46" i="89"/>
  <c r="K46" i="89"/>
  <c r="AE40" i="89"/>
  <c r="P47" i="89" l="1"/>
  <c r="AC49" i="89"/>
  <c r="Y49" i="89"/>
  <c r="U49" i="89"/>
  <c r="J49" i="89"/>
  <c r="Y51" i="89" l="1"/>
  <c r="Z52" i="89" s="1"/>
  <c r="M40" i="89" l="1"/>
  <c r="I40" i="89"/>
  <c r="AA40" i="89" a="1"/>
  <c r="N40" i="89" a="1"/>
  <c r="AA40" i="89" l="1"/>
  <c r="N40" i="89"/>
  <c r="P40" i="89"/>
  <c r="Q40" i="89" s="1"/>
  <c r="Z40" i="89" a="1"/>
  <c r="Z40" i="89" l="1"/>
  <c r="AE39" i="89"/>
  <c r="AC40" i="89" l="1"/>
  <c r="Y40" i="89"/>
  <c r="U40" i="89"/>
  <c r="J40" i="89"/>
  <c r="A40" i="89"/>
  <c r="W43" i="89" l="1"/>
  <c r="T41" i="89" l="1"/>
  <c r="K42" i="89" l="1"/>
  <c r="K41" i="89"/>
  <c r="M39" i="89"/>
  <c r="I39" i="89"/>
  <c r="AA39" i="89" a="1"/>
  <c r="AA39" i="89" l="1"/>
  <c r="I41" i="89"/>
  <c r="I42" i="89" s="1"/>
  <c r="N39" i="89" a="1"/>
  <c r="N39" i="89" l="1"/>
  <c r="P39" i="89"/>
  <c r="Z39" i="89" a="1"/>
  <c r="Z39" i="89" l="1"/>
  <c r="P42" i="89"/>
  <c r="Q39" i="89"/>
  <c r="Q41" i="89" s="1"/>
  <c r="AC39" i="89" l="1"/>
  <c r="Y39" i="89"/>
  <c r="U39" i="89"/>
  <c r="J39" i="89"/>
  <c r="J38" i="89" s="1"/>
  <c r="A39" i="89"/>
  <c r="Y41" i="89" l="1"/>
  <c r="Y42" i="89" l="1"/>
  <c r="P43" i="89"/>
  <c r="M34" i="89" l="1"/>
  <c r="I34" i="89" l="1"/>
  <c r="AE34" i="89"/>
  <c r="AA34" i="89" a="1"/>
  <c r="N34" i="89" a="1"/>
  <c r="AA34" i="89" l="1"/>
  <c r="N34" i="89"/>
  <c r="P34" i="89"/>
  <c r="Q34" i="89" s="1"/>
  <c r="Z34" i="89" a="1"/>
  <c r="Z34" i="89" l="1"/>
  <c r="AE33" i="89"/>
  <c r="AC34" i="89" l="1"/>
  <c r="Y34" i="89"/>
  <c r="U34" i="89"/>
  <c r="J34" i="89"/>
  <c r="W37" i="89" l="1"/>
  <c r="T35" i="89" l="1"/>
  <c r="K36" i="89" l="1"/>
  <c r="K35" i="89"/>
  <c r="I33" i="89"/>
  <c r="AA33" i="89" a="1"/>
  <c r="AA33" i="89" l="1"/>
  <c r="M33" i="89"/>
  <c r="K37" i="89"/>
  <c r="I35" i="89"/>
  <c r="K44" i="89"/>
  <c r="K43" i="89"/>
  <c r="L44" i="89"/>
  <c r="N33" i="89" a="1"/>
  <c r="N33" i="89" l="1"/>
  <c r="I36" i="89"/>
  <c r="Z33" i="89" a="1"/>
  <c r="Z33" i="89" l="1"/>
  <c r="P33" i="89"/>
  <c r="P36" i="89" l="1"/>
  <c r="Q33" i="89"/>
  <c r="Q35" i="89" s="1"/>
  <c r="AE27" i="89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A27" i="89" a="1"/>
  <c r="N27" i="89" a="1"/>
  <c r="AA27" i="89" l="1"/>
  <c r="N27" i="89"/>
  <c r="Z27" i="89" a="1"/>
  <c r="Z27" i="89" l="1"/>
  <c r="P27" i="89"/>
  <c r="Q27" i="89" s="1"/>
  <c r="A27" i="89"/>
  <c r="AE26" i="89"/>
  <c r="AC27" i="89" l="1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30" i="89"/>
  <c r="K29" i="89"/>
  <c r="AA26" i="89" a="1"/>
  <c r="N26" i="89" a="1"/>
  <c r="AA26" i="89" l="1"/>
  <c r="I28" i="89"/>
  <c r="I29" i="89" s="1"/>
  <c r="K31" i="89"/>
  <c r="N26" i="89"/>
  <c r="Z26" i="89" a="1"/>
  <c r="Z26" i="89" l="1"/>
  <c r="P26" i="89"/>
  <c r="P29" i="89" l="1"/>
  <c r="Q26" i="89"/>
  <c r="Q28" i="89" s="1"/>
  <c r="A26" i="89"/>
  <c r="A29" i="89" s="1"/>
  <c r="I25" i="89"/>
  <c r="AL24" i="89"/>
  <c r="AK24" i="89"/>
  <c r="AL21" i="89"/>
  <c r="AK21" i="89"/>
  <c r="AJ20" i="89"/>
  <c r="AC26" i="89" l="1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I20" i="89" s="1"/>
  <c r="H20" i="89"/>
  <c r="AA20" i="89" a="1"/>
  <c r="F20" i="89" a="1"/>
  <c r="AA20" i="89" l="1"/>
  <c r="M20" i="89"/>
  <c r="F20" i="89"/>
  <c r="AE20" i="89"/>
  <c r="I23" i="89"/>
  <c r="N20" i="89" a="1"/>
  <c r="N20" i="89" l="1"/>
  <c r="P20" i="89" s="1"/>
  <c r="Q20" i="89" s="1"/>
  <c r="Z20" i="89" a="1"/>
  <c r="Z20" i="89" l="1"/>
  <c r="AJ19" i="89"/>
  <c r="AE19" i="89"/>
  <c r="AC20" i="89" l="1"/>
  <c r="Y20" i="89"/>
  <c r="U20" i="89"/>
  <c r="J20" i="89"/>
  <c r="W19" i="89"/>
  <c r="T21" i="89" l="1"/>
  <c r="L19" i="89"/>
  <c r="K19" i="89"/>
  <c r="K22" i="89" l="1"/>
  <c r="K23" i="89"/>
  <c r="L23" i="89"/>
  <c r="K21" i="89"/>
  <c r="M19" i="89"/>
  <c r="I19" i="89"/>
  <c r="AA19" i="89" a="1"/>
  <c r="F19" i="89"/>
  <c r="AA19" i="89" l="1"/>
  <c r="I21" i="89"/>
  <c r="I22" i="89" s="1"/>
  <c r="J19" i="89"/>
  <c r="G18" i="89"/>
  <c r="N19" i="89" a="1"/>
  <c r="N19" i="89" l="1"/>
  <c r="Y19" i="89"/>
  <c r="U19" i="89"/>
  <c r="Z19" i="89" a="1"/>
  <c r="Z19" i="89" l="1"/>
  <c r="AC19" i="89"/>
  <c r="P19" i="89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Z14" i="89" a="1"/>
  <c r="Z14" i="89" l="1"/>
  <c r="P14" i="89"/>
  <c r="Q14" i="89" s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F13" i="89" a="1"/>
  <c r="I13" i="89" l="1"/>
  <c r="F13" i="89"/>
  <c r="K16" i="89"/>
  <c r="K17" i="89"/>
  <c r="AA13" i="89" a="1"/>
  <c r="N13" i="89" a="1"/>
  <c r="AA13" i="89" l="1"/>
  <c r="I15" i="89"/>
  <c r="I16" i="89" s="1"/>
  <c r="N13" i="89"/>
  <c r="P13" i="89"/>
  <c r="Z13" i="89" a="1"/>
  <c r="Z13" i="89" l="1"/>
  <c r="P16" i="89"/>
  <c r="Q13" i="89"/>
  <c r="Q15" i="89" s="1"/>
  <c r="Q17" i="89" s="1"/>
  <c r="AI12" i="89"/>
  <c r="AH12" i="89"/>
  <c r="AI11" i="89"/>
  <c r="AH11" i="89"/>
  <c r="AJ11" i="89" s="1"/>
  <c r="AC13" i="89" l="1"/>
  <c r="Y13" i="89"/>
  <c r="U13" i="89"/>
  <c r="J13" i="89"/>
  <c r="J17" i="89" s="1"/>
  <c r="Y15" i="89" l="1"/>
  <c r="Y16" i="89" l="1"/>
  <c r="P17" i="89"/>
  <c r="M8" i="89" l="1"/>
  <c r="I8" i="89"/>
  <c r="H8" i="89"/>
  <c r="AA8" i="89" a="1"/>
  <c r="AA8" i="89" l="1"/>
  <c r="AF8" i="89"/>
  <c r="AE8" i="89"/>
  <c r="N8" i="89" a="1"/>
  <c r="N8" i="89" l="1"/>
  <c r="Z8" i="89" a="1"/>
  <c r="Z8" i="89" l="1"/>
  <c r="P8" i="89"/>
  <c r="Q8" i="89" s="1"/>
  <c r="AF7" i="89"/>
  <c r="AE7" i="89"/>
  <c r="W7" i="89" a="1"/>
  <c r="W7" i="89" l="1"/>
  <c r="AC8" i="89"/>
  <c r="Y8" i="89"/>
  <c r="U8" i="89"/>
  <c r="J8" i="89"/>
  <c r="T9" i="89" l="1"/>
  <c r="L7" i="89" a="1"/>
  <c r="L7" i="89" l="1"/>
  <c r="K7" i="89" a="1"/>
  <c r="K7" i="89" l="1"/>
  <c r="M7" i="89" s="1"/>
  <c r="L11" i="89"/>
  <c r="K9" i="89"/>
  <c r="F7" i="89" a="1"/>
  <c r="I7" i="89" l="1"/>
  <c r="F7" i="89"/>
  <c r="K11" i="89"/>
  <c r="K10" i="89"/>
  <c r="K18" i="89" s="1"/>
  <c r="AA7" i="89"/>
  <c r="N7" i="89" a="1"/>
  <c r="I9" i="89" l="1"/>
  <c r="I10" i="89" s="1"/>
  <c r="N7" i="89"/>
  <c r="K5" i="89"/>
  <c r="H45" i="2"/>
  <c r="H44" i="2"/>
  <c r="H43" i="2"/>
  <c r="H42" i="2"/>
  <c r="J40" i="2"/>
  <c r="J39" i="2"/>
  <c r="J38" i="2"/>
  <c r="J37" i="2"/>
  <c r="J36" i="2"/>
  <c r="J35" i="2"/>
  <c r="J34" i="2"/>
  <c r="J33" i="2"/>
  <c r="I31" i="2"/>
  <c r="I30" i="2"/>
  <c r="BA25" i="2"/>
  <c r="Z7" i="89"/>
  <c r="J44" i="2" l="1"/>
  <c r="I44" i="2"/>
  <c r="J43" i="2"/>
  <c r="I43" i="2" s="1"/>
  <c r="J42" i="2"/>
  <c r="I42" i="2" s="1"/>
  <c r="J45" i="2"/>
  <c r="I45" i="2" s="1"/>
  <c r="P7" i="89"/>
  <c r="P10" i="89" l="1"/>
  <c r="Q7" i="89"/>
  <c r="Q9" i="89" s="1"/>
  <c r="AC7" i="89"/>
  <c r="Y7" i="89"/>
  <c r="U7" i="89"/>
  <c r="J7" i="89"/>
  <c r="J11" i="89" s="1"/>
  <c r="Y9" i="89" l="1"/>
  <c r="Y10" i="89" s="1"/>
  <c r="Q11" i="89"/>
  <c r="Q5" i="89"/>
  <c r="P11" i="89" l="1"/>
  <c r="R25" i="2" l="1"/>
  <c r="BB25" i="2" l="1"/>
  <c r="BC25" i="2" s="1"/>
  <c r="O25" i="2" l="1"/>
  <c r="S25" i="2" a="1"/>
  <c r="S25" i="2" l="1"/>
  <c r="U25" i="2" s="1"/>
  <c r="AO25" i="2"/>
  <c r="AP25" i="2"/>
  <c r="Z25" i="2"/>
  <c r="AV25" i="2" s="1" a="1"/>
  <c r="AV25" i="2" l="1"/>
  <c r="AE25" i="2"/>
  <c r="AT25" i="2"/>
  <c r="AS25" i="2"/>
  <c r="AL25" i="2"/>
  <c r="AB25" i="2"/>
  <c r="M25" i="2"/>
  <c r="BA24" i="2"/>
  <c r="AM25" i="2" l="1"/>
  <c r="X25" i="2"/>
  <c r="Y25" i="2" s="1"/>
  <c r="I29" i="2" l="1"/>
  <c r="R24" i="2" l="1"/>
  <c r="BB24" i="2" l="1"/>
  <c r="BC24" i="2" s="1"/>
  <c r="L29" i="2" l="1"/>
  <c r="O24" i="2"/>
  <c r="S24" i="2" a="1"/>
  <c r="S24" i="2" l="1"/>
  <c r="AO24" i="2" s="1"/>
  <c r="U24" i="2"/>
  <c r="AP24" i="2"/>
  <c r="Z24" i="2"/>
  <c r="AV24" i="2" s="1" a="1"/>
  <c r="AV24" i="2" l="1"/>
  <c r="AE24" i="2"/>
  <c r="AT24" i="2"/>
  <c r="AS24" i="2"/>
  <c r="AL24" i="2"/>
  <c r="AB24" i="2"/>
  <c r="M24" i="2"/>
  <c r="BB22" i="2"/>
  <c r="BA22" i="2"/>
  <c r="T49" i="1" l="1"/>
  <c r="BC22" i="2"/>
  <c r="AM24" i="2"/>
  <c r="X24" i="2"/>
  <c r="Y24" i="2" s="1"/>
  <c r="Q22" i="2" a="1"/>
  <c r="Q22" i="2" l="1"/>
  <c r="P22" i="2" a="1"/>
  <c r="P22" i="2" l="1"/>
  <c r="R22" i="2" s="1"/>
  <c r="G22" i="2" a="1"/>
  <c r="G22" i="2" l="1"/>
  <c r="O22" i="2"/>
  <c r="S22" i="2" a="1"/>
  <c r="S22" i="2" l="1"/>
  <c r="AP22" i="2" s="1"/>
  <c r="AO22" i="2"/>
  <c r="U22" i="2"/>
  <c r="Z22" i="2"/>
  <c r="AV22" i="2" s="1" a="1"/>
  <c r="AV22" i="2" l="1"/>
  <c r="AE22" i="2"/>
  <c r="AS22" i="2"/>
  <c r="AT22" i="2"/>
  <c r="AL22" i="2"/>
  <c r="AB22" i="2"/>
  <c r="M22" i="2"/>
  <c r="BA21" i="2"/>
  <c r="AM22" i="2" l="1"/>
  <c r="X22" i="2"/>
  <c r="Y22" i="2" s="1"/>
  <c r="AF21" i="2" a="1"/>
  <c r="AF21" i="2" l="1"/>
  <c r="Q21" i="2" a="1"/>
  <c r="Q21" i="2" l="1"/>
  <c r="P21" i="2" a="1"/>
  <c r="P21" i="2" l="1"/>
  <c r="R21" i="2" s="1"/>
  <c r="BB21" i="2" l="1"/>
  <c r="BC21" i="2" s="1"/>
  <c r="G21" i="2" a="1"/>
  <c r="G21" i="2" l="1"/>
  <c r="O21" i="2"/>
  <c r="S21" i="2" a="1"/>
  <c r="S21" i="2" l="1"/>
  <c r="U21" i="2" s="1"/>
  <c r="Z21" i="2"/>
  <c r="AV21" i="2" s="1" a="1"/>
  <c r="AO21" i="2" l="1"/>
  <c r="AV21" i="2"/>
  <c r="AP21" i="2"/>
  <c r="AE21" i="2"/>
  <c r="AS21" i="2"/>
  <c r="AT21" i="2"/>
  <c r="AL21" i="2"/>
  <c r="AB21" i="2"/>
  <c r="M21" i="2"/>
  <c r="BA20" i="2"/>
  <c r="AM21" i="2" l="1"/>
  <c r="X21" i="2"/>
  <c r="Y21" i="2" s="1"/>
  <c r="AN20" i="2" a="1"/>
  <c r="AN20" i="2" l="1"/>
  <c r="AF20" i="2" a="1"/>
  <c r="AF20" i="2" l="1"/>
  <c r="Q20" i="2" a="1"/>
  <c r="Q20" i="2" l="1"/>
  <c r="P20" i="2" a="1"/>
  <c r="P20" i="2" l="1"/>
  <c r="R20" i="2" s="1"/>
  <c r="L20" i="2" a="1"/>
  <c r="L20" i="2" l="1"/>
  <c r="BB20" i="2"/>
  <c r="BC20" i="2" s="1"/>
  <c r="G20" i="2" a="1"/>
  <c r="G20" i="2" l="1"/>
  <c r="O20" i="2"/>
  <c r="S20" i="2" a="1"/>
  <c r="S20" i="2" l="1"/>
  <c r="AO20" i="2" s="1"/>
  <c r="U20" i="2"/>
  <c r="Z20" i="2"/>
  <c r="AV20" i="2" s="1" a="1"/>
  <c r="AV20" i="2" l="1"/>
  <c r="AP20" i="2"/>
  <c r="AE20" i="2"/>
  <c r="AT20" i="2"/>
  <c r="AS20" i="2"/>
  <c r="AL20" i="2"/>
  <c r="AB20" i="2"/>
  <c r="M20" i="2"/>
  <c r="BA19" i="2"/>
  <c r="AM20" i="2" l="1"/>
  <c r="X20" i="2"/>
  <c r="Y20" i="2" s="1"/>
  <c r="AF19" i="2" a="1"/>
  <c r="AF19" i="2" l="1"/>
  <c r="Q19" i="2" a="1"/>
  <c r="Q19" i="2" l="1"/>
  <c r="P19" i="2" a="1"/>
  <c r="P19" i="2" l="1"/>
  <c r="R19" i="2" s="1"/>
  <c r="BB19" i="2" l="1"/>
  <c r="BC19" i="2" s="1"/>
  <c r="G19" i="2" a="1"/>
  <c r="G19" i="2" l="1"/>
  <c r="K31" i="2"/>
  <c r="L31" i="2"/>
  <c r="O19" i="2"/>
  <c r="S19" i="2" a="1"/>
  <c r="S19" i="2" l="1"/>
  <c r="AP19" i="2" s="1"/>
  <c r="Z19" i="2"/>
  <c r="AV19" i="2" s="1" a="1"/>
  <c r="AV19" i="2" l="1"/>
  <c r="AO19" i="2"/>
  <c r="U19" i="2"/>
  <c r="AE19" i="2"/>
  <c r="AT19" i="2"/>
  <c r="AS19" i="2"/>
  <c r="AL19" i="2"/>
  <c r="AB19" i="2"/>
  <c r="M19" i="2"/>
  <c r="T51" i="1" l="1"/>
  <c r="AM19" i="2"/>
  <c r="X19" i="2"/>
  <c r="Y19" i="2" s="1"/>
  <c r="J42" i="531" l="1"/>
  <c r="BA17" i="2" l="1"/>
  <c r="AF17" i="2" a="1"/>
  <c r="AF17" i="2" l="1"/>
  <c r="Q17" i="2" a="1"/>
  <c r="Q17" i="2" l="1"/>
  <c r="P17" i="2" a="1"/>
  <c r="P17" i="2" l="1"/>
  <c r="R17" i="2" s="1"/>
  <c r="BB17" i="2" l="1"/>
  <c r="BC17" i="2" s="1"/>
  <c r="G17" i="2" a="1"/>
  <c r="G17" i="2" l="1"/>
  <c r="O17" i="2"/>
  <c r="S17" i="2" a="1"/>
  <c r="S17" i="2" l="1"/>
  <c r="AO17" i="2" s="1"/>
  <c r="Z17" i="2"/>
  <c r="AV17" i="2" s="1" a="1"/>
  <c r="AV17" i="2" l="1"/>
  <c r="U17" i="2"/>
  <c r="AP17" i="2"/>
  <c r="AE17" i="2"/>
  <c r="AS17" i="2"/>
  <c r="AT17" i="2"/>
  <c r="AL17" i="2"/>
  <c r="AB17" i="2"/>
  <c r="M17" i="2"/>
  <c r="BA16" i="2"/>
  <c r="AM17" i="2" l="1"/>
  <c r="X17" i="2"/>
  <c r="Y17" i="2" s="1"/>
  <c r="AF16" i="2" a="1"/>
  <c r="AF16" i="2" l="1"/>
  <c r="Q16" i="2" a="1"/>
  <c r="Q16" i="2" l="1"/>
  <c r="P16" i="2" a="1"/>
  <c r="P16" i="2" l="1"/>
  <c r="R16" i="2" s="1"/>
  <c r="BB16" i="2" l="1"/>
  <c r="BC16" i="2" s="1"/>
  <c r="G16" i="2" a="1"/>
  <c r="G16" i="2" l="1"/>
  <c r="O16" i="2"/>
  <c r="S16" i="2" a="1"/>
  <c r="S16" i="2" l="1"/>
  <c r="AO16" i="2" s="1"/>
  <c r="Z16" i="2"/>
  <c r="AV16" i="2" s="1" a="1"/>
  <c r="AV16" i="2" l="1"/>
  <c r="AP16" i="2"/>
  <c r="U16" i="2"/>
  <c r="AE16" i="2"/>
  <c r="AS16" i="2"/>
  <c r="AT16" i="2"/>
  <c r="AL16" i="2"/>
  <c r="AB16" i="2"/>
  <c r="M16" i="2"/>
  <c r="BA15" i="2"/>
  <c r="AM16" i="2" l="1"/>
  <c r="X16" i="2"/>
  <c r="Y16" i="2" s="1"/>
  <c r="R15" i="2" l="1"/>
  <c r="BB15" i="2" l="1"/>
  <c r="BC15" i="2" s="1"/>
  <c r="S15" i="2" a="1"/>
  <c r="S15" i="2" l="1"/>
  <c r="AP15" i="2" s="1"/>
  <c r="O15" i="2"/>
  <c r="AO15" i="2" l="1"/>
  <c r="U15" i="2"/>
  <c r="AE15" i="2" l="1"/>
  <c r="AS15" i="2"/>
  <c r="AT15" i="2"/>
  <c r="AL15" i="2"/>
  <c r="AB15" i="2"/>
  <c r="M15" i="2"/>
  <c r="BA14" i="2"/>
  <c r="AM15" i="2" l="1"/>
  <c r="X15" i="2"/>
  <c r="Y15" i="2" s="1"/>
  <c r="R14" i="2" l="1"/>
  <c r="BB14" i="2" l="1"/>
  <c r="BC14" i="2" s="1"/>
  <c r="O14" i="2" l="1"/>
  <c r="S14" i="2" a="1"/>
  <c r="S14" i="2" l="1"/>
  <c r="U14" i="2" s="1"/>
  <c r="AO14" i="2"/>
  <c r="AP14" i="2"/>
  <c r="Z14" i="2"/>
  <c r="AV14" i="2" s="1" a="1"/>
  <c r="AV14" i="2" l="1"/>
  <c r="AE14" i="2"/>
  <c r="AT14" i="2"/>
  <c r="AS14" i="2"/>
  <c r="AL14" i="2"/>
  <c r="AB14" i="2"/>
  <c r="M14" i="2"/>
  <c r="AM14" i="2" l="1"/>
  <c r="X14" i="2"/>
  <c r="Y14" i="2" s="1"/>
  <c r="BA12" i="2" l="1"/>
  <c r="AF12" i="2" a="1"/>
  <c r="AF12" i="2" l="1"/>
  <c r="Q12" i="2" a="1"/>
  <c r="Q12" i="2" l="1"/>
  <c r="P12" i="2" a="1"/>
  <c r="P12" i="2" l="1"/>
  <c r="R12" i="2" s="1"/>
  <c r="BB12" i="2" l="1"/>
  <c r="BC12" i="2" s="1"/>
  <c r="G12" i="2" a="1"/>
  <c r="G12" i="2" l="1"/>
  <c r="O12" i="2"/>
  <c r="S12" i="2" a="1"/>
  <c r="S12" i="2" l="1"/>
  <c r="AO12" i="2" s="1"/>
  <c r="AP12" i="2"/>
  <c r="Z12" i="2"/>
  <c r="U12" i="2" l="1"/>
  <c r="AE12" i="2"/>
  <c r="AT12" i="2"/>
  <c r="AS12" i="2"/>
  <c r="AL12" i="2"/>
  <c r="AB12" i="2"/>
  <c r="J27" i="531" s="1"/>
  <c r="M12" i="2"/>
  <c r="BA11" i="2"/>
  <c r="AV12" i="2" a="1"/>
  <c r="AV12" i="2" l="1"/>
  <c r="T30" i="1"/>
  <c r="AM12" i="2"/>
  <c r="X12" i="2"/>
  <c r="Y12" i="2" s="1"/>
  <c r="R11" i="2" l="1"/>
  <c r="BB11" i="2" l="1"/>
  <c r="BC11" i="2" s="1"/>
  <c r="O11" i="2" l="1"/>
  <c r="S11" i="2" a="1"/>
  <c r="S11" i="2" l="1"/>
  <c r="AO11" i="2" s="1"/>
  <c r="AP11" i="2"/>
  <c r="U11" i="2"/>
  <c r="AE11" i="2" l="1"/>
  <c r="AS11" i="2"/>
  <c r="AT11" i="2"/>
  <c r="AL11" i="2"/>
  <c r="AB11" i="2"/>
  <c r="M11" i="2"/>
  <c r="BA10" i="2"/>
  <c r="AM11" i="2" l="1"/>
  <c r="X11" i="2"/>
  <c r="Y11" i="2" s="1"/>
  <c r="R10" i="2" l="1"/>
  <c r="BB10" i="2" l="1"/>
  <c r="BC10" i="2" s="1"/>
  <c r="O10" i="2" l="1"/>
  <c r="S10" i="2" a="1"/>
  <c r="S10" i="2" l="1"/>
  <c r="AO10" i="2" s="1"/>
  <c r="AP10" i="2"/>
  <c r="U10" i="2"/>
  <c r="AE10" i="2" l="1"/>
  <c r="AT10" i="2"/>
  <c r="AS10" i="2"/>
  <c r="AL10" i="2"/>
  <c r="AB10" i="2"/>
  <c r="M10" i="2"/>
  <c r="BA9" i="2"/>
  <c r="AM10" i="2" l="1"/>
  <c r="X10" i="2"/>
  <c r="Y10" i="2" s="1"/>
  <c r="R9" i="2" l="1"/>
  <c r="BB9" i="2" l="1"/>
  <c r="BC9" i="2" s="1"/>
  <c r="L30" i="2" l="1"/>
  <c r="O9" i="2"/>
  <c r="S9" i="2" a="1"/>
  <c r="S9" i="2" l="1"/>
  <c r="AO9" i="2" s="1"/>
  <c r="AP9" i="2"/>
  <c r="U9" i="2"/>
  <c r="Z9" i="2"/>
  <c r="AV9" i="2" s="1" a="1"/>
  <c r="AV9" i="2" l="1"/>
  <c r="AE9" i="2"/>
  <c r="AS9" i="2"/>
  <c r="AT9" i="2"/>
  <c r="AL9" i="2"/>
  <c r="AB9" i="2"/>
  <c r="M9" i="2"/>
  <c r="BA5" i="2"/>
  <c r="AM9" i="2" l="1"/>
  <c r="X9" i="2"/>
  <c r="Y9" i="2" s="1"/>
  <c r="AF5" i="2" a="1"/>
  <c r="AF5" i="2" l="1"/>
  <c r="Q5" i="2" a="1"/>
  <c r="Q5" i="2" l="1"/>
  <c r="P5" i="2" a="1"/>
  <c r="P5" i="2" l="1"/>
  <c r="R5" i="2" s="1"/>
  <c r="BB5" i="2" l="1"/>
  <c r="BC5" i="2" s="1"/>
  <c r="G5" i="2" a="1"/>
  <c r="G5" i="2" l="1"/>
  <c r="O5" i="2"/>
  <c r="S5" i="2" a="1"/>
  <c r="S5" i="2" l="1"/>
  <c r="AO5" i="2" s="1"/>
  <c r="AP5" i="2"/>
  <c r="U5" i="2"/>
  <c r="Z5" i="2"/>
  <c r="AE5" i="2" l="1"/>
  <c r="AS5" i="2"/>
  <c r="AT5" i="2"/>
  <c r="AL5" i="2"/>
  <c r="AB5" i="2"/>
  <c r="J63" i="531" s="1"/>
  <c r="M5" i="2"/>
  <c r="BA4" i="2"/>
  <c r="AV5" i="2" a="1"/>
  <c r="T47" i="1" l="1"/>
  <c r="AV5" i="2"/>
  <c r="AM5" i="2"/>
  <c r="X5" i="2"/>
  <c r="Y5" i="2" s="1"/>
  <c r="R4" i="2" l="1"/>
  <c r="BB4" i="2" l="1"/>
  <c r="BC4" i="2" s="1"/>
  <c r="O4" i="2" l="1"/>
  <c r="S4" i="2" a="1"/>
  <c r="S4" i="2" l="1"/>
  <c r="AO4" i="2" s="1"/>
  <c r="AP4" i="2"/>
  <c r="U4" i="2" l="1"/>
  <c r="AE4" i="2"/>
  <c r="AS4" i="2"/>
  <c r="AT4" i="2"/>
  <c r="AL4" i="2"/>
  <c r="AB4" i="2"/>
  <c r="M4" i="2"/>
  <c r="AM4" i="2" l="1"/>
  <c r="X4" i="2"/>
  <c r="Y4" i="2" s="1"/>
  <c r="J8" i="531" l="1"/>
  <c r="U2" i="2"/>
  <c r="R2" i="2"/>
  <c r="Q2" i="2" a="1"/>
  <c r="Q2" i="2" l="1"/>
  <c r="S2" i="2" s="1"/>
  <c r="P2" i="2" a="1"/>
  <c r="P2" i="2" l="1"/>
  <c r="I2" i="2" l="1"/>
  <c r="X1" i="2"/>
  <c r="R1" i="2"/>
  <c r="O1" i="2"/>
  <c r="H1" i="2" l="1"/>
  <c r="S57" i="1"/>
  <c r="Q57" i="1"/>
  <c r="N57" i="1" l="1"/>
  <c r="J57" i="1"/>
  <c r="T57" i="1" l="1"/>
  <c r="S56" i="1"/>
  <c r="Q56" i="1"/>
  <c r="N56" i="1" l="1"/>
  <c r="J56" i="1"/>
  <c r="T56" i="1" l="1"/>
  <c r="S55" i="1"/>
  <c r="Q55" i="1"/>
  <c r="N55" i="1" l="1"/>
  <c r="J55" i="1"/>
  <c r="T55" i="1" l="1"/>
  <c r="S54" i="1"/>
  <c r="Q54" i="1"/>
  <c r="N54" i="1" l="1"/>
  <c r="J54" i="1"/>
  <c r="T54" i="1" l="1"/>
  <c r="Q53" i="1"/>
  <c r="N53" i="1" l="1"/>
  <c r="J53" i="1"/>
  <c r="T53" i="1" l="1"/>
  <c r="Q52" i="1"/>
  <c r="C24" i="385" l="1"/>
  <c r="E24" i="385" s="1"/>
  <c r="Q53" i="385"/>
  <c r="N52" i="1"/>
  <c r="J52" i="1"/>
  <c r="S53" i="385" l="1"/>
  <c r="R53" i="385"/>
  <c r="T52" i="1"/>
  <c r="Q50" i="1" l="1"/>
  <c r="N50" i="1" l="1"/>
  <c r="J50" i="1"/>
  <c r="T50" i="1" l="1"/>
  <c r="Q48" i="1"/>
  <c r="N48" i="1" l="1"/>
  <c r="J48" i="1"/>
  <c r="T48" i="1" l="1"/>
  <c r="Q46" i="1"/>
  <c r="N46" i="1" l="1"/>
  <c r="J46" i="1"/>
  <c r="T46" i="1" l="1"/>
  <c r="N43" i="1" l="1"/>
  <c r="J43" i="1"/>
  <c r="T43" i="1" l="1"/>
  <c r="S42" i="1"/>
  <c r="Q42" i="1"/>
  <c r="N42" i="1" l="1"/>
  <c r="J42" i="1"/>
  <c r="T42" i="1" l="1"/>
  <c r="Q41" i="1"/>
  <c r="N41" i="1" l="1"/>
  <c r="J41" i="1"/>
  <c r="T41" i="1" l="1"/>
  <c r="S38" i="1"/>
  <c r="Q38" i="1"/>
  <c r="N38" i="1" l="1"/>
  <c r="J38" i="1"/>
  <c r="T38" i="1" l="1"/>
  <c r="S37" i="1"/>
  <c r="Q37" i="1"/>
  <c r="N37" i="1" l="1"/>
  <c r="J37" i="1"/>
  <c r="T37" i="1" l="1"/>
  <c r="Q32" i="1"/>
  <c r="N32" i="1" l="1"/>
  <c r="J32" i="1"/>
  <c r="T32" i="1" l="1"/>
  <c r="Q29" i="1"/>
  <c r="R14" i="531" l="1"/>
  <c r="P14" i="531" l="1"/>
  <c r="S14" i="531"/>
  <c r="T14" i="531"/>
  <c r="Q14" i="531"/>
  <c r="N29" i="1"/>
  <c r="J29" i="1"/>
  <c r="T29" i="1" l="1"/>
  <c r="Q27" i="1"/>
  <c r="N27" i="1" l="1"/>
  <c r="J27" i="1"/>
  <c r="T27" i="1" l="1"/>
  <c r="S25" i="1"/>
  <c r="Q25" i="1"/>
  <c r="N25" i="1" l="1"/>
  <c r="J25" i="1"/>
  <c r="T25" i="1" l="1"/>
  <c r="S23" i="1"/>
  <c r="Q23" i="1"/>
  <c r="N23" i="1" l="1"/>
  <c r="J23" i="1"/>
  <c r="T23" i="1" l="1"/>
  <c r="Q19" i="1"/>
  <c r="N19" i="1" l="1"/>
  <c r="T19" i="1" l="1"/>
  <c r="Q18" i="1"/>
  <c r="N18" i="1" l="1"/>
  <c r="J18" i="1"/>
  <c r="T18" i="1" l="1"/>
  <c r="F18" i="1" l="1"/>
  <c r="S15" i="1"/>
  <c r="Q15" i="1"/>
  <c r="N15" i="1" l="1"/>
  <c r="J15" i="1"/>
  <c r="T15" i="1" l="1"/>
  <c r="F15" i="1" l="1"/>
  <c r="Q14" i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P47" i="1" l="1"/>
  <c r="AD47" i="1" s="1"/>
  <c r="AH47" i="1"/>
  <c r="P28" i="1"/>
  <c r="AH28" i="1"/>
  <c r="P22" i="1"/>
  <c r="AH22" i="1"/>
  <c r="P40" i="1"/>
  <c r="AH40" i="1"/>
  <c r="P17" i="1"/>
  <c r="AH17" i="1"/>
  <c r="P21" i="1"/>
  <c r="P20" i="1"/>
  <c r="AH21" i="1"/>
  <c r="AH20" i="1"/>
  <c r="P49" i="1"/>
  <c r="AD49" i="1" s="1"/>
  <c r="AH49" i="1"/>
  <c r="P26" i="1"/>
  <c r="AH26" i="1"/>
  <c r="P24" i="1"/>
  <c r="AH24" i="1"/>
  <c r="P39" i="1"/>
  <c r="AH39" i="1"/>
  <c r="P44" i="1"/>
  <c r="AH44" i="1"/>
  <c r="P51" i="1"/>
  <c r="AD51" i="1" s="1"/>
  <c r="AH51" i="1"/>
  <c r="P16" i="1"/>
  <c r="AH16" i="1"/>
  <c r="BD23" i="2"/>
  <c r="V23" i="2"/>
  <c r="AI23" i="2"/>
  <c r="AK23" i="2"/>
  <c r="W23" i="2"/>
  <c r="P31" i="1"/>
  <c r="AH31" i="1"/>
  <c r="P36" i="1"/>
  <c r="P35" i="1"/>
  <c r="AH35" i="1"/>
  <c r="AH36" i="1"/>
  <c r="P30" i="1"/>
  <c r="AH30" i="1"/>
  <c r="P33" i="1"/>
  <c r="P34" i="1"/>
  <c r="AH33" i="1"/>
  <c r="AH34" i="1"/>
  <c r="BD8" i="2"/>
  <c r="BD7" i="2"/>
  <c r="BD18" i="2"/>
  <c r="AI8" i="2"/>
  <c r="AK8" i="2"/>
  <c r="AK7" i="2"/>
  <c r="AI7" i="2"/>
  <c r="AK18" i="2"/>
  <c r="V8" i="2"/>
  <c r="V7" i="2"/>
  <c r="V18" i="2"/>
  <c r="W18" i="2"/>
  <c r="W8" i="2"/>
  <c r="W7" i="2"/>
  <c r="BD13" i="2"/>
  <c r="V13" i="2"/>
  <c r="I17" i="531" s="1"/>
  <c r="AI13" i="2"/>
  <c r="AK13" i="2"/>
  <c r="W13" i="2"/>
  <c r="BD6" i="2"/>
  <c r="AK6" i="2"/>
  <c r="AI6" i="2"/>
  <c r="V6" i="2"/>
  <c r="I64" i="531" s="1"/>
  <c r="W6" i="2"/>
  <c r="P45" i="1"/>
  <c r="AH45" i="1"/>
  <c r="F67" i="54"/>
  <c r="F72" i="54"/>
  <c r="F73" i="54"/>
  <c r="J55" i="54"/>
  <c r="BD25" i="2"/>
  <c r="V25" i="2"/>
  <c r="AI25" i="2"/>
  <c r="AK25" i="2"/>
  <c r="W25" i="2"/>
  <c r="BD24" i="2"/>
  <c r="AK24" i="2"/>
  <c r="V24" i="2"/>
  <c r="AI24" i="2"/>
  <c r="BD22" i="2"/>
  <c r="W24" i="2"/>
  <c r="V22" i="2"/>
  <c r="AK22" i="2"/>
  <c r="W22" i="2"/>
  <c r="BD21" i="2"/>
  <c r="V21" i="2"/>
  <c r="AK21" i="2"/>
  <c r="AI21" i="2"/>
  <c r="W21" i="2"/>
  <c r="BD20" i="2"/>
  <c r="V20" i="2"/>
  <c r="AK20" i="2"/>
  <c r="AI20" i="2"/>
  <c r="W20" i="2"/>
  <c r="BD19" i="2"/>
  <c r="V19" i="2"/>
  <c r="AI19" i="2"/>
  <c r="AK19" i="2"/>
  <c r="W19" i="2"/>
  <c r="I42" i="531"/>
  <c r="BD17" i="2"/>
  <c r="V17" i="2"/>
  <c r="AK17" i="2"/>
  <c r="AI17" i="2"/>
  <c r="W17" i="2"/>
  <c r="BD16" i="2"/>
  <c r="V16" i="2"/>
  <c r="AK16" i="2"/>
  <c r="AI16" i="2"/>
  <c r="W16" i="2"/>
  <c r="BD15" i="2"/>
  <c r="AK15" i="2"/>
  <c r="V15" i="2"/>
  <c r="AI15" i="2"/>
  <c r="W15" i="2"/>
  <c r="BD14" i="2"/>
  <c r="AK14" i="2"/>
  <c r="AI14" i="2"/>
  <c r="V14" i="2"/>
  <c r="W14" i="2"/>
  <c r="BD12" i="2"/>
  <c r="V12" i="2"/>
  <c r="I27" i="531" s="1"/>
  <c r="AK12" i="2"/>
  <c r="AI12" i="2"/>
  <c r="W12" i="2"/>
  <c r="BD11" i="2"/>
  <c r="V11" i="2"/>
  <c r="AK11" i="2"/>
  <c r="S41" i="1" s="1"/>
  <c r="AI11" i="2"/>
  <c r="W11" i="2"/>
  <c r="BD10" i="2"/>
  <c r="V10" i="2"/>
  <c r="AK10" i="2"/>
  <c r="AI10" i="2"/>
  <c r="W10" i="2"/>
  <c r="BD9" i="2"/>
  <c r="V9" i="2"/>
  <c r="AK9" i="2"/>
  <c r="AI9" i="2"/>
  <c r="W9" i="2"/>
  <c r="BD5" i="2"/>
  <c r="V5" i="2"/>
  <c r="I63" i="531" s="1"/>
  <c r="AK5" i="2"/>
  <c r="V47" i="1" s="1"/>
  <c r="AI5" i="2"/>
  <c r="W5" i="2"/>
  <c r="BD4" i="2"/>
  <c r="V4" i="2"/>
  <c r="AK4" i="2"/>
  <c r="S14" i="1" s="1"/>
  <c r="AI4" i="2"/>
  <c r="W4" i="2"/>
  <c r="I8" i="531"/>
  <c r="P57" i="1"/>
  <c r="AH57" i="1"/>
  <c r="P56" i="1"/>
  <c r="AH56" i="1"/>
  <c r="P55" i="1"/>
  <c r="AH55" i="1"/>
  <c r="P54" i="1"/>
  <c r="AH54" i="1"/>
  <c r="P53" i="1"/>
  <c r="AH53" i="1"/>
  <c r="P52" i="1"/>
  <c r="AH52" i="1"/>
  <c r="P50" i="1"/>
  <c r="AH50" i="1"/>
  <c r="P48" i="1"/>
  <c r="AH48" i="1"/>
  <c r="P46" i="1"/>
  <c r="AH46" i="1"/>
  <c r="P43" i="1"/>
  <c r="AH43" i="1"/>
  <c r="P42" i="1"/>
  <c r="AH42" i="1"/>
  <c r="P41" i="1"/>
  <c r="AH41" i="1"/>
  <c r="P38" i="1"/>
  <c r="AH38" i="1"/>
  <c r="P37" i="1"/>
  <c r="AH37" i="1"/>
  <c r="P32" i="1"/>
  <c r="AH32" i="1"/>
  <c r="P29" i="1"/>
  <c r="AH29" i="1"/>
  <c r="P27" i="1"/>
  <c r="AH27" i="1"/>
  <c r="P25" i="1"/>
  <c r="AH25" i="1"/>
  <c r="P23" i="1"/>
  <c r="AH23" i="1"/>
  <c r="P19" i="1"/>
  <c r="AH19" i="1"/>
  <c r="P18" i="1"/>
  <c r="AH18" i="1"/>
  <c r="P15" i="1"/>
  <c r="AH15" i="1"/>
  <c r="P14" i="1"/>
  <c r="AH14" i="1"/>
  <c r="P13" i="1"/>
  <c r="AH13" i="1"/>
  <c r="P12" i="1"/>
  <c r="AH12" i="1"/>
  <c r="AH10" i="1" s="1"/>
  <c r="AD8" i="1"/>
  <c r="AI1" i="2" l="1"/>
  <c r="AJ23" i="2" s="1"/>
  <c r="AD28" i="1"/>
  <c r="V28" i="1"/>
  <c r="AD22" i="1"/>
  <c r="V22" i="1"/>
  <c r="V40" i="1"/>
  <c r="AD40" i="1"/>
  <c r="V17" i="1"/>
  <c r="AD17" i="1"/>
  <c r="V49" i="1"/>
  <c r="AD20" i="1"/>
  <c r="V20" i="1"/>
  <c r="AD21" i="1"/>
  <c r="V21" i="1"/>
  <c r="AD26" i="1"/>
  <c r="V26" i="1"/>
  <c r="V24" i="1"/>
  <c r="AD24" i="1"/>
  <c r="AD39" i="1"/>
  <c r="V39" i="1"/>
  <c r="V51" i="1"/>
  <c r="V44" i="1"/>
  <c r="AD44" i="1"/>
  <c r="V16" i="1"/>
  <c r="AD16" i="1"/>
  <c r="AD31" i="1"/>
  <c r="V31" i="1"/>
  <c r="S18" i="1"/>
  <c r="V18" i="1" s="1"/>
  <c r="V36" i="1"/>
  <c r="AD36" i="1"/>
  <c r="AD35" i="1"/>
  <c r="V35" i="1"/>
  <c r="AD30" i="1"/>
  <c r="V30" i="1"/>
  <c r="V34" i="1"/>
  <c r="AD34" i="1"/>
  <c r="AD33" i="1"/>
  <c r="V33" i="1"/>
  <c r="S52" i="1"/>
  <c r="V52" i="1" s="1"/>
  <c r="S21" i="531"/>
  <c r="S22" i="531" s="1"/>
  <c r="T21" i="531"/>
  <c r="T22" i="531" s="1"/>
  <c r="Q21" i="531"/>
  <c r="Q22" i="531" s="1"/>
  <c r="P21" i="531"/>
  <c r="P22" i="531" s="1"/>
  <c r="R21" i="531"/>
  <c r="R22" i="531" s="1"/>
  <c r="P46" i="531"/>
  <c r="P47" i="531" s="1"/>
  <c r="P49" i="531" s="1"/>
  <c r="Q46" i="531"/>
  <c r="Q47" i="531" s="1"/>
  <c r="S46" i="531"/>
  <c r="S47" i="531" s="1"/>
  <c r="T46" i="531"/>
  <c r="T47" i="531" s="1"/>
  <c r="R46" i="531"/>
  <c r="R47" i="531" s="1"/>
  <c r="R31" i="531"/>
  <c r="R32" i="531" s="1"/>
  <c r="S31" i="531"/>
  <c r="S32" i="531" s="1"/>
  <c r="T31" i="531"/>
  <c r="T32" i="531" s="1"/>
  <c r="Q31" i="531"/>
  <c r="Q32" i="531" s="1"/>
  <c r="P31" i="531"/>
  <c r="P32" i="531" s="1"/>
  <c r="S46" i="1"/>
  <c r="V46" i="1" s="1"/>
  <c r="S27" i="1"/>
  <c r="V27" i="1" s="1"/>
  <c r="AD45" i="1"/>
  <c r="V45" i="1"/>
  <c r="S48" i="1"/>
  <c r="V48" i="1" s="1"/>
  <c r="S29" i="1"/>
  <c r="V29" i="1" s="1"/>
  <c r="S50" i="1"/>
  <c r="V50" i="1" s="1"/>
  <c r="S19" i="1"/>
  <c r="V19" i="1" s="1"/>
  <c r="V9" i="1" s="1"/>
  <c r="S53" i="1"/>
  <c r="V53" i="1" s="1"/>
  <c r="W1" i="2"/>
  <c r="S32" i="1"/>
  <c r="V32" i="1" s="1"/>
  <c r="V1" i="2"/>
  <c r="J7" i="1"/>
  <c r="AD32" i="1"/>
  <c r="AD43" i="1"/>
  <c r="V43" i="1"/>
  <c r="AD19" i="1"/>
  <c r="AD48" i="1"/>
  <c r="AD29" i="1"/>
  <c r="AD55" i="1"/>
  <c r="V55" i="1"/>
  <c r="AD50" i="1"/>
  <c r="AD12" i="1"/>
  <c r="V12" i="1"/>
  <c r="P10" i="1"/>
  <c r="P7" i="1"/>
  <c r="AD13" i="1"/>
  <c r="V13" i="1"/>
  <c r="AD14" i="1"/>
  <c r="V14" i="1"/>
  <c r="AD56" i="1"/>
  <c r="V56" i="1"/>
  <c r="AD46" i="1"/>
  <c r="AD25" i="1"/>
  <c r="V25" i="1"/>
  <c r="AD52" i="1"/>
  <c r="AD53" i="1"/>
  <c r="AD54" i="1"/>
  <c r="V54" i="1"/>
  <c r="AD41" i="1"/>
  <c r="V41" i="1"/>
  <c r="AD23" i="1"/>
  <c r="V23" i="1"/>
  <c r="AD27" i="1"/>
  <c r="AD37" i="1"/>
  <c r="V37" i="1"/>
  <c r="AD38" i="1"/>
  <c r="V38" i="1"/>
  <c r="AD15" i="1"/>
  <c r="V15" i="1"/>
  <c r="AD18" i="1"/>
  <c r="AD42" i="1"/>
  <c r="V42" i="1"/>
  <c r="AD57" i="1"/>
  <c r="V57" i="1"/>
  <c r="Q36" i="531" l="1"/>
  <c r="P36" i="531"/>
  <c r="T36" i="531"/>
  <c r="S36" i="531"/>
  <c r="R36" i="531"/>
  <c r="AJ7" i="2"/>
  <c r="AJ8" i="2"/>
  <c r="AJ13" i="2"/>
  <c r="AJ18" i="2"/>
  <c r="P51" i="531"/>
  <c r="R49" i="531"/>
  <c r="R51" i="531"/>
  <c r="T51" i="531"/>
  <c r="T49" i="531"/>
  <c r="S51" i="531"/>
  <c r="S49" i="531"/>
  <c r="Q49" i="531"/>
  <c r="Q51" i="531"/>
  <c r="AJ6" i="2"/>
  <c r="AJ24" i="2"/>
  <c r="AJ10" i="2"/>
  <c r="S7" i="1"/>
  <c r="S10" i="1"/>
  <c r="AJ25" i="2"/>
  <c r="AJ17" i="2"/>
  <c r="AJ16" i="2"/>
  <c r="AJ5" i="2"/>
  <c r="AJ22" i="2"/>
  <c r="AJ4" i="2"/>
  <c r="AJ9" i="2"/>
  <c r="AJ15" i="2"/>
  <c r="AJ11" i="2"/>
  <c r="AJ12" i="2"/>
  <c r="AJ20" i="2"/>
  <c r="AJ14" i="2"/>
  <c r="AJ19" i="2"/>
  <c r="AJ21" i="2"/>
  <c r="AD10" i="1"/>
  <c r="D7" i="1"/>
  <c r="AE6" i="1"/>
  <c r="V6" i="1"/>
  <c r="S6" i="1"/>
  <c r="P6" i="1"/>
  <c r="J6" i="1" l="1"/>
  <c r="D6" i="1" l="1"/>
  <c r="AE5" i="1"/>
  <c r="V5" i="1"/>
  <c r="V7" i="1" s="1"/>
  <c r="S5" i="1"/>
  <c r="P5" i="1"/>
  <c r="AE7" i="1" l="1"/>
  <c r="AD237" i="89"/>
  <c r="X237" i="89"/>
  <c r="AD236" i="89"/>
  <c r="X236" i="89"/>
  <c r="AD235" i="89"/>
  <c r="X235" i="89"/>
  <c r="AD234" i="89"/>
  <c r="X234" i="89"/>
  <c r="AD233" i="89"/>
  <c r="X233" i="89"/>
  <c r="X225" i="89"/>
  <c r="AD225" i="89"/>
  <c r="X224" i="89"/>
  <c r="AD224" i="89"/>
  <c r="X223" i="89"/>
  <c r="AD223" i="89"/>
  <c r="AD226" i="89" s="1"/>
  <c r="AD222" i="89"/>
  <c r="X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AD203" i="89"/>
  <c r="X203" i="89"/>
  <c r="X197" i="89"/>
  <c r="AD197" i="89"/>
  <c r="X196" i="89"/>
  <c r="AD196" i="89"/>
  <c r="AD198" i="89" s="1"/>
  <c r="AD195" i="89"/>
  <c r="X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AD178" i="89"/>
  <c r="X178" i="89"/>
  <c r="X171" i="89"/>
  <c r="AD171" i="89"/>
  <c r="X170" i="89"/>
  <c r="AD170" i="89"/>
  <c r="AD172" i="89" s="1"/>
  <c r="AD169" i="89"/>
  <c r="X169" i="89"/>
  <c r="AD160" i="89"/>
  <c r="AD162" i="89" s="1"/>
  <c r="X160" i="89"/>
  <c r="X162" i="89" s="1"/>
  <c r="X154" i="89"/>
  <c r="AD154" i="89"/>
  <c r="AD153" i="89"/>
  <c r="AD155" i="89" s="1"/>
  <c r="X153" i="89"/>
  <c r="X145" i="89"/>
  <c r="AD145" i="89"/>
  <c r="AD144" i="89"/>
  <c r="AD146" i="89" s="1"/>
  <c r="X144" i="89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AD115" i="89"/>
  <c r="AD117" i="89" s="1"/>
  <c r="X115" i="89"/>
  <c r="X109" i="89"/>
  <c r="AD109" i="89"/>
  <c r="AD108" i="89"/>
  <c r="AD110" i="89" s="1"/>
  <c r="X108" i="89"/>
  <c r="X102" i="89"/>
  <c r="AD102" i="89"/>
  <c r="AD101" i="89"/>
  <c r="AD103" i="89" s="1"/>
  <c r="X101" i="89"/>
  <c r="X96" i="89"/>
  <c r="AD96" i="89"/>
  <c r="AD95" i="89"/>
  <c r="AD97" i="89" s="1"/>
  <c r="X95" i="89"/>
  <c r="X90" i="89"/>
  <c r="AD90" i="89"/>
  <c r="AD89" i="89"/>
  <c r="AD91" i="89" s="1"/>
  <c r="X89" i="89"/>
  <c r="X82" i="89"/>
  <c r="AD82" i="89"/>
  <c r="AD81" i="89"/>
  <c r="AD83" i="89" s="1"/>
  <c r="X81" i="89"/>
  <c r="X76" i="89"/>
  <c r="AD76" i="89"/>
  <c r="AD75" i="89"/>
  <c r="AD77" i="89" s="1"/>
  <c r="X75" i="89"/>
  <c r="X69" i="89"/>
  <c r="AD69" i="89"/>
  <c r="AD68" i="89"/>
  <c r="AD70" i="89" s="1"/>
  <c r="X68" i="89"/>
  <c r="X63" i="89"/>
  <c r="AD63" i="89"/>
  <c r="AD62" i="89"/>
  <c r="AD64" i="89" s="1"/>
  <c r="X62" i="89"/>
  <c r="X56" i="89"/>
  <c r="AD56" i="89"/>
  <c r="AD55" i="89"/>
  <c r="AD57" i="89" s="1"/>
  <c r="X55" i="89"/>
  <c r="X50" i="89"/>
  <c r="AD50" i="89"/>
  <c r="AD49" i="89"/>
  <c r="AD51" i="89" s="1"/>
  <c r="X49" i="89"/>
  <c r="X40" i="89"/>
  <c r="AD40" i="89"/>
  <c r="AD39" i="89"/>
  <c r="AD41" i="89" s="1"/>
  <c r="X39" i="89"/>
  <c r="X34" i="89"/>
  <c r="AD34" i="89"/>
  <c r="AD33" i="89"/>
  <c r="AD35" i="89" s="1"/>
  <c r="X33" i="89"/>
  <c r="X27" i="89"/>
  <c r="AD27" i="89"/>
  <c r="AD26" i="89"/>
  <c r="AD28" i="89" s="1"/>
  <c r="X26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R57" i="1"/>
  <c r="O57" i="1"/>
  <c r="R56" i="1"/>
  <c r="U57" i="1"/>
  <c r="O56" i="1"/>
  <c r="R55" i="1"/>
  <c r="U56" i="1"/>
  <c r="O55" i="1"/>
  <c r="R54" i="1"/>
  <c r="U55" i="1"/>
  <c r="O54" i="1"/>
  <c r="R53" i="1"/>
  <c r="U54" i="1"/>
  <c r="O53" i="1"/>
  <c r="R52" i="1"/>
  <c r="U53" i="1"/>
  <c r="O52" i="1"/>
  <c r="U52" i="1"/>
  <c r="R50" i="1"/>
  <c r="O50" i="1"/>
  <c r="R48" i="1"/>
  <c r="U50" i="1"/>
  <c r="O48" i="1"/>
  <c r="R46" i="1"/>
  <c r="U48" i="1"/>
  <c r="O46" i="1"/>
  <c r="U46" i="1"/>
  <c r="O43" i="1"/>
  <c r="R42" i="1"/>
  <c r="U43" i="1"/>
  <c r="O42" i="1"/>
  <c r="R41" i="1"/>
  <c r="U42" i="1"/>
  <c r="O41" i="1"/>
  <c r="R38" i="1"/>
  <c r="U41" i="1"/>
  <c r="O38" i="1"/>
  <c r="R37" i="1"/>
  <c r="U38" i="1"/>
  <c r="O37" i="1"/>
  <c r="R32" i="1"/>
  <c r="U37" i="1"/>
  <c r="O32" i="1"/>
  <c r="R29" i="1"/>
  <c r="U32" i="1"/>
  <c r="O29" i="1"/>
  <c r="R27" i="1"/>
  <c r="U29" i="1"/>
  <c r="O27" i="1"/>
  <c r="R25" i="1"/>
  <c r="U27" i="1"/>
  <c r="O25" i="1"/>
  <c r="R23" i="1"/>
  <c r="U25" i="1"/>
  <c r="O23" i="1"/>
  <c r="R19" i="1"/>
  <c r="U23" i="1"/>
  <c r="O19" i="1"/>
  <c r="R18" i="1"/>
  <c r="U19" i="1"/>
  <c r="O18" i="1"/>
  <c r="U18" i="1"/>
  <c r="R15" i="1"/>
  <c r="O15" i="1"/>
  <c r="U15" i="1"/>
  <c r="R14" i="1"/>
  <c r="O14" i="1"/>
  <c r="U14" i="1"/>
  <c r="R13" i="1"/>
  <c r="O13" i="1"/>
  <c r="U13" i="1"/>
  <c r="R12" i="1"/>
  <c r="W10" i="1"/>
  <c r="O12" i="1"/>
  <c r="U12" i="1"/>
  <c r="V10" i="1"/>
  <c r="B1" i="2" s="1"/>
  <c r="W47" i="1" l="1"/>
  <c r="O47" i="1"/>
  <c r="U47" i="1"/>
  <c r="W28" i="1"/>
  <c r="O28" i="1"/>
  <c r="U28" i="1"/>
  <c r="W22" i="1"/>
  <c r="O22" i="1"/>
  <c r="U22" i="1"/>
  <c r="W40" i="1"/>
  <c r="O40" i="1"/>
  <c r="U40" i="1"/>
  <c r="W17" i="1"/>
  <c r="O17" i="1"/>
  <c r="U17" i="1"/>
  <c r="W20" i="1"/>
  <c r="W21" i="1"/>
  <c r="O21" i="1"/>
  <c r="O20" i="1"/>
  <c r="U20" i="1"/>
  <c r="U21" i="1"/>
  <c r="W49" i="1"/>
  <c r="O49" i="1"/>
  <c r="U49" i="1"/>
  <c r="W26" i="1"/>
  <c r="O26" i="1"/>
  <c r="U26" i="1"/>
  <c r="W24" i="1"/>
  <c r="O24" i="1"/>
  <c r="U24" i="1"/>
  <c r="W39" i="1"/>
  <c r="O39" i="1"/>
  <c r="U39" i="1"/>
  <c r="W44" i="1"/>
  <c r="O44" i="1"/>
  <c r="U44" i="1"/>
  <c r="W51" i="1"/>
  <c r="O51" i="1"/>
  <c r="U51" i="1"/>
  <c r="W16" i="1"/>
  <c r="O16" i="1"/>
  <c r="U16" i="1"/>
  <c r="U6" i="1" s="1"/>
  <c r="W31" i="1"/>
  <c r="AH23" i="2"/>
  <c r="AG23" i="2"/>
  <c r="O31" i="1"/>
  <c r="U31" i="1"/>
  <c r="W35" i="1"/>
  <c r="O36" i="1"/>
  <c r="O35" i="1"/>
  <c r="U35" i="1"/>
  <c r="W36" i="1"/>
  <c r="U36" i="1"/>
  <c r="U9" i="1"/>
  <c r="W30" i="1"/>
  <c r="O30" i="1"/>
  <c r="U30" i="1"/>
  <c r="W34" i="1"/>
  <c r="W33" i="1"/>
  <c r="O33" i="1"/>
  <c r="O34" i="1"/>
  <c r="U34" i="1"/>
  <c r="U33" i="1"/>
  <c r="X103" i="89"/>
  <c r="X110" i="89"/>
  <c r="X146" i="89"/>
  <c r="AH13" i="2"/>
  <c r="L17" i="531" s="1"/>
  <c r="L16" i="531" s="1"/>
  <c r="AG13" i="2"/>
  <c r="K17" i="531" s="1"/>
  <c r="I24" i="531" s="1"/>
  <c r="AH6" i="2"/>
  <c r="L64" i="531" s="1"/>
  <c r="AG6" i="2"/>
  <c r="K64" i="531" s="1"/>
  <c r="R43" i="1"/>
  <c r="R45" i="1"/>
  <c r="O45" i="1"/>
  <c r="X41" i="89"/>
  <c r="X181" i="89"/>
  <c r="X9" i="89"/>
  <c r="X35" i="89"/>
  <c r="X70" i="89"/>
  <c r="X77" i="89"/>
  <c r="X206" i="89"/>
  <c r="X208" i="89" s="1"/>
  <c r="X226" i="89"/>
  <c r="X28" i="89"/>
  <c r="X64" i="89"/>
  <c r="X97" i="89"/>
  <c r="X139" i="89"/>
  <c r="X172" i="89"/>
  <c r="X12" i="89" s="1"/>
  <c r="W45" i="1"/>
  <c r="U45" i="1"/>
  <c r="X21" i="89"/>
  <c r="X57" i="89"/>
  <c r="X91" i="89"/>
  <c r="X124" i="89"/>
  <c r="X198" i="89"/>
  <c r="X200" i="89" s="1"/>
  <c r="X215" i="89"/>
  <c r="X189" i="89"/>
  <c r="X15" i="89"/>
  <c r="X51" i="89"/>
  <c r="X83" i="89"/>
  <c r="X117" i="89"/>
  <c r="X155" i="89"/>
  <c r="AG25" i="2"/>
  <c r="AH25" i="2"/>
  <c r="AG24" i="2"/>
  <c r="AH24" i="2"/>
  <c r="AG21" i="2"/>
  <c r="AH21" i="2"/>
  <c r="AG20" i="2"/>
  <c r="AH20" i="2"/>
  <c r="AG19" i="2"/>
  <c r="AH19" i="2"/>
  <c r="K42" i="531"/>
  <c r="L42" i="531"/>
  <c r="L41" i="531" s="1"/>
  <c r="AG17" i="2"/>
  <c r="AH17" i="2"/>
  <c r="AG16" i="2"/>
  <c r="AH16" i="2"/>
  <c r="AG15" i="2"/>
  <c r="AH15" i="2"/>
  <c r="AG14" i="2"/>
  <c r="AH14" i="2"/>
  <c r="AG12" i="2"/>
  <c r="K27" i="531" s="1"/>
  <c r="I34" i="531" s="1"/>
  <c r="AH12" i="2"/>
  <c r="L27" i="531" s="1"/>
  <c r="L26" i="531" s="1"/>
  <c r="AG11" i="2"/>
  <c r="AH11" i="2"/>
  <c r="AG10" i="2"/>
  <c r="AH10" i="2"/>
  <c r="AG9" i="2"/>
  <c r="AH9" i="2"/>
  <c r="AG5" i="2"/>
  <c r="K63" i="531" s="1"/>
  <c r="AH5" i="2"/>
  <c r="L63" i="531" s="1"/>
  <c r="AG4" i="2"/>
  <c r="AH4" i="2"/>
  <c r="K8" i="531"/>
  <c r="L8" i="531"/>
  <c r="J5" i="1"/>
  <c r="AA38" i="1"/>
  <c r="Y38" i="1"/>
  <c r="Z38" i="1"/>
  <c r="Z41" i="1"/>
  <c r="AA41" i="1"/>
  <c r="Y41" i="1"/>
  <c r="Z25" i="1"/>
  <c r="Y25" i="1"/>
  <c r="AA25" i="1"/>
  <c r="AA13" i="1"/>
  <c r="Y13" i="1"/>
  <c r="Z13" i="1"/>
  <c r="Z46" i="1"/>
  <c r="AA46" i="1"/>
  <c r="Y46" i="1"/>
  <c r="Z48" i="1"/>
  <c r="AA48" i="1"/>
  <c r="Y48" i="1"/>
  <c r="AA57" i="1"/>
  <c r="Z57" i="1"/>
  <c r="Y57" i="1"/>
  <c r="AA52" i="1"/>
  <c r="Y52" i="1"/>
  <c r="Z52" i="1"/>
  <c r="AA53" i="1"/>
  <c r="Z53" i="1"/>
  <c r="Y53" i="1"/>
  <c r="AA42" i="1"/>
  <c r="Z42" i="1"/>
  <c r="Y42" i="1"/>
  <c r="Z55" i="1"/>
  <c r="AA55" i="1"/>
  <c r="Y55" i="1"/>
  <c r="Z32" i="1"/>
  <c r="AA32" i="1"/>
  <c r="Y32" i="1"/>
  <c r="Z23" i="1"/>
  <c r="AA23" i="1"/>
  <c r="Y23" i="1"/>
  <c r="AA12" i="1"/>
  <c r="Y12" i="1"/>
  <c r="Z12" i="1"/>
  <c r="W57" i="1"/>
  <c r="W56" i="1"/>
  <c r="W55" i="1"/>
  <c r="W54" i="1"/>
  <c r="W53" i="1"/>
  <c r="W52" i="1"/>
  <c r="W50" i="1"/>
  <c r="W48" i="1"/>
  <c r="W46" i="1"/>
  <c r="W43" i="1"/>
  <c r="W42" i="1"/>
  <c r="W41" i="1"/>
  <c r="W38" i="1"/>
  <c r="W37" i="1"/>
  <c r="W32" i="1"/>
  <c r="W29" i="1"/>
  <c r="W27" i="1"/>
  <c r="W25" i="1"/>
  <c r="W23" i="1"/>
  <c r="W19" i="1"/>
  <c r="W18" i="1"/>
  <c r="W15" i="1"/>
  <c r="W14" i="1"/>
  <c r="W13" i="1"/>
  <c r="W12" i="1"/>
  <c r="AA27" i="1"/>
  <c r="Z27" i="1"/>
  <c r="Y27" i="1"/>
  <c r="AA43" i="1"/>
  <c r="Z43" i="1"/>
  <c r="Y43" i="1"/>
  <c r="Z29" i="1"/>
  <c r="Y29" i="1"/>
  <c r="AA29" i="1"/>
  <c r="Z37" i="1"/>
  <c r="AA37" i="1"/>
  <c r="Y37" i="1"/>
  <c r="AA50" i="1"/>
  <c r="Z50" i="1"/>
  <c r="Y50" i="1"/>
  <c r="Y54" i="1"/>
  <c r="Z54" i="1"/>
  <c r="AA54" i="1"/>
  <c r="AA14" i="1"/>
  <c r="Z14" i="1"/>
  <c r="Y14" i="1"/>
  <c r="AA56" i="1"/>
  <c r="Y56" i="1"/>
  <c r="Z56" i="1"/>
  <c r="Z15" i="1"/>
  <c r="AA15" i="1"/>
  <c r="Y15" i="1"/>
  <c r="Z18" i="1"/>
  <c r="AA18" i="1"/>
  <c r="Y18" i="1"/>
  <c r="AA19" i="1"/>
  <c r="Y19" i="1"/>
  <c r="Z19" i="1"/>
  <c r="AA47" i="1" l="1"/>
  <c r="Y47" i="1"/>
  <c r="Z47" i="1"/>
  <c r="AA28" i="1"/>
  <c r="Z28" i="1"/>
  <c r="Y28" i="1"/>
  <c r="AA22" i="1"/>
  <c r="Z22" i="1"/>
  <c r="Y22" i="1"/>
  <c r="AA40" i="1"/>
  <c r="Y40" i="1"/>
  <c r="Z40" i="1"/>
  <c r="AA17" i="1"/>
  <c r="Z17" i="1"/>
  <c r="Y17" i="1"/>
  <c r="AA21" i="1"/>
  <c r="Z21" i="1"/>
  <c r="Y21" i="1"/>
  <c r="AA20" i="1"/>
  <c r="Z20" i="1"/>
  <c r="Y20" i="1"/>
  <c r="Y49" i="1"/>
  <c r="Z49" i="1"/>
  <c r="AA49" i="1"/>
  <c r="AA26" i="1"/>
  <c r="Y26" i="1"/>
  <c r="Z26" i="1"/>
  <c r="AA24" i="1"/>
  <c r="Y24" i="1"/>
  <c r="Z24" i="1"/>
  <c r="AA39" i="1"/>
  <c r="Z39" i="1"/>
  <c r="Y39" i="1"/>
  <c r="Y44" i="1"/>
  <c r="AA44" i="1"/>
  <c r="Z44" i="1"/>
  <c r="Y51" i="1"/>
  <c r="Z51" i="1"/>
  <c r="AA51" i="1"/>
  <c r="AA16" i="1"/>
  <c r="AA6" i="1" s="1"/>
  <c r="Z16" i="1"/>
  <c r="Y16" i="1"/>
  <c r="AA31" i="1"/>
  <c r="Y31" i="1"/>
  <c r="Z31" i="1"/>
  <c r="AA35" i="1"/>
  <c r="Y35" i="1"/>
  <c r="Z35" i="1"/>
  <c r="Y36" i="1"/>
  <c r="AA36" i="1"/>
  <c r="Z36" i="1"/>
  <c r="AA30" i="1"/>
  <c r="Y30" i="1"/>
  <c r="Z30" i="1"/>
  <c r="AA33" i="1"/>
  <c r="Y33" i="1"/>
  <c r="Z33" i="1"/>
  <c r="AA34" i="1"/>
  <c r="Z34" i="1"/>
  <c r="Y34" i="1"/>
  <c r="R24" i="531"/>
  <c r="T24" i="531"/>
  <c r="P24" i="531"/>
  <c r="S24" i="531"/>
  <c r="Q24" i="531"/>
  <c r="R6" i="1"/>
  <c r="P34" i="531"/>
  <c r="Q34" i="531"/>
  <c r="R34" i="531"/>
  <c r="T34" i="531"/>
  <c r="S34" i="531"/>
  <c r="O6" i="1"/>
  <c r="AA45" i="1"/>
  <c r="Y45" i="1"/>
  <c r="Z45" i="1"/>
  <c r="U5" i="1"/>
  <c r="U8" i="1" s="1"/>
  <c r="R5" i="1"/>
  <c r="O5" i="1"/>
  <c r="W6" i="1"/>
  <c r="R8" i="1" l="1"/>
  <c r="AA5" i="1"/>
  <c r="AB5" i="1" s="1"/>
  <c r="Z10" i="1"/>
  <c r="O8" i="1"/>
  <c r="R7" i="1"/>
  <c r="W5" i="1"/>
  <c r="U7" i="1"/>
  <c r="U10" i="1" s="1"/>
  <c r="O7" i="1"/>
  <c r="AB6" i="1"/>
  <c r="D5" i="1"/>
  <c r="AA8" i="1" l="1"/>
  <c r="AA7" i="1"/>
  <c r="AA10" i="1" s="1"/>
  <c r="W7" i="1"/>
  <c r="J4" i="1"/>
  <c r="D4" i="1" l="1"/>
  <c r="X6" i="1" l="1"/>
  <c r="Y6" i="1" s="1"/>
  <c r="Z5" i="1"/>
  <c r="Z6" i="1"/>
  <c r="X5" i="1"/>
  <c r="Y5" i="1" s="1"/>
  <c r="AD3" i="1"/>
  <c r="U3" i="1"/>
  <c r="Y7" i="1" l="1"/>
  <c r="Z7" i="1"/>
  <c r="J3" i="1" l="1"/>
  <c r="D3" i="1" l="1"/>
  <c r="W2" i="1" l="1"/>
  <c r="J2" i="1" l="1"/>
  <c r="D2" i="1" l="1"/>
  <c r="T1" i="1"/>
  <c r="R1" i="1"/>
  <c r="M1" i="1"/>
  <c r="S1" i="1" l="1"/>
  <c r="L6" i="1" s="1"/>
  <c r="J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V55" i="338" a="1"/>
  <c r="U55" i="338" a="1"/>
  <c r="L55" i="338" a="1"/>
  <c r="L55" i="338" l="1"/>
  <c r="U55" i="338"/>
  <c r="V55" i="338"/>
  <c r="AD55" i="338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AD51" i="338"/>
  <c r="AB51" i="338"/>
  <c r="Z51" i="338"/>
  <c r="I50" i="338" a="1"/>
  <c r="N51" i="338" l="1"/>
  <c r="I50" i="338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AB50" i="338"/>
  <c r="AD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L49" i="338" a="1"/>
  <c r="V49" i="338" a="1"/>
  <c r="U49" i="338" a="1"/>
  <c r="U49" i="338" l="1"/>
  <c r="V49" i="338"/>
  <c r="L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V40" i="338" a="1"/>
  <c r="U40" i="338" a="1"/>
  <c r="L40" i="338" a="1"/>
  <c r="L40" i="338" l="1"/>
  <c r="U40" i="338"/>
  <c r="V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L39" i="338" l="1"/>
  <c r="U39" i="338"/>
  <c r="V39" i="338"/>
  <c r="AD39" i="338"/>
  <c r="Z39" i="338"/>
  <c r="AB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U38" i="338" a="1"/>
  <c r="V38" i="338" a="1"/>
  <c r="L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N33" i="338" s="1"/>
  <c r="AD33" i="338"/>
  <c r="AB33" i="338"/>
  <c r="Z33" i="338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U30" i="338" a="1"/>
  <c r="V30" i="338" a="1"/>
  <c r="L30" i="338" a="1"/>
  <c r="L30" i="338" l="1"/>
  <c r="V30" i="338"/>
  <c r="U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V29" i="338" a="1"/>
  <c r="U29" i="338" a="1"/>
  <c r="L29" i="338" a="1"/>
  <c r="L29" i="338" l="1"/>
  <c r="U29" i="338"/>
  <c r="V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U18" i="338"/>
  <c r="V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U16" i="338" a="1"/>
  <c r="V16" i="338" a="1"/>
  <c r="L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L15" i="338" l="1"/>
  <c r="U15" i="338"/>
  <c r="V15" i="338"/>
  <c r="AD15" i="338"/>
  <c r="AB15" i="338"/>
  <c r="Z15" i="338"/>
  <c r="N15" i="338" l="1"/>
  <c r="AG14" i="338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AB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V12" i="338" a="1"/>
  <c r="U12" i="338" a="1"/>
  <c r="L12" i="338" a="1"/>
  <c r="L12" i="338" l="1"/>
  <c r="U12" i="338"/>
  <c r="V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AD9" i="338"/>
  <c r="AB9" i="338"/>
  <c r="Z9" i="338"/>
  <c r="I8" i="338" a="1"/>
  <c r="N9" i="338" l="1"/>
  <c r="I8" i="338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P38" i="338" a="1"/>
  <c r="AU16" i="338" a="1"/>
  <c r="AU38" i="338" a="1"/>
  <c r="AU44" i="338" a="1"/>
  <c r="AP54" i="338" a="1"/>
  <c r="AP40" i="338" a="1"/>
  <c r="AU52" i="338" a="1"/>
  <c r="AP29" i="338" a="1"/>
  <c r="AU29" i="338" a="1"/>
  <c r="AP16" i="338" a="1"/>
  <c r="AP32" i="338" a="1"/>
  <c r="AU39" i="338" a="1"/>
  <c r="AP52" i="338" a="1"/>
  <c r="AU13" i="338" a="1"/>
  <c r="AP30" i="338" a="1"/>
  <c r="AP31" i="338" a="1"/>
  <c r="AP53" i="338" a="1"/>
  <c r="AU15" i="338" a="1"/>
  <c r="AU17" i="338" a="1"/>
  <c r="AP12" i="338" a="1"/>
  <c r="AP49" i="338" a="1"/>
  <c r="AU33" i="338" a="1"/>
  <c r="AP34" i="338" a="1"/>
  <c r="AP15" i="338" a="1"/>
  <c r="AP35" i="338" a="1"/>
  <c r="AU35" i="338" a="1"/>
  <c r="AU41" i="338" a="1"/>
  <c r="AU47" i="338" a="1"/>
  <c r="AU51" i="338" a="1"/>
  <c r="AP50" i="338" a="1"/>
  <c r="AU36" i="338" a="1"/>
  <c r="AU37" i="338" a="1"/>
  <c r="AP39" i="338" a="1"/>
  <c r="AP8" i="338" a="1"/>
  <c r="AP9" i="338" a="1"/>
  <c r="AP45" i="338" a="1"/>
  <c r="AP46" i="338" a="1"/>
  <c r="AU18" i="338" a="1"/>
  <c r="AU34" i="338" a="1"/>
  <c r="AU31" i="338" a="1"/>
  <c r="AU45" i="338" a="1"/>
  <c r="AP13" i="338" a="1"/>
  <c r="AU40" i="338" a="1"/>
  <c r="AP14" i="338" a="1"/>
  <c r="AP51" i="338" a="1"/>
  <c r="AP37" i="338" a="1"/>
  <c r="AP18" i="338" a="1"/>
  <c r="AP17" i="338" a="1"/>
  <c r="AU54" i="338" a="1"/>
  <c r="AP11" i="338" a="1"/>
  <c r="AP10" i="338" a="1"/>
  <c r="AP33" i="338" a="1"/>
  <c r="AU11" i="338" a="1"/>
  <c r="AP36" i="338" a="1"/>
  <c r="AU49" i="338" a="1"/>
  <c r="AU10" i="338" a="1"/>
  <c r="AU53" i="338" a="1"/>
  <c r="AU12" i="338" a="1"/>
  <c r="AP41" i="338" a="1"/>
  <c r="AP42" i="338" a="1"/>
  <c r="AP47" i="338" a="1"/>
  <c r="AU48" i="338" a="1"/>
  <c r="AP48" i="338" a="1"/>
  <c r="AU32" i="338" a="1"/>
  <c r="AU9" i="338" a="1"/>
  <c r="AU8" i="338" a="1"/>
  <c r="AP44" i="338" a="1"/>
  <c r="AU42" i="338" a="1"/>
  <c r="AU46" i="338" a="1"/>
  <c r="AU50" i="338" a="1"/>
  <c r="AU30" i="338" a="1"/>
  <c r="H8" i="338" l="1"/>
  <c r="AP12" i="338"/>
  <c r="AU17" i="338"/>
  <c r="AU15" i="338"/>
  <c r="AP53" i="338"/>
  <c r="AP31" i="338"/>
  <c r="AP30" i="338"/>
  <c r="AU13" i="338"/>
  <c r="AP52" i="338"/>
  <c r="AU39" i="338"/>
  <c r="AP32" i="338"/>
  <c r="AP16" i="338"/>
  <c r="AU29" i="338"/>
  <c r="AP29" i="338"/>
  <c r="AU52" i="338"/>
  <c r="AP40" i="338"/>
  <c r="AP54" i="338"/>
  <c r="AU44" i="338"/>
  <c r="AU38" i="338"/>
  <c r="AU16" i="338"/>
  <c r="AP38" i="338"/>
  <c r="AU30" i="338"/>
  <c r="AU50" i="338"/>
  <c r="AU46" i="338"/>
  <c r="AU42" i="338"/>
  <c r="AP44" i="338"/>
  <c r="AU8" i="338"/>
  <c r="AU9" i="338"/>
  <c r="AU32" i="338"/>
  <c r="AP48" i="338"/>
  <c r="AU48" i="338"/>
  <c r="AP47" i="338"/>
  <c r="AP42" i="338"/>
  <c r="AP41" i="338"/>
  <c r="AU12" i="338"/>
  <c r="AU53" i="338"/>
  <c r="AU10" i="338"/>
  <c r="AU49" i="338"/>
  <c r="AP36" i="338"/>
  <c r="AU11" i="338"/>
  <c r="AP33" i="338"/>
  <c r="AP10" i="338"/>
  <c r="AP11" i="338"/>
  <c r="AU54" i="338"/>
  <c r="AP17" i="338"/>
  <c r="AP18" i="338"/>
  <c r="AP37" i="338"/>
  <c r="AP51" i="338"/>
  <c r="AP14" i="338"/>
  <c r="AU40" i="338"/>
  <c r="AP13" i="338"/>
  <c r="AU45" i="338"/>
  <c r="AU31" i="338"/>
  <c r="AU34" i="338"/>
  <c r="AU18" i="338"/>
  <c r="AP46" i="338"/>
  <c r="AP45" i="338"/>
  <c r="AP9" i="338"/>
  <c r="AP8" i="338"/>
  <c r="AP39" i="338"/>
  <c r="AU37" i="338"/>
  <c r="AU36" i="338"/>
  <c r="AP50" i="338"/>
  <c r="AU51" i="338"/>
  <c r="AU47" i="338"/>
  <c r="AU41" i="338"/>
  <c r="AU35" i="338"/>
  <c r="AP35" i="338"/>
  <c r="AP15" i="338"/>
  <c r="AP34" i="338"/>
  <c r="AU33" i="338"/>
  <c r="AP49" i="338"/>
  <c r="O8" i="338"/>
  <c r="AN3" i="338"/>
  <c r="Q2" i="338"/>
  <c r="Q4" i="338" s="1"/>
  <c r="AM3" i="338"/>
  <c r="E4" i="338"/>
  <c r="E1" i="338" s="1"/>
  <c r="K8" i="338"/>
  <c r="U20" i="252"/>
  <c r="V20" i="252"/>
  <c r="L8" i="338" a="1"/>
  <c r="U8" i="338" a="1"/>
  <c r="V8" i="338" a="1"/>
  <c r="AN12" i="338"/>
  <c r="AN10" i="338"/>
  <c r="AS42" i="338"/>
  <c r="AN44" i="338"/>
  <c r="AN37" i="338"/>
  <c r="AN32" i="338"/>
  <c r="AN47" i="338"/>
  <c r="AN41" i="338"/>
  <c r="AS53" i="338"/>
  <c r="AS10" i="338"/>
  <c r="AN33" i="338"/>
  <c r="AN11" i="338"/>
  <c r="AN31" i="338"/>
  <c r="AN48" i="338"/>
  <c r="AS45" i="338"/>
  <c r="AN42" i="338"/>
  <c r="Q50" i="338" a="1"/>
  <c r="Q32" i="338" a="1"/>
  <c r="Q8" i="338" a="1"/>
  <c r="Q46" i="338" a="1"/>
  <c r="AM10" i="338"/>
  <c r="AM48" i="338"/>
  <c r="Q47" i="338" a="1"/>
  <c r="Q31" i="338" a="1"/>
  <c r="Q33" i="338" a="1"/>
  <c r="Q41" i="338" a="1"/>
  <c r="Q51" i="338" a="1"/>
  <c r="Q39" i="338" a="1"/>
  <c r="Q15" i="338" a="1"/>
  <c r="Q44" i="338" a="1"/>
  <c r="Q17" i="338" a="1"/>
  <c r="Q38" i="338" a="1"/>
  <c r="Q16" i="338" a="1"/>
  <c r="Q52" i="338" a="1"/>
  <c r="Q48" i="338" a="1"/>
  <c r="Q49" i="338" a="1"/>
  <c r="Q37" i="338" a="1"/>
  <c r="Q35" i="338" a="1"/>
  <c r="Q36" i="338" a="1"/>
  <c r="Q34" i="338" a="1"/>
  <c r="Q42" i="338" a="1"/>
  <c r="Q11" i="338" a="1"/>
  <c r="Q18" i="338" a="1"/>
  <c r="Q9" i="338" a="1"/>
  <c r="Q45" i="338" a="1"/>
  <c r="Q10" i="338" a="1"/>
  <c r="Q53" i="338" a="1"/>
  <c r="Q29" i="338" a="1"/>
  <c r="Q54" i="338" a="1"/>
  <c r="AM11" i="338"/>
  <c r="AM31" i="338"/>
  <c r="AR45" i="338"/>
  <c r="AM41" i="338"/>
  <c r="AR42" i="338"/>
  <c r="AM44" i="338"/>
  <c r="AM47" i="338"/>
  <c r="AM42" i="338"/>
  <c r="AR53" i="338"/>
  <c r="AM32" i="338"/>
  <c r="AM37" i="338"/>
  <c r="AM12" i="338"/>
  <c r="AR10" i="338"/>
  <c r="AM33" i="338"/>
  <c r="Q30" i="338" a="1"/>
  <c r="Q14" i="338" a="1"/>
  <c r="Q40" i="338" a="1"/>
  <c r="Q13" i="338" a="1"/>
  <c r="Q12" i="338" a="1"/>
  <c r="Q55" i="338" a="1"/>
  <c r="V8" i="338" l="1"/>
  <c r="U8" i="338"/>
  <c r="L8" i="338"/>
  <c r="Q46" i="338"/>
  <c r="Q8" i="338"/>
  <c r="Q32" i="338"/>
  <c r="Q50" i="338"/>
  <c r="Q54" i="338"/>
  <c r="Q29" i="338"/>
  <c r="Q53" i="338"/>
  <c r="Q10" i="338"/>
  <c r="Q45" i="338"/>
  <c r="Q9" i="338"/>
  <c r="Q18" i="338"/>
  <c r="Q11" i="338"/>
  <c r="Q42" i="338"/>
  <c r="Q34" i="338"/>
  <c r="Q36" i="338"/>
  <c r="Q35" i="338"/>
  <c r="Q37" i="338"/>
  <c r="Q49" i="338"/>
  <c r="Q48" i="338"/>
  <c r="Q52" i="338"/>
  <c r="Q16" i="338"/>
  <c r="Q38" i="338"/>
  <c r="Q17" i="338"/>
  <c r="Q44" i="338"/>
  <c r="Q15" i="338"/>
  <c r="Q39" i="338"/>
  <c r="Q51" i="338"/>
  <c r="Q41" i="338"/>
  <c r="Q33" i="338"/>
  <c r="Q31" i="338"/>
  <c r="Q47" i="338"/>
  <c r="Q12" i="338"/>
  <c r="Q13" i="338"/>
  <c r="Q40" i="338"/>
  <c r="Q14" i="338"/>
  <c r="Q30" i="338"/>
  <c r="Q55" i="338"/>
  <c r="E2" i="338"/>
  <c r="AT34" i="338"/>
  <c r="AT45" i="338"/>
  <c r="AO15" i="338"/>
  <c r="AO35" i="338"/>
  <c r="AO46" i="338"/>
  <c r="AT46" i="338"/>
  <c r="AT47" i="338"/>
  <c r="AO48" i="338"/>
  <c r="AT17" i="338"/>
  <c r="AO38" i="338"/>
  <c r="AT38" i="338"/>
  <c r="AO29" i="338"/>
  <c r="AT29" i="338"/>
  <c r="AO11" i="338"/>
  <c r="AT13" i="338"/>
  <c r="AO34" i="338"/>
  <c r="AO45" i="338"/>
  <c r="AO14" i="338"/>
  <c r="AT15" i="338"/>
  <c r="AT35" i="338"/>
  <c r="AO16" i="338"/>
  <c r="AO36" i="338"/>
  <c r="AO47" i="338"/>
  <c r="AT16" i="338"/>
  <c r="AT36" i="338"/>
  <c r="AO17" i="338"/>
  <c r="AO37" i="338"/>
  <c r="AT37" i="338"/>
  <c r="AT18" i="338"/>
  <c r="AO50" i="338"/>
  <c r="AT39" i="338"/>
  <c r="AO40" i="338"/>
  <c r="AO10" i="338"/>
  <c r="AO52" i="338"/>
  <c r="AO12" i="338"/>
  <c r="AT48" i="338"/>
  <c r="AO18" i="338"/>
  <c r="AO49" i="338"/>
  <c r="AT49" i="338"/>
  <c r="AT8" i="338"/>
  <c r="AO39" i="338"/>
  <c r="AO9" i="338"/>
  <c r="AT50" i="338"/>
  <c r="AT9" i="338"/>
  <c r="AO30" i="338"/>
  <c r="AO51" i="338"/>
  <c r="AT30" i="338"/>
  <c r="AT40" i="338"/>
  <c r="AT51" i="338"/>
  <c r="AT10" i="338"/>
  <c r="AO31" i="338"/>
  <c r="AO41" i="338"/>
  <c r="AT31" i="338"/>
  <c r="AT41" i="338"/>
  <c r="AT52" i="338"/>
  <c r="AD8" i="338"/>
  <c r="AB8" i="338"/>
  <c r="Z8" i="338"/>
  <c r="AT11" i="338"/>
  <c r="AO32" i="338"/>
  <c r="AO42" i="338"/>
  <c r="AO53" i="338"/>
  <c r="AO8" i="338"/>
  <c r="AT32" i="338"/>
  <c r="AT42" i="338"/>
  <c r="AT53" i="338"/>
  <c r="AT12" i="338"/>
  <c r="AO33" i="338"/>
  <c r="AO44" i="338"/>
  <c r="AO54" i="338"/>
  <c r="AO13" i="338"/>
  <c r="AT33" i="338"/>
  <c r="AT44" i="338"/>
  <c r="AT54" i="338"/>
  <c r="AM39" i="338"/>
  <c r="AR33" i="338"/>
  <c r="AR51" i="338"/>
  <c r="AR41" i="338"/>
  <c r="AS16" i="338"/>
  <c r="AR46" i="338"/>
  <c r="AS44" i="338"/>
  <c r="AS40" i="338"/>
  <c r="AM8" i="338"/>
  <c r="AR11" i="338"/>
  <c r="AM13" i="338"/>
  <c r="AS54" i="338"/>
  <c r="AM18" i="338"/>
  <c r="AN14" i="338"/>
  <c r="AN38" i="338"/>
  <c r="AN50" i="338"/>
  <c r="AM30" i="338"/>
  <c r="AM50" i="338"/>
  <c r="AS11" i="338"/>
  <c r="AN13" i="338"/>
  <c r="AR54" i="338"/>
  <c r="AN18" i="338"/>
  <c r="AM14" i="338"/>
  <c r="AN30" i="338"/>
  <c r="AN49" i="338"/>
  <c r="AM36" i="338"/>
  <c r="AS50" i="338"/>
  <c r="AR35" i="338"/>
  <c r="AN53" i="338"/>
  <c r="AM34" i="338"/>
  <c r="AR15" i="338"/>
  <c r="AM38" i="338"/>
  <c r="AS46" i="338"/>
  <c r="AR44" i="338"/>
  <c r="AR13" i="338"/>
  <c r="AS13" i="338"/>
  <c r="AN51" i="338"/>
  <c r="AR40" i="338"/>
  <c r="AM51" i="338"/>
  <c r="AS15" i="338"/>
  <c r="AR52" i="338"/>
  <c r="AN8" i="338"/>
  <c r="AM40" i="338"/>
  <c r="AN46" i="338"/>
  <c r="AR29" i="338"/>
  <c r="AS29" i="338"/>
  <c r="AM49" i="338"/>
  <c r="AN36" i="338"/>
  <c r="AN40" i="338"/>
  <c r="AM46" i="338"/>
  <c r="AR50" i="338"/>
  <c r="AS35" i="338"/>
  <c r="AR47" i="338"/>
  <c r="AR8" i="338"/>
  <c r="AM17" i="338"/>
  <c r="AN35" i="338"/>
  <c r="AS18" i="338"/>
  <c r="AN16" i="338"/>
  <c r="AN34" i="338"/>
  <c r="AS52" i="338"/>
  <c r="AS30" i="338"/>
  <c r="AS47" i="338"/>
  <c r="AN54" i="338"/>
  <c r="AS32" i="338"/>
  <c r="AS31" i="338"/>
  <c r="AN52" i="338"/>
  <c r="AS8" i="338"/>
  <c r="AR32" i="338"/>
  <c r="AR31" i="338"/>
  <c r="AM52" i="338"/>
  <c r="AN9" i="338"/>
  <c r="AM16" i="338"/>
  <c r="AR17" i="338"/>
  <c r="AR18" i="338"/>
  <c r="AS9" i="338"/>
  <c r="AR36" i="338"/>
  <c r="AR37" i="338"/>
  <c r="AS37" i="338"/>
  <c r="AM54" i="338"/>
  <c r="AS12" i="338"/>
  <c r="AN17" i="338"/>
  <c r="AM9" i="338"/>
  <c r="AM35" i="338"/>
  <c r="AS17" i="338"/>
  <c r="AR39" i="338"/>
  <c r="AS49" i="338"/>
  <c r="AR9" i="338"/>
  <c r="AS48" i="338"/>
  <c r="AR12" i="338"/>
  <c r="AS36" i="338"/>
  <c r="AS39" i="338"/>
  <c r="AR49" i="338"/>
  <c r="AR48" i="338"/>
  <c r="AR30" i="338"/>
  <c r="AM53" i="338"/>
  <c r="AN29" i="338"/>
  <c r="AN45" i="338"/>
  <c r="AR38" i="338"/>
  <c r="AN15" i="338"/>
  <c r="AS34" i="338"/>
  <c r="AM29" i="338"/>
  <c r="AM45" i="338"/>
  <c r="AS38" i="338"/>
  <c r="AM15" i="338"/>
  <c r="AR34" i="338"/>
  <c r="AS41" i="338"/>
  <c r="AN39" i="338"/>
  <c r="AS33" i="338"/>
  <c r="AS51" i="338"/>
  <c r="AR16" i="338"/>
  <c r="N8" i="338" l="1"/>
  <c r="R20" i="252"/>
  <c r="Q20" i="252"/>
  <c r="H20" i="252" a="1"/>
  <c r="H20" i="252" l="1"/>
  <c r="K20" i="252" l="1"/>
  <c r="I20" i="252"/>
  <c r="V19" i="252" l="1"/>
  <c r="U19" i="252"/>
  <c r="R19" i="252" l="1"/>
  <c r="Q19" i="252"/>
  <c r="H19" i="252" a="1"/>
  <c r="H19" i="252" l="1"/>
  <c r="I19" i="252" l="1"/>
  <c r="K19" i="252"/>
  <c r="V18" i="252" l="1"/>
  <c r="U18" i="252"/>
  <c r="Q18" i="252" l="1"/>
  <c r="R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U16" i="252" l="1"/>
  <c r="V16" i="252"/>
  <c r="R16" i="252" l="1"/>
  <c r="Q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s="1"/>
  <c r="C9" i="252" l="1"/>
  <c r="A9" i="252" s="1"/>
  <c r="U8" i="252"/>
  <c r="V8" i="252"/>
  <c r="K9" i="252"/>
  <c r="I9" i="252"/>
  <c r="R8" i="252" l="1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4" i="530"/>
  <c r="J39" i="530" s="1"/>
  <c r="J40" i="530" s="1"/>
  <c r="J33" i="530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C27" i="530"/>
  <c r="D26" i="530"/>
  <c r="A26" i="530"/>
  <c r="D25" i="530"/>
  <c r="U24" i="530"/>
  <c r="U23" i="530"/>
  <c r="C20" i="530"/>
  <c r="J19" i="530"/>
  <c r="L19" i="530" s="1"/>
  <c r="L18" i="530"/>
  <c r="D17" i="530"/>
  <c r="D16" i="530"/>
  <c r="C18" i="530" s="1"/>
  <c r="J14" i="530"/>
  <c r="J15" i="530" s="1"/>
  <c r="J16" i="530" s="1"/>
  <c r="G14" i="530"/>
  <c r="F12" i="530"/>
  <c r="C10" i="530"/>
  <c r="D7" i="530"/>
  <c r="C8" i="530" s="1"/>
  <c r="D6" i="530"/>
  <c r="F3" i="530"/>
  <c r="F4" i="530" s="1"/>
  <c r="B6" i="252" l="1"/>
  <c r="A6" i="252" s="1"/>
  <c r="K6" i="252"/>
  <c r="I6" i="252"/>
  <c r="L16" i="530"/>
  <c r="K16" i="530"/>
  <c r="G42" i="530"/>
  <c r="G41" i="530"/>
  <c r="J42" i="530"/>
  <c r="J41" i="530"/>
  <c r="F41" i="530"/>
  <c r="F42" i="530"/>
  <c r="H41" i="530"/>
  <c r="H42" i="530"/>
  <c r="I42" i="530"/>
  <c r="I41" i="530"/>
  <c r="L20" i="530"/>
  <c r="M20" i="53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<sst xmlns="http://schemas.openxmlformats.org/spreadsheetml/2006/main" count="19809" uniqueCount="2473">
  <si>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</si>
  <si>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</si>
  <si>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</si>
  <si>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</si>
  <si>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</si>
  <si>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</si>
  <si>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</si>
  <si>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</si>
  <si>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</si>
  <si>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</si>
  <si>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</si>
  <si>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</si>
  <si>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</si>
  <si>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</si>
  <si>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</si>
  <si>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</si>
  <si>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</si>
  <si>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</si>
  <si>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</si>
  <si>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</si>
  <si>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</si>
  <si>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</si>
  <si>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</si>
  <si>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</si>
  <si>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</si>
  <si>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</si>
  <si>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</si>
  <si>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</si>
  <si>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</si>
  <si>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</si>
  <si>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</si>
  <si>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</si>
  <si>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</si>
  <si>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</si>
  <si>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</si>
  <si>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</si>
  <si>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</si>
  <si>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</si>
  <si>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</si>
  <si>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</si>
  <si>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</si>
  <si>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</si>
  <si>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</si>
  <si>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</si>
  <si>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</si>
  <si>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</si>
  <si>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</si>
  <si>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</si>
  <si>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</si>
  <si>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</si>
  <si>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</si>
  <si>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</si>
  <si>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</si>
  <si>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</si>
  <si>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</si>
  <si>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</si>
  <si>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</si>
  <si>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</si>
  <si>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</si>
  <si>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</si>
  <si>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</si>
  <si>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</si>
  <si>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</si>
  <si>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</si>
  <si>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</si>
  <si>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</si>
  <si>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</si>
  <si>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</si>
  <si>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</si>
  <si>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</si>
  <si>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</si>
  <si>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</si>
  <si>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</si>
  <si>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</si>
  <si>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</si>
  <si>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</si>
  <si>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</si>
  <si>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</si>
  <si>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</si>
  <si>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</si>
  <si>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</si>
  <si>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</si>
  <si>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</si>
  <si>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</si>
  <si>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</si>
  <si>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</si>
  <si>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</si>
  <si>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</si>
  <si>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</si>
  <si>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</si>
  <si>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</si>
  <si>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</si>
  <si>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</si>
  <si>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</si>
  <si>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</si>
  <si>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</si>
  <si>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</si>
  <si>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</si>
  <si>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</si>
  <si>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</si>
  <si>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</si>
  <si>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</si>
  <si>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</si>
  <si>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</si>
  <si>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</si>
  <si>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</si>
  <si>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</si>
  <si>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</si>
  <si>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</si>
  <si>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</si>
  <si>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</si>
  <si>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</si>
  <si>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</si>
  <si>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</si>
  <si>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</si>
  <si>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</si>
  <si>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</si>
  <si>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</si>
  <si>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</si>
  <si>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</si>
  <si>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</si>
  <si>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</si>
  <si>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</si>
  <si>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</si>
  <si>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</si>
  <si>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</si>
  <si>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</si>
  <si>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</si>
  <si>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</si>
  <si>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</si>
  <si>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</si>
  <si>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</si>
  <si>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</si>
  <si>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</si>
  <si>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</si>
  <si>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</si>
  <si>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</si>
  <si>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</si>
  <si>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</si>
  <si>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</si>
  <si>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</si>
  <si>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</si>
  <si>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</si>
  <si>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</si>
  <si>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</si>
  <si>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</si>
  <si>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</si>
  <si>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</si>
  <si>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</si>
  <si>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</si>
  <si>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</si>
  <si>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</si>
  <si>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</si>
  <si>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</si>
  <si>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</si>
  <si>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</si>
  <si>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</si>
  <si>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</si>
  <si>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</si>
  <si>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</si>
  <si>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</si>
  <si>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</si>
  <si>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</si>
  <si>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</si>
  <si>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</si>
  <si>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</si>
  <si>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</si>
  <si>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</si>
  <si>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</si>
  <si>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</si>
  <si>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</si>
  <si>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</si>
  <si>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</si>
  <si>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</si>
  <si>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</si>
  <si>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</si>
  <si>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</si>
  <si>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</si>
  <si>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</si>
  <si>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</si>
  <si>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</si>
  <si>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</si>
  <si>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</si>
  <si>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</si>
  <si>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</si>
  <si>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</si>
  <si>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</si>
  <si>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</si>
  <si>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</si>
  <si>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</si>
  <si>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</si>
  <si>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</si>
  <si>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</si>
  <si>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</si>
  <si>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</si>
  <si>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</si>
  <si>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</si>
  <si>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</si>
  <si>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</si>
  <si>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</si>
  <si>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</si>
  <si>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</si>
  <si>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</si>
  <si>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</si>
  <si>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</si>
  <si>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</si>
  <si>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</si>
  <si>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</si>
  <si>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</si>
  <si>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</si>
  <si>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</si>
  <si>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</si>
  <si>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</si>
  <si>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</si>
  <si>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</si>
  <si>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</si>
  <si>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</si>
  <si>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</si>
  <si>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</si>
  <si>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</si>
  <si>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</si>
  <si>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</si>
  <si>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</si>
  <si>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</si>
  <si>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</si>
  <si>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</si>
  <si>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</si>
  <si>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</si>
  <si>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</si>
  <si>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</si>
  <si>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</si>
  <si>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</si>
  <si>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</si>
  <si>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</si>
  <si>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</si>
  <si>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</si>
  <si>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</si>
  <si>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</si>
  <si>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</si>
  <si>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</si>
  <si>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</si>
  <si>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</si>
  <si>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</si>
  <si>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</si>
  <si>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</si>
  <si>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</si>
  <si>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</si>
  <si>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</si>
  <si>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</si>
  <si>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</si>
  <si>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</si>
  <si>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</si>
  <si>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</si>
  <si>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</si>
  <si>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</si>
  <si>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</si>
  <si>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</si>
  <si>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</si>
  <si>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</si>
  <si>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</si>
  <si>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</si>
  <si>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</si>
  <si>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</si>
  <si>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</si>
  <si>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</si>
  <si>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</si>
  <si>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</si>
  <si>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</si>
  <si>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</si>
  <si>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</si>
  <si>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</si>
  <si>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</si>
  <si>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</si>
  <si>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</si>
  <si>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</si>
  <si>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</si>
  <si>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</si>
  <si>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</si>
  <si>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</si>
  <si>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</si>
  <si>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</si>
  <si>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</si>
  <si>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</si>
  <si>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</si>
  <si>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</si>
  <si>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</si>
  <si>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</si>
  <si>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</si>
  <si>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</si>
  <si>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</si>
  <si>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</si>
  <si>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</si>
  <si>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</si>
  <si>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</si>
  <si>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</si>
  <si>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</si>
  <si>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</si>
  <si>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</si>
  <si>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</si>
  <si>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</si>
  <si>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</si>
  <si>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</si>
  <si>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</si>
  <si>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</si>
  <si>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</si>
  <si>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</si>
  <si>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</si>
  <si>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</si>
  <si>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</si>
  <si>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</si>
  <si>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</si>
  <si>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</si>
  <si>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</si>
  <si>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</si>
  <si>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</si>
  <si>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</si>
  <si>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</si>
  <si>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</si>
  <si>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</si>
  <si>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</si>
  <si>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</si>
  <si>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</si>
  <si>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</si>
  <si>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</si>
  <si>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</si>
  <si>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</si>
  <si>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</si>
  <si>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</si>
  <si>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</si>
  <si>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</si>
  <si>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</si>
  <si>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</si>
  <si>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</si>
  <si>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</si>
  <si>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</si>
  <si>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</si>
  <si>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</si>
  <si>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</si>
  <si>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</si>
  <si>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</si>
  <si>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</si>
  <si>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</si>
  <si>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</si>
  <si>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</si>
  <si>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</si>
  <si>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</si>
  <si>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</si>
  <si>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</si>
  <si>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</si>
  <si>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</si>
  <si>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</si>
  <si>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</si>
  <si>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</si>
  <si>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</si>
  <si>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</si>
  <si>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</si>
  <si>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</si>
  <si>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</si>
  <si>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</si>
  <si>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</si>
  <si>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</si>
  <si>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</si>
  <si>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</si>
  <si>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</si>
  <si>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</si>
  <si>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</si>
  <si>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</si>
  <si>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</si>
  <si>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</si>
  <si>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</si>
  <si>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</si>
  <si>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</si>
  <si>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</si>
  <si>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</si>
  <si>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</si>
  <si>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</si>
  <si>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</si>
  <si>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</si>
  <si>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</si>
  <si>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</si>
  <si>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</si>
  <si>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</si>
  <si>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</si>
  <si>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</si>
  <si>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</si>
  <si>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</si>
  <si>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</si>
  <si>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</si>
  <si>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</si>
  <si>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</si>
  <si>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</si>
  <si>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</si>
  <si>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</si>
  <si>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</si>
  <si>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</si>
  <si>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</si>
  <si>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</si>
  <si>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</si>
  <si>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</si>
  <si>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</si>
  <si>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</si>
  <si>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</si>
  <si>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</si>
  <si>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</si>
  <si>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</si>
  <si>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</si>
  <si>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</si>
  <si>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</si>
  <si>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</si>
  <si>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</si>
  <si>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</si>
  <si>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</si>
  <si>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</si>
  <si>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</si>
  <si>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</si>
  <si>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</si>
  <si>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</si>
  <si>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</si>
  <si>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</si>
  <si>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</si>
  <si>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</si>
  <si>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</si>
  <si>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</si>
  <si>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</si>
  <si>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</si>
  <si>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</si>
  <si>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</si>
  <si>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</si>
  <si>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</si>
  <si>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</si>
  <si>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</si>
  <si>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</si>
  <si>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</si>
  <si>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</si>
  <si>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</si>
  <si>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</si>
  <si>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</si>
  <si>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</si>
  <si>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</si>
  <si>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</si>
  <si>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</si>
  <si>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</si>
  <si>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</si>
  <si>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</si>
  <si>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</si>
  <si>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</si>
  <si>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</si>
  <si>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</si>
  <si>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</si>
  <si>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</si>
  <si>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</si>
  <si>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</si>
  <si>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</si>
  <si>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</si>
  <si>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</si>
  <si>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</si>
  <si>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</si>
  <si>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</si>
  <si>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</si>
  <si>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</si>
  <si>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</si>
  <si>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</si>
  <si>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</si>
  <si>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</si>
  <si>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</si>
  <si>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</si>
  <si>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</si>
  <si>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</si>
  <si>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</si>
  <si>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</si>
  <si>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</si>
  <si>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</si>
  <si>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</si>
  <si>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</si>
  <si>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</si>
  <si>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</si>
  <si>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</si>
  <si>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</si>
  <si>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</si>
  <si>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</si>
  <si>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</si>
  <si>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</si>
  <si>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</si>
  <si>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</si>
  <si>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</si>
  <si>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</si>
  <si>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</si>
  <si>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</si>
  <si>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</si>
  <si>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</si>
  <si>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</si>
  <si>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</si>
  <si>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</si>
  <si>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</si>
  <si>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</si>
  <si>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</si>
  <si>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</si>
  <si>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</si>
  <si>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</si>
  <si>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</si>
  <si>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</si>
  <si>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</si>
  <si>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</si>
  <si>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</si>
  <si>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</si>
  <si>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</si>
  <si>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</si>
  <si>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</si>
  <si>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</si>
  <si>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</si>
  <si>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</si>
  <si>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</si>
  <si>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</si>
  <si>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</si>
  <si>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</si>
  <si>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</si>
  <si>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</si>
  <si>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</si>
  <si>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</si>
  <si>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</si>
  <si>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</si>
  <si>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</si>
  <si>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</si>
  <si>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</si>
  <si>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</si>
  <si>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</si>
  <si>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</si>
  <si>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</si>
  <si>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</si>
  <si>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</si>
  <si>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</si>
  <si>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</si>
  <si>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</si>
  <si>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</si>
  <si>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</si>
  <si>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</si>
  <si>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</si>
  <si>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</si>
  <si>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</si>
  <si>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</si>
  <si>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</si>
  <si>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</si>
  <si>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</si>
  <si>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</si>
  <si>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</si>
  <si>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</si>
  <si>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</si>
  <si>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</si>
  <si>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</si>
  <si>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</si>
  <si>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</si>
  <si>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</si>
  <si>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</si>
  <si>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</si>
  <si>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</si>
  <si>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</si>
  <si>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</si>
  <si>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</si>
  <si>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</si>
  <si>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</si>
  <si>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</si>
  <si>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</si>
  <si>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</si>
  <si>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</si>
  <si>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</si>
  <si>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</si>
  <si>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</si>
  <si>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</si>
  <si>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</si>
  <si>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</si>
  <si>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</si>
  <si>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</si>
  <si>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</si>
  <si>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</si>
  <si>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</si>
  <si>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</si>
  <si>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</si>
  <si>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</si>
  <si>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</si>
  <si>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</si>
  <si>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</si>
  <si>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</si>
  <si>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</si>
  <si>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</si>
  <si>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</si>
  <si>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</si>
  <si>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</si>
  <si>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</si>
  <si>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</si>
  <si>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</si>
  <si>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</si>
  <si>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</si>
  <si>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</si>
  <si>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</si>
  <si>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</si>
  <si>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</si>
  <si>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</si>
  <si>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</si>
  <si>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</si>
  <si>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</si>
  <si>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</si>
  <si>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</si>
  <si>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</si>
  <si>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</si>
  <si>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</si>
  <si>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</si>
  <si>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</si>
  <si>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</si>
  <si>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</si>
  <si>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</si>
  <si>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</si>
  <si>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</si>
  <si>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</si>
  <si>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</si>
  <si>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</si>
  <si>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</si>
  <si>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</si>
  <si>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</si>
  <si>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</si>
  <si>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</si>
  <si>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</si>
  <si>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</si>
  <si>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</si>
  <si>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</si>
  <si>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</si>
  <si>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</si>
  <si>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</si>
  <si>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</si>
  <si>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</si>
  <si>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</si>
  <si>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</si>
  <si>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</si>
  <si>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</si>
  <si>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</si>
  <si>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</si>
  <si>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</si>
  <si>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</si>
  <si>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</si>
  <si>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</si>
  <si>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</si>
  <si>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</si>
  <si>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</si>
  <si>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</si>
  <si>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</si>
  <si>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</si>
  <si>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</si>
  <si>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</si>
  <si>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</si>
  <si>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</si>
  <si>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</si>
  <si>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</si>
  <si>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</si>
  <si>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</si>
  <si>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</si>
  <si>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</si>
  <si>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</si>
  <si>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</si>
  <si>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</si>
  <si>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</si>
  <si>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</si>
  <si>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</si>
  <si>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</si>
  <si>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</si>
  <si>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</si>
  <si>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</si>
  <si>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</si>
  <si>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</si>
  <si>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</si>
  <si>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</si>
  <si>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</si>
  <si>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</si>
  <si>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</si>
  <si>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</si>
  <si>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</si>
  <si>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</si>
  <si>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</si>
  <si>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</si>
  <si>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</si>
  <si>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</si>
  <si>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</si>
  <si>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</si>
  <si>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</si>
  <si>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</si>
  <si>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</si>
  <si>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</si>
  <si>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</si>
  <si>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</si>
  <si>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</si>
  <si>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</si>
  <si>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</si>
  <si>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</si>
  <si>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</si>
  <si>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</si>
  <si>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</si>
  <si>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</si>
  <si>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</si>
  <si>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</si>
  <si>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</si>
  <si>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</si>
  <si>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</si>
  <si>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</si>
  <si>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</si>
  <si>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</si>
  <si>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</si>
  <si>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</si>
  <si>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</si>
  <si>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</si>
  <si>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</si>
  <si>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</si>
  <si>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</si>
  <si>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</si>
  <si>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</si>
  <si>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</si>
  <si>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</si>
  <si>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</si>
  <si>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</si>
  <si>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</si>
  <si>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</si>
  <si>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</si>
  <si>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</si>
  <si>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</si>
  <si>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</si>
  <si>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</si>
  <si>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</si>
  <si>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</si>
  <si>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</si>
  <si>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</si>
  <si>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</si>
  <si>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</si>
  <si>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</si>
  <si>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</si>
  <si>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</si>
  <si>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</si>
  <si>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</si>
  <si>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</si>
  <si>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</si>
  <si>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</si>
  <si>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</si>
  <si>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</si>
  <si>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</si>
  <si>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</si>
  <si>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</si>
  <si>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</si>
  <si>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</si>
  <si>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</si>
  <si>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</si>
  <si>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</si>
  <si>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</si>
  <si>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</si>
  <si>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</si>
  <si>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</si>
  <si>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</si>
  <si>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</si>
  <si>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</si>
  <si>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</si>
  <si>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</si>
  <si>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</si>
  <si>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</si>
  <si>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</si>
  <si>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</si>
  <si>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</si>
  <si>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</si>
  <si>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</si>
  <si>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</si>
  <si>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</si>
  <si>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</si>
  <si>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</si>
  <si>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</si>
  <si>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</si>
  <si>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</si>
  <si>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</si>
  <si>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</si>
  <si>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</si>
  <si>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</si>
  <si>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</si>
  <si>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</si>
  <si>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</si>
  <si>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</si>
  <si>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</si>
  <si>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</si>
  <si>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</si>
  <si>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</si>
  <si>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</si>
  <si>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</si>
  <si>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</si>
  <si>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</si>
  <si>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</si>
  <si>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</si>
  <si>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</si>
  <si>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</si>
  <si>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</si>
  <si>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</si>
  <si>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</si>
  <si>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</si>
  <si>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</si>
  <si>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</si>
  <si>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</si>
  <si>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</si>
  <si>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</si>
  <si>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</si>
  <si>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</si>
  <si>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</si>
  <si>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</si>
  <si>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</si>
  <si>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</si>
  <si>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</si>
  <si>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</si>
  <si>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</si>
  <si>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</si>
  <si>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</si>
  <si>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</si>
  <si>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</si>
  <si>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</si>
  <si>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</si>
  <si>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</si>
  <si>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</si>
  <si>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</si>
  <si>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</si>
  <si>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</si>
  <si>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</si>
  <si>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</si>
  <si>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</si>
  <si>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</si>
  <si>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</si>
  <si>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</si>
  <si>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</si>
  <si>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</si>
  <si>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</si>
  <si>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</si>
  <si>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</si>
  <si>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</si>
  <si>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</si>
  <si>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</si>
  <si>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</si>
  <si>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</si>
  <si>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</si>
  <si>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</si>
  <si>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</si>
  <si>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</si>
  <si>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</si>
  <si>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</si>
  <si>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</si>
  <si>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</si>
  <si>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</si>
  <si>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</si>
  <si>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</si>
  <si>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</si>
  <si>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</si>
  <si>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</si>
  <si>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</si>
  <si>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</si>
  <si>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</si>
  <si>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</si>
  <si>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</si>
  <si>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</si>
  <si>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</si>
  <si>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</si>
  <si>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</si>
  <si>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</si>
  <si>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</si>
  <si>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</si>
  <si>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</si>
  <si>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</si>
  <si>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</si>
  <si>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</si>
  <si>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</si>
  <si>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</si>
  <si>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</si>
  <si>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</si>
  <si>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</si>
  <si>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</si>
  <si>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</si>
  <si>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</si>
  <si>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</si>
  <si>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</si>
  <si>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</si>
  <si>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</si>
  <si>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</si>
  <si>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</si>
  <si>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</si>
  <si>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</si>
  <si>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</si>
  <si>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</si>
  <si>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</si>
  <si>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</si>
  <si>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</si>
  <si>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</si>
  <si>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</si>
  <si>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</si>
  <si>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</si>
  <si>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</si>
  <si>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</si>
  <si>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</si>
  <si>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</si>
  <si>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</si>
  <si>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</si>
  <si>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</si>
  <si>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</si>
  <si>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</si>
  <si>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</si>
  <si>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</si>
  <si>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</si>
  <si>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</si>
  <si>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</si>
  <si>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</si>
  <si>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</si>
  <si>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</si>
  <si>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</si>
  <si>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</si>
  <si>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</si>
  <si>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</si>
  <si>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</si>
  <si>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</si>
  <si>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</si>
  <si>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</si>
  <si>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</si>
  <si>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</si>
  <si>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</si>
  <si>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</si>
  <si>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</si>
  <si>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</si>
  <si>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</si>
  <si>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</si>
  <si>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</si>
  <si>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</si>
  <si>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</si>
  <si>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</si>
  <si>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</si>
  <si>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</si>
  <si>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</si>
  <si>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</si>
  <si>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</si>
  <si>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</si>
  <si>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</si>
  <si>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</si>
  <si>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</si>
  <si>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</si>
  <si>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</si>
  <si>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</si>
  <si>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</si>
  <si>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</si>
  <si>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</si>
  <si>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</si>
  <si>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</si>
  <si>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</si>
  <si>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</si>
  <si>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</si>
  <si>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</si>
  <si>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</si>
  <si>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</si>
  <si>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</si>
  <si>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</si>
  <si>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</si>
  <si>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</si>
  <si>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</si>
  <si>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</si>
  <si>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</si>
  <si>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</si>
  <si>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</si>
  <si>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</si>
  <si>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</si>
  <si>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</si>
  <si>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</si>
  <si>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</si>
  <si>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</si>
  <si>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</si>
  <si>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</si>
  <si>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</si>
  <si>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</si>
  <si>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</si>
  <si>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</si>
  <si>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</si>
  <si>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</si>
  <si>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</si>
  <si>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</si>
  <si>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</si>
  <si>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</si>
  <si>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</si>
  <si>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</si>
  <si>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</si>
  <si>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</si>
  <si>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</si>
  <si>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</si>
  <si>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</si>
  <si>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</si>
  <si>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</si>
  <si>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</si>
  <si>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</si>
  <si>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</si>
  <si>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</si>
  <si>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</si>
  <si>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</si>
  <si>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</si>
  <si>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</si>
  <si>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</si>
  <si>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</si>
  <si>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</si>
  <si>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</si>
  <si>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</si>
  <si>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</si>
  <si>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</si>
  <si>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</si>
  <si>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</si>
  <si>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</si>
  <si>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</si>
  <si>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</si>
  <si>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</si>
  <si>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</si>
  <si>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</si>
  <si>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</si>
  <si>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</si>
  <si>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</si>
  <si>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</si>
  <si>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</si>
  <si>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</si>
  <si>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</si>
  <si>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</si>
  <si>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</si>
  <si>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</si>
  <si>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</si>
  <si>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</si>
  <si>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</si>
  <si>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</si>
  <si>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</si>
  <si>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</si>
  <si>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</si>
  <si>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</si>
  <si>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</si>
  <si>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</si>
  <si>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</si>
  <si>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</si>
  <si>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</si>
  <si>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</si>
  <si>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</si>
  <si>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</si>
  <si>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</si>
  <si>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</si>
  <si>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</si>
  <si>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</si>
  <si>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</si>
  <si>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</si>
  <si>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</si>
  <si>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</si>
  <si>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</si>
  <si>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</si>
  <si>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</si>
  <si>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</si>
  <si>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</si>
  <si>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</si>
  <si>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</si>
  <si>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</si>
  <si>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</si>
  <si>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</si>
  <si>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</si>
  <si>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</si>
  <si>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</si>
  <si>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</si>
  <si>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</si>
  <si>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</si>
  <si>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</si>
  <si>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</si>
  <si>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</si>
  <si>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</si>
  <si>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</si>
  <si>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</si>
  <si>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</si>
  <si>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</si>
  <si>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</si>
  <si>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</si>
  <si>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</si>
  <si>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</si>
  <si>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</si>
  <si>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</si>
  <si>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</si>
  <si>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</si>
  <si>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</si>
  <si>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</si>
  <si>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</si>
  <si>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</si>
  <si>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</si>
  <si>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</si>
  <si>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</si>
  <si>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</si>
  <si>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</si>
  <si>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</si>
  <si>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</si>
  <si>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</si>
  <si>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</si>
  <si>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</si>
  <si>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</si>
  <si>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</si>
  <si>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</si>
  <si>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</si>
  <si>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</si>
  <si>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</si>
  <si>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</si>
  <si>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</si>
  <si>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</si>
  <si>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</si>
  <si>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</si>
  <si>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</si>
  <si>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</si>
  <si>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</si>
  <si>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</si>
  <si>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</si>
  <si>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</si>
  <si>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</si>
  <si>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</si>
  <si>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</si>
  <si>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</si>
  <si>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</si>
  <si>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</si>
  <si>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</si>
  <si>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</si>
  <si>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</si>
  <si>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</si>
  <si>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</si>
  <si>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</si>
  <si>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</si>
  <si>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</si>
  <si>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</si>
  <si>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</si>
  <si>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</si>
  <si>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</si>
  <si>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</si>
  <si>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</si>
  <si>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</si>
  <si>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</si>
  <si>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</si>
  <si>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</si>
  <si>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</si>
  <si>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</si>
  <si>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</si>
  <si>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</si>
  <si>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</si>
  <si>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</si>
  <si>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</si>
  <si>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</si>
  <si>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</si>
  <si>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</si>
  <si>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</si>
  <si>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</si>
  <si>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</si>
  <si>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</si>
  <si>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</si>
  <si>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</si>
  <si>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</si>
  <si>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</si>
  <si>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</si>
  <si>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</si>
  <si>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</si>
  <si>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</si>
  <si>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</si>
  <si>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</si>
  <si>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</si>
  <si>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</si>
  <si>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</si>
  <si>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</si>
  <si>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</si>
  <si>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</si>
  <si>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</si>
  <si>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</si>
  <si>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</si>
  <si>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</si>
  <si>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</si>
  <si>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</si>
  <si>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</si>
  <si>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</si>
  <si>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</si>
  <si>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</si>
  <si>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</si>
  <si>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</si>
  <si>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</si>
  <si>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</si>
  <si>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</si>
  <si>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</si>
  <si>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</si>
  <si>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</si>
  <si>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</si>
  <si>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</si>
  <si>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</si>
  <si>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</si>
  <si>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</si>
  <si>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</si>
  <si>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</si>
  <si>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</si>
  <si>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</si>
  <si>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</si>
  <si>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</si>
  <si>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</si>
  <si>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</si>
  <si>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</si>
  <si>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</si>
  <si>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</si>
  <si>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</si>
  <si>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</si>
  <si>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</si>
  <si>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</si>
  <si>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</si>
  <si>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</si>
  <si>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</si>
  <si>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</si>
  <si>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</si>
  <si>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</si>
  <si>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</si>
  <si>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</si>
  <si>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</si>
  <si>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</si>
  <si>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</si>
  <si>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</si>
  <si>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</si>
  <si>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</si>
  <si>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</si>
  <si>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</si>
  <si>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</si>
  <si>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</si>
  <si>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</si>
  <si>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</si>
  <si>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</si>
  <si>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</si>
  <si>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</si>
  <si>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</si>
  <si>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</si>
  <si>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</si>
  <si>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</si>
  <si>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</si>
  <si>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</si>
  <si>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</si>
  <si>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</si>
  <si>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</si>
  <si>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</si>
  <si>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</si>
  <si>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</si>
  <si>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</si>
  <si>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</si>
  <si>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</si>
  <si>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</si>
  <si>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</si>
  <si>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</si>
  <si>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</si>
  <si>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</si>
  <si>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</si>
  <si>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</si>
  <si>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</si>
  <si>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</si>
  <si>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</si>
  <si>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</si>
  <si>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</si>
  <si>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</si>
  <si>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</si>
  <si>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</si>
  <si>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</si>
  <si>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</si>
  <si>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</si>
  <si>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</si>
  <si>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</si>
  <si>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</si>
  <si>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</si>
  <si>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</si>
  <si>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</si>
  <si>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</si>
  <si>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</si>
  <si>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</si>
  <si>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</si>
  <si>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</si>
  <si>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</si>
  <si>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</si>
  <si>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</si>
  <si>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</si>
  <si>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</si>
  <si>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</si>
  <si>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</si>
  <si>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</si>
  <si>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</si>
  <si>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</si>
  <si>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</si>
  <si>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</si>
  <si>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</si>
  <si>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</si>
  <si>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</si>
  <si>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</si>
  <si>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</si>
  <si>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</si>
  <si>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</si>
  <si>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</si>
  <si>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</si>
  <si>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</si>
  <si>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</si>
  <si>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</si>
  <si>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</si>
  <si>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</si>
  <si>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</si>
  <si>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</si>
  <si>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</si>
  <si>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</si>
  <si>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</si>
  <si>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</si>
  <si>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</si>
  <si>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</si>
  <si>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</si>
  <si>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</si>
  <si>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</si>
  <si>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</si>
  <si>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</si>
  <si>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</si>
  <si>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</si>
  <si>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</si>
  <si>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</si>
  <si>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</si>
  <si>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</si>
  <si>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</si>
  <si>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</si>
  <si>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</si>
  <si>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</si>
  <si>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</si>
  <si>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</si>
  <si>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</si>
  <si>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</si>
  <si>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</si>
  <si>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</si>
  <si>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</si>
  <si>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</si>
  <si>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</si>
  <si>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</si>
  <si>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</si>
  <si>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</si>
  <si>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</si>
  <si>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</si>
  <si>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</si>
  <si>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</si>
  <si>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</si>
  <si>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</si>
  <si>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</si>
  <si>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</si>
  <si>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</si>
  <si>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</si>
  <si>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</si>
  <si>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</si>
  <si>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</si>
  <si>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</si>
  <si>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</si>
  <si>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</si>
  <si>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</si>
  <si>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</si>
  <si>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</si>
  <si>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</si>
  <si>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</si>
  <si>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</si>
  <si>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</si>
  <si>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</si>
  <si>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</si>
  <si>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</si>
  <si>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</si>
  <si>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</si>
  <si>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</si>
  <si>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</si>
  <si>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</si>
  <si>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</si>
  <si>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</si>
  <si>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</si>
  <si>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</si>
  <si>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</si>
  <si>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</si>
  <si>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</si>
  <si>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</si>
  <si>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</si>
  <si>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</si>
  <si>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</si>
  <si>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</si>
  <si>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</si>
  <si>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</si>
  <si>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</si>
  <si>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</si>
  <si>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</si>
  <si>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</si>
  <si>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</si>
  <si>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</si>
  <si>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</si>
  <si>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</si>
  <si>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</si>
  <si>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</si>
  <si>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</si>
  <si>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</si>
  <si>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</si>
  <si>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</si>
  <si>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</si>
  <si>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</si>
  <si>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</si>
  <si>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</si>
  <si>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</si>
  <si>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</si>
  <si>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</si>
  <si>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</si>
  <si>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</si>
  <si>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</si>
  <si>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</si>
  <si>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</si>
  <si>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</si>
  <si>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</si>
  <si>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</si>
  <si>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</si>
  <si>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</si>
  <si>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</si>
  <si>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</si>
  <si>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</si>
  <si>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</si>
  <si>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</si>
  <si>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</si>
  <si>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</si>
  <si>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</si>
  <si>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</si>
  <si>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</si>
  <si>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</si>
  <si>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</si>
  <si>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</si>
  <si>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</si>
  <si>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</si>
  <si>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</si>
  <si>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</si>
  <si>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</si>
  <si>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</si>
  <si>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</si>
  <si>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</si>
  <si>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</si>
  <si>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</si>
  <si>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</si>
  <si>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</si>
  <si>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</si>
  <si>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</si>
  <si>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</si>
  <si>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</si>
  <si>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</si>
  <si>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</si>
  <si>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</si>
  <si>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</si>
  <si>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</si>
  <si>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</si>
  <si>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</si>
  <si>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</si>
  <si>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</si>
  <si>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</si>
  <si>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</si>
  <si>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</si>
  <si>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</si>
  <si>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</si>
  <si>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</si>
  <si>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</si>
  <si>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</si>
  <si>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</si>
  <si>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</si>
  <si>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</si>
  <si>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</si>
  <si>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</si>
  <si>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</si>
  <si>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</si>
  <si>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</si>
  <si>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</si>
  <si>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</si>
  <si>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</si>
  <si>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</si>
  <si>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</si>
  <si>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</si>
  <si>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</si>
  <si>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</si>
  <si>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</si>
  <si>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</si>
  <si>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</si>
  <si>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</si>
  <si>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</si>
  <si>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</si>
  <si>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</si>
  <si>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</si>
  <si>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</si>
  <si>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</si>
  <si>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</si>
  <si>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</si>
  <si>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</si>
  <si>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</si>
  <si>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</si>
  <si>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</si>
  <si>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</si>
  <si>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</si>
  <si>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</si>
  <si>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</si>
  <si>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</si>
  <si>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</si>
  <si>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</si>
  <si>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</si>
  <si>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</si>
  <si>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</si>
  <si>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</si>
  <si>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</si>
  <si>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</si>
  <si>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</si>
  <si>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</si>
  <si>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</si>
  <si>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</si>
  <si>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</si>
  <si>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</si>
  <si>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</si>
  <si>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</si>
  <si>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</si>
  <si>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</si>
  <si>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</si>
  <si>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</si>
  <si>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</si>
  <si>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</si>
  <si>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</si>
  <si>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</si>
  <si>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</si>
  <si>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</si>
  <si>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</si>
  <si>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</si>
  <si>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</si>
  <si>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</si>
  <si>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</si>
  <si>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</si>
  <si>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</si>
  <si>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</si>
  <si>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</si>
  <si>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</si>
  <si>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</si>
  <si>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</si>
  <si>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</si>
  <si>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</si>
  <si>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</si>
  <si>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</si>
  <si>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</si>
  <si>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</si>
  <si>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</si>
  <si>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</si>
  <si>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</si>
  <si>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</si>
  <si>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</si>
  <si>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</si>
  <si>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</si>
  <si>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</si>
  <si>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</si>
  <si>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</si>
  <si>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</si>
  <si>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</si>
  <si>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</si>
  <si>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</si>
  <si>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</si>
  <si>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</si>
  <si>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</si>
  <si>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</si>
  <si>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</si>
  <si>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</si>
  <si>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</si>
  <si>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</si>
  <si>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</si>
  <si>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</si>
  <si>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</si>
  <si>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</si>
  <si>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</si>
  <si>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</si>
  <si>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</si>
  <si>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</si>
  <si>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</si>
  <si>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</si>
  <si>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</si>
  <si>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</si>
  <si>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</si>
  <si>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</si>
  <si>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</si>
  <si>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</si>
  <si>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</si>
  <si>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</si>
  <si>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</si>
  <si>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</si>
  <si>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</si>
  <si>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</si>
  <si>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</si>
  <si>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</si>
  <si>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</si>
  <si>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</si>
  <si>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</si>
  <si>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</si>
  <si>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</si>
  <si>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</si>
  <si>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</si>
  <si>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</si>
  <si>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</si>
  <si>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</si>
  <si>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</si>
  <si>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</si>
  <si>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</si>
  <si>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</si>
  <si>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</si>
  <si>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</si>
  <si>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</si>
  <si>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</si>
  <si>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</si>
  <si>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</si>
  <si>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</si>
  <si>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</si>
  <si>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</si>
  <si>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</si>
  <si>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</si>
  <si>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</si>
  <si>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</si>
  <si>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</si>
  <si>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</si>
  <si>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</si>
  <si>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</si>
  <si>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</si>
  <si>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</si>
  <si>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</si>
  <si>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</si>
  <si>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</si>
  <si>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</si>
  <si>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</si>
  <si>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</si>
  <si>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</si>
  <si>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</si>
  <si>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</si>
  <si>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</si>
  <si>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</si>
  <si>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</si>
  <si>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</si>
  <si>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</si>
  <si>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</si>
  <si>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</si>
  <si>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</si>
  <si>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</si>
  <si>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</si>
  <si>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</si>
  <si>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</si>
  <si>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</si>
  <si>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</si>
  <si>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</si>
  <si>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</si>
  <si>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</si>
  <si>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</si>
  <si>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</si>
  <si>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</si>
  <si>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</si>
  <si>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</si>
  <si>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</si>
  <si>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</si>
  <si>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</si>
  <si>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</si>
  <si>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</si>
  <si>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</si>
  <si>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</si>
  <si>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</si>
  <si>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</si>
  <si>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</si>
  <si>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</si>
  <si>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</si>
  <si>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</si>
  <si>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</si>
  <si>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</si>
  <si>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</si>
  <si>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</si>
  <si>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</si>
  <si>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</si>
  <si>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</si>
  <si>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</si>
  <si>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</si>
  <si>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</si>
  <si>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</si>
  <si>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</si>
  <si>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</si>
  <si>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</si>
  <si>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</si>
  <si>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</si>
  <si>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</si>
  <si>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</si>
  <si>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</si>
  <si>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</si>
  <si>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</si>
  <si>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</si>
  <si>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</si>
  <si>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</si>
  <si>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</si>
  <si>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</si>
  <si>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</si>
  <si>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</si>
  <si>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</si>
  <si>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</si>
  <si>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</si>
  <si>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</si>
  <si>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</si>
  <si>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</si>
  <si>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</si>
  <si>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</si>
  <si>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</si>
  <si>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</si>
  <si>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</si>
  <si>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</si>
  <si>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</si>
  <si>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</si>
  <si>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</si>
  <si>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</si>
  <si>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</si>
  <si>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</si>
  <si>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</si>
  <si>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</si>
  <si>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</si>
  <si>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</si>
  <si>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</si>
  <si>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</si>
  <si>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</si>
  <si>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</si>
  <si>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</si>
  <si>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</si>
  <si>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</si>
  <si>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</si>
  <si>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</si>
  <si>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</si>
  <si>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</si>
  <si>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</si>
  <si>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</si>
  <si>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</si>
  <si>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</si>
  <si>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</si>
  <si>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</si>
  <si>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</si>
  <si>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</si>
  <si>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</si>
  <si>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</si>
  <si>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</si>
  <si>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</si>
  <si>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</si>
  <si>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</si>
  <si>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</si>
  <si>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</si>
  <si>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</si>
  <si>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</si>
  <si>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</si>
  <si>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</si>
  <si>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</si>
  <si>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</si>
  <si>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</si>
  <si>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</si>
  <si>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</si>
  <si>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</si>
  <si>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</si>
  <si>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</si>
  <si>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</si>
  <si>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</si>
  <si>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</si>
  <si>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</si>
  <si>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</si>
  <si>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</si>
  <si>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</si>
  <si>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</si>
  <si>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</si>
  <si>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</si>
  <si>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</si>
  <si>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</si>
  <si>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</si>
  <si>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</si>
  <si>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</si>
  <si>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</si>
  <si>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</si>
  <si>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</si>
  <si>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</si>
  <si>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</si>
  <si>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</si>
  <si>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</si>
  <si>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</si>
  <si>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</si>
  <si>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</si>
  <si>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</si>
  <si>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</si>
  <si>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</si>
  <si>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</si>
  <si>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</si>
  <si>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</si>
  <si>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</si>
  <si>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</si>
  <si>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</si>
  <si>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</si>
  <si>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</si>
  <si>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</si>
  <si>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</si>
  <si>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</si>
  <si>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</si>
  <si>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</si>
  <si>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</si>
  <si>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</si>
  <si>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</si>
  <si>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</si>
  <si>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</si>
  <si>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</si>
  <si>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</si>
  <si>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</si>
  <si>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</si>
  <si>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</si>
  <si>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</si>
  <si>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</si>
  <si>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</si>
  <si>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</si>
  <si>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</si>
  <si>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</si>
  <si>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</si>
  <si>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</si>
  <si>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</si>
  <si>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</si>
  <si>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</si>
  <si>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</si>
  <si>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</si>
  <si>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</si>
  <si>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</si>
  <si>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</si>
  <si>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</si>
  <si>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</si>
  <si>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</si>
  <si>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</si>
  <si>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</si>
  <si>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</si>
  <si>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</si>
  <si>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</si>
  <si>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</si>
  <si>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</si>
  <si>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</si>
  <si>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</si>
  <si>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</si>
  <si>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</si>
  <si>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</si>
  <si>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</si>
  <si>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</si>
  <si>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</si>
  <si>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</si>
  <si>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</si>
  <si>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</si>
  <si>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</si>
  <si>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</si>
  <si>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</si>
  <si>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</si>
  <si>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</si>
  <si>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</si>
  <si>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</si>
  <si>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</si>
  <si>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</si>
  <si>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</si>
  <si>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</si>
  <si>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</si>
  <si>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</si>
  <si>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</si>
  <si>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</si>
  <si>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</si>
  <si>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</si>
  <si>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</si>
  <si>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</si>
  <si>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</si>
  <si>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</si>
  <si>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</si>
  <si>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</si>
  <si>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</si>
  <si>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</si>
  <si>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</si>
  <si>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</si>
  <si>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</si>
  <si>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</si>
  <si>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</si>
  <si>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</si>
  <si>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</si>
  <si>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</si>
  <si>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</si>
  <si>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</si>
  <si>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</si>
  <si>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</si>
  <si>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</si>
  <si>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</si>
  <si>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</si>
  <si>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</si>
  <si>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</si>
  <si>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</si>
  <si>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</si>
  <si>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</si>
  <si>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</si>
  <si>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</si>
  <si>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</si>
  <si>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</si>
  <si>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</si>
  <si>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</si>
  <si>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</si>
  <si>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</si>
  <si>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</si>
  <si>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</si>
  <si>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</si>
  <si>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</si>
  <si>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</si>
  <si>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</si>
  <si>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</si>
  <si>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</si>
  <si>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</si>
  <si>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</si>
  <si>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</si>
  <si>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</si>
  <si>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</si>
  <si>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</si>
  <si>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</si>
  <si>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</si>
  <si>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</si>
  <si>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</si>
  <si>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</si>
  <si>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</si>
  <si>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</si>
  <si>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</si>
  <si>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</si>
  <si>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</si>
  <si>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</si>
  <si>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</si>
  <si>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</si>
  <si>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</si>
  <si>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</si>
  <si>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</si>
  <si>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</si>
  <si>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</si>
  <si>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</si>
  <si>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</si>
  <si>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</si>
  <si>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</si>
  <si>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</si>
  <si>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</si>
  <si>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</si>
  <si>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</si>
  <si>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</si>
  <si>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</si>
  <si>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</si>
  <si>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</si>
  <si>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</si>
  <si>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</si>
  <si>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</si>
  <si>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</si>
  <si>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</si>
  <si>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</si>
  <si>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</si>
  <si>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</si>
  <si>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</si>
  <si>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</si>
  <si>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</si>
  <si>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</si>
  <si>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</si>
  <si>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</si>
  <si>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</si>
  <si>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</si>
  <si>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</si>
  <si>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</si>
  <si>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</si>
  <si>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</si>
  <si>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</si>
  <si>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</si>
  <si>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</si>
  <si>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</si>
  <si>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</si>
  <si>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</si>
  <si>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</si>
  <si>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</si>
  <si>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</si>
  <si>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</si>
  <si>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</si>
  <si>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</si>
  <si>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</si>
  <si>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</si>
  <si>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</si>
  <si>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</si>
  <si>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</si>
  <si>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</si>
  <si>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</si>
  <si>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</si>
  <si>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</si>
  <si>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</si>
  <si>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</si>
  <si>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</si>
  <si>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</si>
  <si>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</si>
  <si>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</si>
  <si>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</si>
  <si>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</si>
  <si>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</si>
  <si>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</si>
  <si>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</si>
  <si>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</si>
  <si>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</si>
  <si>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</si>
  <si>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</si>
  <si>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</si>
  <si>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</si>
  <si>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</si>
  <si>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</si>
  <si>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</si>
  <si>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</si>
  <si>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</si>
  <si>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</si>
  <si>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</si>
  <si>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</si>
  <si>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</si>
  <si>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</si>
  <si>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</si>
  <si>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</si>
  <si>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</si>
  <si>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</si>
  <si>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</si>
  <si>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</si>
  <si>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</si>
  <si>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</si>
  <si>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</si>
  <si>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</si>
  <si>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</si>
  <si>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</si>
  <si>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</si>
  <si>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</si>
  <si>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</si>
  <si>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</si>
  <si>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</si>
  <si>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</si>
  <si>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</si>
  <si>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</si>
  <si>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</si>
  <si>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</si>
  <si>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</si>
  <si>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</si>
  <si>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</si>
  <si>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</si>
  <si>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</si>
  <si>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</si>
  <si>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</si>
  <si>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</si>
  <si>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</si>
  <si>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</si>
  <si>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</si>
  <si>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</si>
  <si>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</si>
  <si>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</si>
  <si>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</si>
  <si>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</si>
  <si>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</si>
  <si>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</si>
  <si>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</si>
  <si>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</si>
  <si>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</si>
  <si>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</si>
  <si>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</si>
  <si>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</si>
  <si>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</si>
  <si>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</si>
  <si>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</si>
  <si>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</si>
  <si>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</si>
  <si>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</si>
  <si>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</si>
  <si>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</si>
  <si>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</si>
  <si>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</si>
  <si>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</si>
  <si>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</si>
  <si>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</si>
  <si>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</si>
  <si>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</si>
  <si>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</si>
  <si>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</si>
  <si>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</si>
  <si>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</si>
  <si>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</si>
  <si>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</si>
  <si>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</si>
  <si>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</si>
  <si>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</si>
  <si>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</si>
  <si>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</si>
  <si>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</si>
  <si>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</si>
  <si>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</si>
  <si>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</si>
  <si>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</si>
  <si>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</si>
  <si>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</si>
  <si>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</si>
  <si>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</si>
  <si>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</si>
  <si>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</si>
  <si>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</si>
  <si>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</si>
  <si>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</si>
  <si>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</si>
  <si>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</si>
  <si>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</si>
  <si>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</si>
  <si>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</si>
  <si>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</si>
  <si>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</si>
  <si>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</si>
  <si>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</si>
  <si>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</si>
  <si>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</si>
  <si>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</si>
  <si>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</si>
  <si>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</si>
  <si>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</si>
  <si>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</si>
  <si>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</si>
  <si>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</si>
  <si>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</si>
  <si>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</si>
  <si>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</si>
  <si>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</si>
  <si>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</si>
  <si>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</si>
  <si>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</si>
  <si>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</si>
  <si>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</si>
  <si>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</si>
  <si>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</si>
  <si>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</si>
  <si>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</si>
  <si>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</si>
  <si>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</si>
  <si>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</si>
  <si>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</si>
  <si>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</si>
  <si>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</si>
  <si>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</si>
  <si>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</si>
  <si>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</si>
  <si>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</si>
  <si>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</si>
  <si>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</si>
  <si>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</si>
  <si>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</si>
  <si>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</si>
  <si>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</si>
  <si>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</si>
  <si>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</si>
  <si>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</si>
  <si>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</si>
  <si>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</si>
  <si>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</si>
  <si>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</si>
  <si>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</si>
  <si>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</si>
  <si>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</si>
  <si>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</si>
  <si>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</si>
  <si>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</si>
  <si>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</si>
  <si>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</si>
  <si>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</si>
  <si>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</si>
  <si>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</si>
  <si>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</si>
  <si>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</si>
  <si>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</si>
  <si>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</si>
  <si>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</si>
  <si>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</si>
  <si>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</si>
  <si>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</si>
  <si>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</si>
  <si>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</si>
  <si>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</si>
  <si>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</si>
  <si>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</si>
  <si>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</si>
  <si>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</si>
  <si>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</si>
  <si>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</si>
  <si>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</si>
  <si>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</si>
  <si>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</si>
  <si>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</si>
  <si>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</si>
  <si>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</si>
  <si>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</si>
  <si>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</si>
  <si>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</si>
  <si>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</si>
  <si>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</si>
  <si>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</si>
  <si>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</si>
  <si>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</si>
  <si>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</si>
  <si>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</si>
  <si>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</si>
  <si>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</si>
  <si>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</si>
  <si>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</si>
  <si>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</si>
  <si>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</si>
  <si>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</si>
  <si>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</si>
  <si>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</si>
  <si>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</si>
  <si>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</si>
  <si>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</si>
  <si>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</si>
  <si>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</si>
  <si>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</si>
  <si>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</si>
  <si>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</si>
  <si>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</si>
  <si>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</si>
  <si>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</si>
  <si>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</si>
  <si>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</si>
  <si>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</si>
  <si>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</si>
  <si>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</si>
  <si>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</si>
  <si>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</si>
  <si>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</si>
  <si>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</si>
  <si>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</si>
  <si>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</si>
  <si>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</si>
  <si>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</si>
  <si>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</si>
  <si>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</si>
  <si>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</si>
  <si>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</si>
  <si>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</si>
  <si>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</si>
  <si>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</si>
  <si>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</si>
  <si>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</si>
  <si>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</si>
  <si>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</si>
  <si>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</si>
  <si>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</si>
  <si>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</si>
  <si>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</si>
  <si>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</si>
  <si>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</si>
  <si>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</si>
  <si>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</si>
  <si>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</si>
  <si>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</si>
  <si>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</si>
  <si>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</si>
  <si>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</si>
  <si>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</si>
  <si>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</si>
  <si>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</si>
  <si>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</si>
  <si>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</si>
  <si>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</si>
  <si>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</si>
  <si>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</si>
  <si>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</si>
  <si>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</si>
  <si>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</si>
  <si>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</si>
  <si>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AMAT US 01/23/26 P280</t>
  </si>
  <si>
    <t>AMAT US 01/23/26 P290</t>
  </si>
  <si>
    <t>Internet/SW</t>
  </si>
  <si>
    <t>Pairs</t>
  </si>
  <si>
    <t>QQQ US 01/16/26 C635</t>
  </si>
  <si>
    <t>QQQ US 01/16/26 C633</t>
  </si>
  <si>
    <t>QQQ US 01/16/26 P622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</si>
  <si>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</si>
  <si>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</si>
  <si>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</si>
  <si>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</si>
  <si>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</si>
  <si>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</si>
  <si>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</si>
  <si>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</si>
  <si>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</si>
  <si>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</si>
  <si>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</si>
  <si>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1OG6P 25000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</si>
  <si>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</si>
  <si>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</si>
  <si>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</si>
  <si>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</si>
  <si>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</si>
  <si>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</si>
  <si>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</si>
  <si>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</si>
  <si>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</si>
  <si>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DELL DIVIDEND_</t>
  </si>
  <si>
    <t>000660 KP</t>
  </si>
  <si>
    <t>SNDK US 02/20/26 C500</t>
  </si>
  <si>
    <t>MRVL US 03/20/26 P70</t>
  </si>
  <si>
    <t>QQQ US 01/21/26 P616</t>
  </si>
  <si>
    <t>QQQ US 01/23/26 P615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</si>
  <si>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</si>
  <si>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</si>
  <si>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</si>
  <si>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</si>
  <si>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</si>
  <si>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</si>
  <si>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</si>
  <si>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</si>
  <si>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</si>
  <si>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</si>
  <si>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</si>
  <si>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QQQ US 01/26/26 C627</t>
  </si>
  <si>
    <t>QQQ US 01/26/26 C630</t>
  </si>
  <si>
    <t>QQQ US 01/26/26 P615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</si>
  <si>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</si>
  <si>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</si>
  <si>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</si>
  <si>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</si>
  <si>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</si>
  <si>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</si>
  <si>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</si>
  <si>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Provision CME USD_</t>
  </si>
  <si>
    <t>SWAP 000660 KP 23JAN2026 25JAN2027 509.6192</t>
  </si>
  <si>
    <t>NVDA US 07/17/26 C195</t>
  </si>
  <si>
    <t>META US 07/17/26 C680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</si>
  <si>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</si>
  <si>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</si>
  <si>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</si>
  <si>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</si>
  <si>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</si>
  <si>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</si>
  <si>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</si>
  <si>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</si>
  <si>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</si>
  <si>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</si>
  <si>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</si>
  <si>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</si>
  <si>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</si>
  <si>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</si>
  <si>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</si>
  <si>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</si>
  <si>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</si>
  <si>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</si>
  <si>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</si>
  <si>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</si>
  <si>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</si>
  <si>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</si>
  <si>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</si>
  <si>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</si>
  <si>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</si>
  <si>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</si>
  <si>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</si>
  <si>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</si>
  <si>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</si>
  <si>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</si>
  <si>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</si>
  <si>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Provision Korea Exchange USD_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</si>
  <si>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</si>
  <si>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</si>
  <si>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</si>
  <si>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</si>
  <si>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</si>
  <si>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</si>
  <si>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</si>
  <si>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</si>
  <si>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</si>
  <si>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</si>
  <si>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</si>
  <si>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</si>
  <si>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</si>
  <si>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</si>
  <si>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</si>
  <si>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</si>
  <si>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</si>
  <si>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</si>
  <si>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</si>
  <si>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</si>
  <si>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</si>
  <si>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</si>
  <si>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1OG6C 26000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</si>
  <si>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</si>
  <si>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</si>
  <si>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</si>
  <si>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</si>
  <si>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</si>
  <si>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</si>
  <si>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</si>
  <si>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</si>
  <si>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</si>
  <si>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</si>
  <si>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</si>
  <si>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</si>
  <si>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QQQ US 01/29/26 P625</t>
  </si>
  <si>
    <t>QQQ US 01/29/26 P628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</si>
  <si>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</si>
  <si>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</si>
  <si>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</si>
  <si>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</si>
  <si>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</si>
  <si>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</si>
  <si>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</si>
  <si>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</si>
  <si>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</si>
  <si>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</si>
  <si>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</si>
  <si>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300502 CH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</si>
  <si>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</si>
  <si>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</si>
  <si>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</si>
  <si>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</si>
  <si>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</si>
  <si>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</si>
  <si>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</si>
  <si>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</si>
  <si>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QQQ US 01/29/26 P628 Equity</t>
  </si>
  <si>
    <t>628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</si>
  <si>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</si>
  <si>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</si>
  <si>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</si>
  <si>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</si>
  <si>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</si>
  <si>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</si>
  <si>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</si>
  <si>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</si>
  <si>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</si>
  <si>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02/06/26 C200</t>
  </si>
  <si>
    <t>NVDA US 02/13/26 C210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</si>
  <si>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</si>
  <si>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</si>
  <si>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</si>
  <si>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</si>
  <si>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</si>
  <si>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</si>
  <si>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</si>
  <si>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</si>
  <si>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META US 07/17/26 C690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</si>
  <si>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</si>
  <si>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</si>
  <si>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</si>
  <si>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</si>
  <si>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</si>
  <si>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</si>
  <si>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</si>
  <si>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</si>
  <si>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Provision Global Bonds USD_</t>
  </si>
  <si>
    <t>Provision TBOND USD_</t>
  </si>
  <si>
    <t>SWAP 300502 CH 30JAN2026 01FEB2027 57.9966</t>
  </si>
  <si>
    <t>TBOND</t>
  </si>
  <si>
    <t>T 4.000% 11/15/35</t>
  </si>
  <si>
    <t>NVDA US 02/06/26 C197.5 Equity</t>
  </si>
  <si>
    <t>NVDA US Equity</t>
  </si>
  <si>
    <t>197.5</t>
  </si>
  <si>
    <t>NVDA US 02/13/26 C202.5 Equity</t>
  </si>
  <si>
    <t>202.5</t>
  </si>
  <si>
    <t>NVDA US 05/15/26 C200 Equity</t>
  </si>
  <si>
    <t>META US 07/17/26 C700 Equity</t>
  </si>
  <si>
    <t>700</t>
  </si>
  <si>
    <t>MSFT US 01/30/26 C490</t>
  </si>
  <si>
    <t>MSFT US 01/30/26 C490 Equity</t>
  </si>
  <si>
    <t>NVDA US 01/30/26 C195</t>
  </si>
  <si>
    <t>NVDA US 01/30/26 C195 Equity</t>
  </si>
  <si>
    <t>195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</si>
  <si>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</si>
  <si>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</si>
  <si>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</si>
  <si>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</si>
  <si>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</si>
  <si>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</si>
  <si>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</si>
  <si>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</si>
  <si>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</si>
  <si>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</si>
  <si>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</si>
  <si>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</si>
  <si>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</si>
  <si>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</si>
  <si>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</si>
  <si>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</si>
  <si>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</si>
  <si>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</si>
  <si>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</si>
  <si>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</si>
  <si>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META/MSFT</t>
  </si>
  <si>
    <t>QQQ US 01/30/26 P620</t>
  </si>
  <si>
    <t>NVDA US 02/06/26 C195</t>
  </si>
  <si>
    <t>DELL US 02/06/26 P110</t>
  </si>
  <si>
    <t>DELL US 02/06/26 P115</t>
  </si>
  <si>
    <t>MSFT US 02/20/26 P420</t>
  </si>
  <si>
    <t>MSFT US 02/20/26 C450</t>
  </si>
  <si>
    <t>MSFT US 02/20/26 P410</t>
  </si>
  <si>
    <t>MSFT US 02/20/26 C445</t>
  </si>
  <si>
    <t>MSFT US 02/20/26 C435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</si>
</sst>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5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469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89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2" fontId="2" fillId="91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4" fontId="15" fillId="95" borderId="18" xfId="190" applyFont="1" applyFill="1" applyBorder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4" fontId="28" fillId="11" borderId="0" xfId="190" applyFont="1" applyFill="1"/>
    <xf numFmtId="4" fontId="86" fillId="11" borderId="0" xfId="190" applyFont="1" applyFill="1"/>
    <xf numFmtId="10" fontId="0" fillId="11" borderId="0" xfId="1" applyNumberFormat="1" applyFont="1" applyFill="1"/>
    <xf numFmtId="9" fontId="0" fillId="11" borderId="0" xfId="1" applyFont="1" applyFill="1"/>
    <xf numFmtId="172" fontId="0" fillId="11" borderId="0" xfId="1" applyNumberFormat="1" applyFont="1" applyFill="1"/>
    <xf numFmtId="170" fontId="1" fillId="11" borderId="0" xfId="190" applyNumberFormat="1" applyFont="1" applyFill="1"/>
    <xf numFmtId="43" fontId="0" fillId="11" borderId="0" xfId="190" quotePrefix="1" applyNumberFormat="1" applyFont="1" applyFill="1"/>
    <xf numFmtId="4" fontId="1" fillId="11" borderId="0" xfId="190" applyFont="1" applyFill="1" applyAlignment="1">
      <alignment horizontal="right"/>
    </xf>
    <xf numFmtId="167" fontId="0" fillId="11" borderId="0" xfId="190" applyNumberFormat="1" applyFont="1" applyFill="1"/>
    <xf numFmtId="195" fontId="0" fillId="11" borderId="0" xfId="190" applyNumberFormat="1" applyFont="1" applyFill="1"/>
    <xf numFmtId="170" fontId="0" fillId="11" borderId="0" xfId="190" applyNumberFormat="1" applyFont="1" applyFill="1"/>
    <xf numFmtId="171" fontId="0" fillId="11" borderId="0" xfId="190" applyNumberFormat="1" applyFont="1" applyFill="1"/>
    <xf numFmtId="172" fontId="0" fillId="11" borderId="0" xfId="0" applyNumberFormat="1" applyFill="1"/>
    <xf numFmtId="4" fontId="0" fillId="11" borderId="0" xfId="190" applyFont="1" applyFill="1"/>
    <xf numFmtId="169" fontId="0" fillId="11" borderId="0" xfId="190" applyNumberFormat="1" applyFont="1" applyFill="1"/>
    <xf numFmtId="2" fontId="0" fillId="11" borderId="0" xfId="0" applyNumberFormat="1" applyFill="1"/>
    <xf numFmtId="168" fontId="0" fillId="2" borderId="0" xfId="0" applyNumberFormat="1" applyFill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71" fontId="0" fillId="2" borderId="0" xfId="190" applyNumberFormat="1" applyFont="1" applyFill="1"/>
    <xf numFmtId="10" fontId="2" fillId="0" borderId="0" xfId="0" applyNumberFormat="1" applyFont="1"/>
    <xf numFmtId="195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5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5" fontId="2" fillId="6" borderId="0" xfId="190" applyNumberFormat="1" applyFont="1" applyFill="1"/>
    <xf numFmtId="172" fontId="0" fillId="6" borderId="0" xfId="1" applyNumberFormat="1" applyFont="1" applyFill="1"/>
    <xf numFmtId="4" fontId="28" fillId="14" borderId="0" xfId="190" applyFont="1" applyFill="1"/>
    <xf numFmtId="0" fontId="0" fillId="14" borderId="0" xfId="0" applyFill="1"/>
    <xf numFmtId="166" fontId="0" fillId="14" borderId="0" xfId="190" applyNumberFormat="1" applyFont="1" applyFill="1"/>
    <xf numFmtId="4" fontId="86" fillId="14" borderId="0" xfId="190" applyFont="1" applyFill="1"/>
    <xf numFmtId="43" fontId="0" fillId="14" borderId="0" xfId="190" applyNumberFormat="1" applyFont="1" applyFill="1"/>
    <xf numFmtId="10" fontId="0" fillId="14" borderId="0" xfId="1" applyNumberFormat="1" applyFont="1" applyFill="1"/>
    <xf numFmtId="9" fontId="0" fillId="14" borderId="0" xfId="1" applyFont="1" applyFill="1"/>
    <xf numFmtId="172" fontId="0" fillId="14" borderId="0" xfId="1" applyNumberFormat="1" applyFont="1" applyFill="1"/>
    <xf numFmtId="170" fontId="1" fillId="14" borderId="0" xfId="190" applyNumberFormat="1" applyFont="1" applyFill="1"/>
    <xf numFmtId="43" fontId="0" fillId="14" borderId="0" xfId="190" quotePrefix="1" applyNumberFormat="1" applyFont="1" applyFill="1"/>
    <xf numFmtId="4" fontId="1" fillId="14" borderId="0" xfId="190" applyFont="1" applyFill="1" applyAlignment="1">
      <alignment horizontal="right"/>
    </xf>
    <xf numFmtId="167" fontId="0" fillId="14" borderId="0" xfId="190" applyNumberFormat="1" applyFont="1" applyFill="1"/>
    <xf numFmtId="170" fontId="0" fillId="14" borderId="0" xfId="190" applyNumberFormat="1" applyFont="1" applyFill="1"/>
    <xf numFmtId="171" fontId="0" fillId="14" borderId="0" xfId="190" applyNumberFormat="1" applyFont="1" applyFill="1"/>
    <xf numFmtId="172" fontId="0" fillId="14" borderId="0" xfId="0" applyNumberFormat="1" applyFill="1"/>
    <xf numFmtId="4" fontId="0" fillId="14" borderId="0" xfId="190" applyFont="1" applyFill="1"/>
    <xf numFmtId="169" fontId="0" fillId="14" borderId="0" xfId="190" applyNumberFormat="1" applyFont="1" applyFill="1"/>
    <xf numFmtId="2" fontId="0" fillId="14" borderId="0" xfId="0" applyNumberForma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5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3" fontId="0" fillId="10" borderId="0" xfId="190" applyNumberFormat="1" applyFont="1" applyFill="1"/>
    <xf numFmtId="172" fontId="0" fillId="10" borderId="0" xfId="1" applyNumberFormat="1" applyFont="1" applyFill="1"/>
    <xf numFmtId="0" fontId="0" fillId="10" borderId="0" xfId="0" applyFill="1" applyAlignment="1">
      <alignment horizontal="center"/>
    </xf>
    <xf numFmtId="166" fontId="0" fillId="10" borderId="0" xfId="190" applyNumberFormat="1" applyFont="1" applyFill="1"/>
    <xf numFmtId="166" fontId="0" fillId="10" borderId="0" xfId="0" applyNumberFormat="1" applyFill="1" applyAlignment="1">
      <alignment horizontal="right"/>
    </xf>
    <xf numFmtId="10" fontId="0" fillId="10" borderId="1" xfId="1" applyNumberFormat="1" applyFont="1" applyFill="1" applyBorder="1"/>
    <xf numFmtId="43" fontId="0" fillId="10" borderId="19" xfId="190" applyNumberFormat="1" applyFont="1" applyFill="1" applyBorder="1" applyAlignment="1">
      <alignment horizontal="right"/>
    </xf>
    <xf numFmtId="166" fontId="0" fillId="10" borderId="1" xfId="190" applyNumberFormat="1" applyFont="1" applyFill="1" applyBorder="1"/>
    <xf numFmtId="198" fontId="0" fillId="10" borderId="0" xfId="1" applyNumberFormat="1" applyFont="1" applyFill="1"/>
    <xf numFmtId="170" fontId="0" fillId="10" borderId="1" xfId="190" applyNumberFormat="1" applyFont="1" applyFill="1" applyBorder="1"/>
    <xf numFmtId="166" fontId="0" fillId="10" borderId="0" xfId="0" applyNumberFormat="1" applyFill="1"/>
    <xf numFmtId="3" fontId="0" fillId="10" borderId="0" xfId="190" applyNumberFormat="1" applyFont="1" applyFill="1" applyAlignment="1">
      <alignment horizontal="center"/>
    </xf>
    <xf numFmtId="170" fontId="0" fillId="10" borderId="0" xfId="1" applyNumberFormat="1" applyFont="1" applyFill="1"/>
    <xf numFmtId="170" fontId="0" fillId="10" borderId="0" xfId="190" applyNumberFormat="1" applyFont="1" applyFill="1" applyBorder="1"/>
    <xf numFmtId="10" fontId="0" fillId="10" borderId="0" xfId="1" applyNumberFormat="1" applyFont="1" applyFill="1" applyBorder="1"/>
    <xf numFmtId="196" fontId="0" fillId="10" borderId="0" xfId="0" applyNumberFormat="1" applyFill="1"/>
    <xf numFmtId="0" fontId="106" fillId="0" borderId="0" xfId="0" applyFont="1" applyFill="1" applyAlignment="1">
      <alignment horizontal="center" vertical="center" wrapText="1"/>
    </xf>
    <xf numFmtId="10" fontId="106" fillId="0" borderId="0" xfId="0" applyNumberFormat="1" applyFont="1" applyFill="1" applyAlignment="1">
      <alignment horizontal="center" vertical="center" wrapText="1"/>
    </xf>
    <xf numFmtId="170" fontId="106" fillId="0" borderId="0" xfId="0" applyNumberFormat="1" applyFont="1" applyFill="1" applyAlignment="1"/>
    <xf numFmtId="0" fontId="106" fillId="0" borderId="0" xfId="0" applyFont="1" applyFill="1" applyAlignment="1">
      <alignment horizontal="left" indent="1"/>
    </xf>
    <xf numFmtId="10" fontId="106" fillId="0" borderId="0" xfId="0" applyNumberFormat="1" applyFont="1" applyFill="1" applyAlignment="1"/>
    <xf numFmtId="172" fontId="106" fillId="0" borderId="0" xfId="0" applyNumberFormat="1" applyFont="1" applyFill="1" applyAlignment="1"/>
    <xf numFmtId="0" fontId="106" fillId="0" borderId="0" xfId="0" applyFont="1" applyFill="1" applyAlignment="1">
      <alignment horizontal="left"/>
    </xf>
    <xf numFmtId="170" fontId="107" fillId="0" borderId="0" xfId="0" applyNumberFormat="1" applyFont="1" applyFill="1" applyAlignment="1">
      <alignment horizontal="center" vertical="center" wrapText="1"/>
    </xf>
    <xf numFmtId="0" fontId="0" fillId="0" borderId="0" xfId="0"/>
    <xf numFmtId="14" fontId="15" fillId="3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28" fillId="0" borderId="0" xfId="0" applyFont="1"/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86" fillId="0" borderId="0" xfId="0" applyFont="1" applyAlignment="1">
      <alignment horizontal="center"/>
    </xf>
    <xf numFmtId="0" fontId="3" fillId="92" borderId="49" xfId="0" applyFont="1" applyFill="1" applyBorder="1" applyAlignment="1">
      <alignment horizontal="center"/>
    </xf>
    <xf numFmtId="0" fontId="15" fillId="0" borderId="0" xfId="0" quotePrefix="1" applyFont="1"/>
    <xf numFmtId="43" fontId="0" fillId="0" borderId="0" xfId="0" applyNumberFormat="1"/>
  </cellXfs>
  <cellStyles count="5469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46" xfId="5466" xr:uid="{5AFE10BD-5E1F-4C99-A272-1B05C0AE7B1E}"/>
    <cellStyle name="Comma 1047" xfId="5467" xr:uid="{2231C96B-844D-44C8-B54B-712B871FEB27}"/>
    <cellStyle name="Comma 1048" xfId="5468" xr:uid="{B753660E-6B7A-4CEC-B55D-1D3B678F5647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27968.09</v>
        <stp/>
        <stp>BDP|17098946093906753306|22</stp>
        <stp>HSI Index</stp>
        <stp>LAST_PRICE</stp>
        <tr r="H18" s="252"/>
        <tr r="H18" s="252"/>
      </tp>
      <tp>
        <v>417.41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G17" s="2"/>
        <tr r="F63" s="89"/>
      </tp>
      <tp>
        <v>0.52020174264907837</v>
        <stp/>
        <stp>BDP|17313826581786805603|22</stp>
        <stp>AMZN US 07/17/26 C250 Equity</stp>
        <stp>DELTA_MID_RT</stp>
        <tr r="W234" s="89"/>
      </tp>
      <tp t="s">
        <v>#N/A Real Time</v>
        <stp/>
        <stp>BDP|9106857053131827566|22</stp>
        <stp>SPXW US 12/31/25 C6950 Index</stp>
        <stp>DELTA_MID_RT</stp>
        <tr r="W160" s="89"/>
      </tp>
      <tp>
        <v>0.72109693288803101</v>
        <stp/>
        <stp>BDP|16080044180315030458|22</stp>
        <stp>META US 04/17/26 C690 Equity</stp>
        <stp>DELTA_MID_RT</stp>
        <tr r="AF12" s="2"/>
        <tr r="W169" s="89"/>
      </tp>
      <tp>
        <v>2.12</v>
        <stp/>
        <stp>BDP|9946810605715956638|22</stp>
        <stp>AMAT US 01/23/26 P280 Equity</stp>
        <stp>ask</stp>
        <tr r="L56" s="89"/>
      </tp>
      <tp>
        <v>2.15</v>
        <stp/>
        <stp>BDP|6404964195248120774|22</stp>
        <stp>DELL US 02/06/26 P115 Equity</stp>
        <stp>ask</stp>
        <tr r="L49" s="89"/>
      </tp>
      <tp>
        <v>3.3</v>
        <stp/>
        <stp>BDP|9716029128836757584|22</stp>
        <stp>NVDA US 02/06/26 C195 Equity</stp>
        <stp>ask</stp>
        <tr r="L39" s="89"/>
      </tp>
      <tp t="s">
        <v>#N/A Real Time</v>
        <stp/>
        <stp>BDP|4173700437419483715|22</stp>
        <stp>IMBWK5C4 5880 Index</stp>
        <stp>bid</stp>
        <tr r="K90" s="89"/>
      </tp>
      <tp t="s">
        <v>#N/A N/A</v>
        <stp/>
        <stp>BDP|1660304564695201690|22</stp>
        <stp>AMAT US 01/23/26 P290 Equity</stp>
        <stp>bid</stp>
        <tr r="K55" s="89"/>
      </tp>
      <tp t="s">
        <v>USD</v>
        <stp/>
        <stp>BDP|6836574577411751820|22</stp>
        <stp>MRVL US 03/20/26 P75 Equity</stp>
        <stp>QUOTED_CURRENCY_REALTIME</stp>
        <tr r="G15" s="2"/>
      </tp>
      <tp>
        <v>2.25</v>
        <stp/>
        <stp>BDP|9697370432367542899|22</stp>
        <stp>NVDA US 02/06/26 C197.5 Equity</stp>
        <stp>bid</stp>
        <tr r="P7" s="2"/>
        <tr r="K33" s="89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#N/A Real Time</v>
        <stp/>
        <stp>BDP|3954062195024173589|22</stp>
        <stp>RTYWU5C3 2425 Index</stp>
        <stp>ask</stp>
        <tr r="L144" s="89"/>
      </tp>
      <tp>
        <v>20.9</v>
        <stp/>
        <stp>BDP|5846012848698429799|22</stp>
        <stp>MSFT US 07/17/26 C470 Equity</stp>
        <stp>bid</stp>
        <tr r="K235" s="89"/>
      </tp>
      <tp>
        <v>0.70553779602050781</v>
        <stp/>
        <stp>BDP|11737212965379664006|22</stp>
        <stp>META US 07/17/26 C680 Equity</stp>
        <stp>DELTA_MID_RT</stp>
        <tr r="W233" s="89"/>
      </tp>
      <tp>
        <v>-0.10917499661445618</v>
        <stp/>
        <stp>BDP|2162853239863021436|22</stp>
        <stp>TSM US 06/18/26 C380 Equity</stp>
        <stp>theta_mid_rt</stp>
        <tr r="AN25" s="2"/>
      </tp>
      <tp>
        <v>0.89045089483261108</v>
        <stp/>
        <stp>BDP|10012779820456568860|22</stp>
        <stp>META US 02/27/26 C660 Equity</stp>
        <stp>DELTA_MID_RT</stp>
        <tr r="W180" s="89"/>
      </tp>
      <tp>
        <v>35.33</v>
        <stp/>
        <stp>BDP|4238048935133024019|22</stp>
        <stp>AVGO US 06/18/26 C350 Equity</stp>
        <stp>mid</stp>
        <tr r="L5" s="2"/>
      </tp>
      <tp t="s">
        <v>#N/A N/A</v>
        <stp/>
        <stp>BDP|7439765758104486583|22</stp>
        <stp>AMAT US 01/23/26 P280 Equity</stp>
        <stp>bid</stp>
        <tr r="K56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BDP|2533983096932488351|22</stp>
        <stp>RTYWU5C3 2425 Index</stp>
        <stp>bid</stp>
        <tr r="K144" s="89"/>
      </tp>
      <tp>
        <v>53.564999999999998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0.28044331073760986</v>
        <stp/>
        <stp>BDP|14091170888152008254|22</stp>
        <stp>ASHR US 02/20/26 C35 Equity</stp>
        <stp>DELTA_MID_RT</stp>
        <tr r="AF4" s="2"/>
      </tp>
      <tp t="s">
        <v>#N/A Real Time</v>
        <stp/>
        <stp>BDP|3350828662352011280|22</stp>
        <stp>RFSWZ4C3 2360 Index</stp>
        <stp>ask</stp>
        <tr r="L122" s="89"/>
      </tp>
      <tp>
        <v>-0.23209832608699799</v>
        <stp/>
        <stp>BDP|17295184878350823401|22</stp>
        <stp>INTC US 07/17/26 P40 Equity</stp>
        <stp>DELTA_MID_RT</stp>
        <tr r="AF21" s="2"/>
        <tr r="W197" s="89"/>
      </tp>
      <tp>
        <v>0.66375750303268433</v>
        <stp/>
        <stp>BDP|13298101022063198194|22</stp>
        <stp>META US 07/17/26 C700 Equity</stp>
        <stp>DELTA_MID_RT</stp>
        <tr r="W27" s="89"/>
        <tr r="W171" s="89"/>
        <tr r="AF13" s="2"/>
      </tp>
      <tp>
        <v>0.79</v>
        <stp/>
        <stp>BDP|6389157119875502262|22</stp>
        <stp>DELL US 02/06/26 P110 Equity</stp>
        <stp>ask</stp>
        <tr r="L50" s="89"/>
      </tp>
      <tp>
        <v>432.33600000000001</v>
        <stp/>
        <stp>BDP|274803756834169207|22</stp>
        <stp>MSFT EQUITY</stp>
        <stp>LAST_PRICE</stp>
        <tr r="C7" s="1"/>
      </tp>
      <tp t="s">
        <v>#N/A Real Time</v>
        <stp/>
        <stp>BDP|2891447407704048860|22</stp>
        <stp>IMBWK5C4 5840 Index</stp>
        <stp>bid</stp>
        <tr r="K89" s="89"/>
      </tp>
      <tp>
        <v>10.7</v>
        <stp/>
        <stp>BDP|9574732227585956892|22</stp>
        <stp>MSFT US 02/20/26 C435 Equity</stp>
        <stp>bid</stp>
        <tr r="K204" s="89"/>
      </tp>
      <tp t="s">
        <v>USD</v>
        <stp/>
        <stp>BDP|6256704095836032074|22</stp>
        <stp>INTC US 07/17/26 C50 Equity</stp>
        <stp>QUOTED_CURRENCY_REALTIME</stp>
        <tr r="G20" s="2"/>
        <tr r="F196" s="89"/>
      </tp>
      <tp>
        <v>-0.48927068710327148</v>
        <stp/>
        <stp>BDP|9175540192084699210|22</stp>
        <stp>QQQ US 01/30/26 P620 Equity</stp>
        <stp>theta_mid_rt</stp>
        <tr r="AN23" s="2"/>
      </tp>
      <tp t="s">
        <v>USD</v>
        <stp/>
        <stp>BDP|7525271008399615963|22</stp>
        <stp>MRVL US 03/20/26 P80 Equity</stp>
        <stp>QUOTED_CURRENCY_REALTIME</stp>
        <tr r="G16" s="2"/>
        <tr r="F62" s="89"/>
      </tp>
      <tp>
        <v>-0.72744619846343994</v>
        <stp/>
        <stp>BDP|14063713080232141765|22</stp>
        <stp>NFLX US 03/20/26 P90 Equity</stp>
        <stp>DELTA_MID_RT</stp>
        <tr r="W187" s="89"/>
      </tp>
      <tp>
        <v>5.4</v>
        <stp/>
        <stp>BDP|3676228802807623682|22</stp>
        <stp>MSFT US 02/20/26 C450 Equity</stp>
        <stp>bid</stp>
        <tr r="K203" s="89"/>
      </tp>
      <tp>
        <v>10.85</v>
        <stp/>
        <stp>BDP|6466187796004974975|22</stp>
        <stp>MSFT US 02/20/26 C435 Equity</stp>
        <stp>ask</stp>
        <tr r="L204" s="89"/>
      </tp>
      <tp t="s">
        <v>USD</v>
        <stp/>
        <stp>BDP|11169663965640262458|22</stp>
        <stp>1OG6C 26000 Index</stp>
        <stp>QUOTED_CURRENCY_REALTIME</stp>
        <tr r="F153" s="89"/>
        <tr r="F154" s="89"/>
      </tp>
      <tp>
        <v>69.034999999999997</v>
        <stp/>
        <stp>BDP|3505174117914270567|22</stp>
        <stp>KRE Equity</stp>
        <stp>LAST PRICE</stp>
        <tr r="I54" s="338"/>
      </tp>
      <tp>
        <v>0</v>
        <stp/>
        <stp>BDP|2848704500670167514|22</stp>
        <stp>QQQ US 01/29/26 P628 Equity</stp>
        <stp>theta_mid_rt</stp>
        <tr r="AN22" s="2"/>
      </tp>
      <tp>
        <v>12.7</v>
        <stp/>
        <stp>BDP|7047278571162491606|22</stp>
        <stp>MSFT US 07/17/26 C500 Equity</stp>
        <stp>bid</stp>
        <tr r="P18" s="2"/>
      </tp>
      <tp>
        <v>5.55</v>
        <stp/>
        <stp>BDP|4001374458224189612|22</stp>
        <stp>MSFT US 02/20/26 C450 Equity</stp>
        <stp>ask</stp>
        <tr r="L203" s="89"/>
      </tp>
      <tp>
        <v>263.48500000000001</v>
        <stp/>
        <stp>BDP|9630309169962502325|22</stp>
        <stp>IWM Equity</stp>
        <stp>LAST PRICE</stp>
        <tr r="I48" s="338"/>
        <tr r="I49" s="338"/>
      </tp>
      <tp>
        <v>15.5</v>
        <stp/>
        <stp>BDP|5246680316890063223|22</stp>
        <stp>NVDA US 05/15/26 C200 Equity</stp>
        <stp>bid</stp>
        <tr r="P6" s="2"/>
      </tp>
      <tp t="s">
        <v>#N/A Requesting Data...4158652322</v>
        <stp/>
        <stp>BDP|17013938858517156635</stp>
        <tr r="AR20" s="2"/>
      </tp>
      <tp t="s">
        <v>#N/A Requesting Data...3556631017</v>
        <stp/>
        <stp>BDP|15582332073698885344</stp>
        <tr r="G19" s="446"/>
      </tp>
      <tp t="s">
        <v>#N/A N/A</v>
        <stp/>
        <stp>BDP|18146375769712507536</stp>
        <tr r="E2" s="1"/>
        <tr r="K52" s="1"/>
      </tp>
      <tp t="s">
        <v>#N/A Requesting Data...3830534212</v>
        <stp/>
        <stp>BDP|13135230879275111937</stp>
        <tr r="AJ12" s="338"/>
      </tp>
      <tp t="s">
        <v>#N/A Requesting Data...3716018118</v>
        <stp/>
        <stp>BDP|17278629169738623577</stp>
        <tr r="N19" s="252"/>
        <tr r="N19" s="252"/>
      </tp>
      <tp t="s">
        <v>#N/A N/A</v>
        <stp/>
        <stp>BDP|17052781431848040118</stp>
        <tr r="V212" s="89"/>
      </tp>
      <tp t="s">
        <v>#N/A Requesting Data...4085728403</v>
        <stp/>
        <stp>BDP|15581562198526337530</stp>
        <tr r="AK12" s="338"/>
      </tp>
      <tp t="s">
        <v>#N/A Requesting Data...3411323926</v>
        <stp/>
        <stp>BDP|13286384604342093849</stp>
        <tr r="X45" s="338"/>
      </tp>
      <tp t="s">
        <v>#N/A Requesting Data...4078029750</v>
        <stp/>
        <stp>BDP|16845320119919973779</stp>
        <tr r="D76" s="89"/>
      </tp>
      <tp t="s">
        <v>#N/A Requesting Data...3444535713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Data...3152259420</v>
        <stp/>
        <stp>BDP|18304888293894101754</stp>
        <tr r="S9" s="338"/>
      </tp>
      <tp t="s">
        <v>#N/A Requesting Data...3974000589</v>
        <stp/>
        <stp>BDP|10639276692284852548</stp>
        <tr r="F28" s="446"/>
      </tp>
      <tp t="s">
        <v>#N/A Requesting Data...3341162819</v>
        <stp/>
        <stp>BDP|10749518787913680498</stp>
        <tr r="G41" s="446"/>
      </tp>
      <tp t="s">
        <v>#N/A Requesting Data...3295336590</v>
        <stp/>
        <stp>BDP|15491877244086779510</stp>
        <tr r="C90" s="89"/>
      </tp>
      <tp t="s">
        <v>#N/A Requesting Data...3896628252</v>
        <stp/>
        <stp>BDP|15599576753428820781</stp>
        <tr r="O236" s="89"/>
      </tp>
      <tp t="s">
        <v>#N/A N/A</v>
        <stp/>
        <stp>BDP|15119105356728105374</stp>
        <tr r="AB55" s="89"/>
        <tr r="AB56" s="89"/>
      </tp>
      <tp t="s">
        <v>#N/A Requesting Data...3587599465</v>
        <stp/>
        <stp>BDP|12497145892616892699</stp>
        <tr r="D102" s="89"/>
      </tp>
      <tp t="s">
        <v>#N/A Requesting Data...4118363621</v>
        <stp/>
        <stp>BDP|14492417491683249054</stp>
        <tr r="AJ41" s="338"/>
        <tr r="AJ42" s="338"/>
      </tp>
      <tp t="s">
        <v>#N/A Requesting Data...4144943337</v>
        <stp/>
        <stp>BDP|13840950528096738417</stp>
        <tr r="L42" s="338"/>
        <tr r="J42" s="338"/>
      </tp>
      <tp t="s">
        <v>#N/A Requesting Data...4059243983</v>
        <stp/>
        <stp>BDP|10145867011121078252</stp>
        <tr r="E171" s="89"/>
        <tr r="E27" s="89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Data...3218996797</v>
        <stp/>
        <stp>BDP|10020321410941159965</stp>
        <tr r="S42" s="338"/>
      </tp>
      <tp t="s">
        <v>#N/A Requesting Data...3141986084</v>
        <stp/>
        <stp>BDP|11794748141588350041</stp>
        <tr r="AJ8" s="338"/>
        <tr r="AJ9" s="338"/>
      </tp>
      <tp t="s">
        <v>#N/A Requesting Data...3892316937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N/A</v>
        <stp/>
        <stp>BDP|16757205954548058378</stp>
        <tr r="AI37" s="1"/>
      </tp>
      <tp t="s">
        <v>#N/A Requesting Data...3134953688</v>
        <stp/>
        <stp>BDP|16761382649589718257</stp>
        <tr r="AB25" s="1"/>
        <tr r="AB26" s="1"/>
        <tr r="F27" s="446"/>
      </tp>
      <tp t="s">
        <v>#N/A Requesting Data...4096321866</v>
        <stp/>
        <stp>BDP|11629287799981255124</stp>
        <tr r="C68" s="89"/>
      </tp>
      <tp t="s">
        <v>#N/A N/A</v>
        <stp/>
        <stp>BDP|10560430593062313514</stp>
        <tr r="AG54" s="1"/>
      </tp>
      <tp t="s">
        <v>#N/A Requesting Data...3279751589</v>
        <stp/>
        <stp>BDP|13672521403099523546</stp>
        <tr r="AA22" s="2"/>
        <tr r="T81" s="89"/>
      </tp>
      <tp t="s">
        <v>#N/A N/A</v>
        <stp/>
        <stp>BDP|13546818454494181070</stp>
        <tr r="AC54" s="1"/>
      </tp>
      <tp t="s">
        <v>#N/A N/A</v>
        <stp/>
        <stp>BDH|18175479673162494319</stp>
        <tr r="AN34" s="338"/>
        <tr r="AN13" s="338"/>
      </tp>
      <tp t="e">
        <v>#N/A</v>
        <stp/>
        <stp>BDH|10097910716274795641</stp>
        <tr r="W18" s="252"/>
        <tr r="T18" s="252"/>
      </tp>
      <tp t="s">
        <v>#N/A Real Time</v>
        <stp/>
        <stp>BDP|14244088115833890454|22</stp>
        <stp>SCH5C   6250 Index</stp>
        <stp>DELTA_MID_RT</stp>
        <tr r="W96" s="89"/>
      </tp>
      <tp>
        <v>0.57073253393173218</v>
        <stp/>
        <stp>BDP|11754717216942473893|22</stp>
        <stp>INTC US 07/17/26 C50 Equity</stp>
        <stp>DELTA_MID_RT</stp>
        <tr r="AF20" s="2"/>
        <tr r="W196" s="89"/>
      </tp>
      <tp>
        <v>0.31053099036216736</v>
        <stp/>
        <stp>BDP|15091267836171787049|22</stp>
        <stp>AVGO US 06/18/26 C410 Equity</stp>
        <stp>DELTA_MID_RT</stp>
        <tr r="W222" s="89"/>
      </tp>
      <tp>
        <v>24.9</v>
        <stp/>
        <stp>BDP|9892279240398643988|22</stp>
        <stp>AVGO US 06/18/26 P300 Equity</stp>
        <stp>bid</stp>
        <tr r="K224" s="89"/>
      </tp>
      <tp>
        <v>5.8499895036220551E-2</v>
        <stp/>
        <stp>BDP|15345195851714362356|22</stp>
        <stp>NFLX US 03/20/26 C105 Equity</stp>
        <stp>DELTA_MID_RT</stp>
        <tr r="W186" s="89"/>
      </tp>
      <tp t="s">
        <v>#N/A Requesting Data...4057786975</v>
        <stp/>
        <stp>BDP|14708527546846978837</stp>
        <tr r="F22" s="446"/>
      </tp>
      <tp t="s">
        <v>#N/A Requesting Data...3662221336</v>
        <stp/>
        <stp>BDP|17382508591454336498</stp>
        <tr r="F10" s="446"/>
      </tp>
      <tp t="s">
        <v>#N/A Requesting Data...3604010543</v>
        <stp/>
        <stp>BDP|15393992280169008616</stp>
        <tr r="F24" s="446"/>
      </tp>
      <tp t="s">
        <v>#N/A Requesting Data...3715368667</v>
        <stp/>
        <stp>BDP|17538921220052801541</stp>
        <tr r="AA187" s="89"/>
        <tr r="Z187" s="89"/>
      </tp>
      <tp t="s">
        <v>#N/A Requesting Data...3520207282</v>
        <stp/>
        <stp>BDP|10256865635189905931</stp>
        <tr r="AC29" s="1"/>
        <tr r="AC30" s="1"/>
        <tr r="AC31" s="1"/>
        <tr r="D26" s="446"/>
      </tp>
      <tp t="s">
        <v>#N/A Requesting Data...4083144931</v>
        <stp/>
        <stp>BDP|16456696081243656014</stp>
        <tr r="E237" s="89"/>
      </tp>
      <tp t="s">
        <v>#N/A Requesting Data...4033423382</v>
        <stp/>
        <stp>BDP|16326536432018842310</stp>
        <tr r="E102" s="89"/>
      </tp>
      <tp t="s">
        <v>#N/A Requesting Data...4187699917</v>
        <stp/>
        <stp>BDP|14305045698741171731</stp>
        <tr r="AD15" s="2"/>
      </tp>
      <tp t="s">
        <v>#N/A Requesting Data...3957591805</v>
        <stp/>
        <stp>BDP|10846290148809317467</stp>
        <tr r="T47" s="338"/>
      </tp>
      <tp t="s">
        <v>#N/A Requesting Data...3911825218</v>
        <stp/>
        <stp>BDP|17908300451053627923</stp>
        <tr r="C15" s="2"/>
      </tp>
      <tp t="s">
        <v>#N/A N/A</v>
        <stp/>
        <stp>BDP|15319109960459527098</stp>
        <tr r="AC8" s="2"/>
        <tr r="AC7" s="2"/>
        <tr r="AC6" s="2"/>
      </tp>
      <tp t="s">
        <v>#N/A Requesting Data...3343546061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Data...4067597303</v>
        <stp/>
        <stp>BDP|11569977534954801402</stp>
        <tr r="D63" s="89"/>
      </tp>
      <tp t="s">
        <v>#N/A Requesting Data...4222950692</v>
        <stp/>
        <stp>BDP|14945010294650760658</stp>
        <tr r="L37" s="338"/>
        <tr r="H37" s="338"/>
      </tp>
      <tp t="s">
        <v>#N/A N/A</v>
        <stp/>
        <stp>BDP|14361921471151918073</stp>
        <tr r="Q11" s="338"/>
      </tp>
      <tp t="s">
        <v>#N/A Requesting Data...4116831008</v>
        <stp/>
        <stp>BDP|12625403616855824991</stp>
        <tr r="F15" s="446"/>
      </tp>
      <tp t="s">
        <v>#N/A Requesting Data...3413950365</v>
        <stp/>
        <stp>BDP|14416377574372571935</stp>
        <tr r="D101" s="89"/>
      </tp>
      <tp t="s">
        <v>#N/A Requesting Data...4141349885</v>
        <stp/>
        <stp>BDP|11745089010498747381</stp>
        <tr r="T75" s="89"/>
      </tp>
      <tp t="s">
        <v>#N/A Requesting Data...3787030185</v>
        <stp/>
        <stp>BDP|10942621120688011798</stp>
        <tr r="V55" s="338"/>
      </tp>
      <tp t="s">
        <v>#N/A Requesting Data...3726485597</v>
        <stp/>
        <stp>BDP|14853590894083718008</stp>
        <tr r="V12" s="338"/>
      </tp>
      <tp t="s">
        <v>#N/A Requesting Data...3432656372</v>
        <stp/>
        <stp>BDP|10627445923448262515</stp>
        <tr r="E18" s="2"/>
      </tp>
      <tp t="s">
        <v>#N/A Requesting Data...3468985891</v>
        <stp/>
        <stp>BDP|10462343434382218937</stp>
        <tr r="V8" s="89"/>
      </tp>
      <tp t="s">
        <v>#N/A Requesting Data...4131099815</v>
        <stp/>
        <stp>BDP|13154673264950579831</stp>
        <tr r="P8" s="338"/>
      </tp>
      <tp t="s">
        <v>#N/A Requesting Data...4234814132</v>
        <stp/>
        <stp>BDP|18352383299971018866</stp>
        <tr r="V96" s="89"/>
      </tp>
      <tp t="s">
        <v>#N/A Requesting Data...3851879231</v>
        <stp/>
        <stp>BDP|10865582194811567656</stp>
        <tr r="C170" s="89"/>
        <tr r="C26" s="89"/>
        <tr r="C7" s="89"/>
      </tp>
      <tp t="s">
        <v>#N/A Requesting Data...3416703342</v>
        <stp/>
        <stp>BDP|15688519024610633913</stp>
        <tr r="C20" s="2"/>
      </tp>
      <tp t="s">
        <v>#N/A Requesting Data...3424323128</v>
        <stp/>
        <stp>BDP|18149202901248495937</stp>
        <tr r="AH8" s="338"/>
        <tr r="AH9" s="338"/>
      </tp>
      <tp t="s">
        <v>#N/A Requesting Data...4264348307</v>
        <stp/>
        <stp>BDP|17812279814258546797</stp>
        <tr r="U12" s="338"/>
      </tp>
      <tp t="s">
        <v>#N/A Requesting Data...3755067358</v>
        <stp/>
        <stp>BDP|16354487536428919237</stp>
        <tr r="P36" s="338"/>
      </tp>
      <tp t="s">
        <v>#N/A Requesting Data...3387343679</v>
        <stp/>
        <stp>BDP|12938986196201541855</stp>
        <tr r="T9" s="338"/>
      </tp>
      <tp t="s">
        <v>#N/A Requesting Data...3671911652</v>
        <stp/>
        <stp>BDP|11963205656414860905</stp>
        <tr r="AR7" s="2"/>
      </tp>
      <tp t="s">
        <v>#N/A N/A</v>
        <stp/>
        <stp>BDH|14646346427198763647</stp>
        <tr r="AR10" s="338"/>
        <tr r="AR53" s="338"/>
        <tr r="AM47" s="338"/>
        <tr r="AM44" s="338"/>
        <tr r="AM48" s="338"/>
      </tp>
      <tp t="s">
        <v>#N/A Requesting Data...4087778277</v>
        <stp/>
        <stp>BDP|16382697175628205742</stp>
        <tr r="K2" s="2"/>
        <tr r="J1" s="24"/>
      </tp>
      <tp t="s">
        <v>#N/A N/A</v>
        <stp/>
        <stp>BDP|18189209420856195695</stp>
        <tr r="Q50" s="338"/>
      </tp>
      <tp t="s">
        <v>#N/A Requesting Data...3878550798</v>
        <stp/>
        <stp>BDP|14534507482414865574</stp>
        <tr r="AF55" s="1"/>
        <tr r="AF17" s="338"/>
        <tr r="AF18" s="338"/>
      </tp>
      <tp t="s">
        <v>#N/A Requesting Data...3499782687</v>
        <stp/>
        <stp>BDP|18104805924642791891</stp>
        <tr r="AK9" s="338"/>
      </tp>
      <tp t="s">
        <v>#N/A Requesting Data...3509431088</v>
        <stp/>
        <stp>BDP|18319033186521864931</stp>
        <tr r="T224" s="89"/>
      </tp>
      <tp t="s">
        <v>#N/A Requesting Data...4173192081</v>
        <stp/>
        <stp>BDP|11421352885480139296</stp>
        <tr r="AK18" s="338"/>
      </tp>
      <tp t="s">
        <v>#N/A N/A</v>
        <stp/>
        <stp>BDP|14385972258221788175</stp>
        <tr r="K56" s="1"/>
      </tp>
      <tp t="s">
        <v>#N/A Requesting Data...4167150889</v>
        <stp/>
        <stp>BDP|14368247967240567849</stp>
        <tr r="AK48" s="338"/>
        <tr r="AK49" s="338"/>
      </tp>
      <tp t="s">
        <v>#N/A N/A</v>
        <stp/>
        <stp>BDP|18355353104331140221</stp>
        <tr r="E6" s="1"/>
        <tr r="K25" s="1"/>
      </tp>
      <tp t="s">
        <v>#N/A Requesting Data...3783614277</v>
        <stp/>
        <stp>BDP|14339764599746958441</stp>
        <tr r="L14" s="252"/>
        <tr r="L14" s="252"/>
      </tp>
      <tp t="s">
        <v>#N/A Requesting Data...3390953903</v>
        <stp/>
        <stp>BDP|13273727322169541747</stp>
        <tr r="S31" s="338"/>
      </tp>
      <tp t="s">
        <v>#N/A Requesting Data...3567987638</v>
        <stp/>
        <stp>BDP|18059086409648276807</stp>
        <tr r="X13" s="338"/>
      </tp>
      <tp t="s">
        <v>#N/A Requesting Data...3917939094</v>
        <stp/>
        <stp>BDP|14077436120512876887</stp>
        <tr r="AH14" s="338"/>
        <tr r="AH35" s="338"/>
      </tp>
      <tp t="s">
        <v>#N/A Requesting Data...3252322506</v>
        <stp/>
        <stp>BDP|15744958059654008590</stp>
        <tr r="M11" s="252"/>
      </tp>
      <tp t="s">
        <v>#N/A Requesting Data...3299577508</v>
        <stp/>
        <stp>BDP|13175812915866643410</stp>
        <tr r="C153" s="89"/>
        <tr r="C154" s="89"/>
      </tp>
      <tp t="s">
        <v>#N/A Requesting Data...3355158947</v>
        <stp/>
        <stp>BDP|13690707356499397067</stp>
        <tr r="AG42" s="338"/>
      </tp>
      <tp t="s">
        <v>#N/A Requesting Data...4149614398</v>
        <stp/>
        <stp>BDP|12538321051928445466</stp>
        <tr r="AR16" s="2"/>
      </tp>
      <tp t="s">
        <v>#N/A Requesting Data...3988338780</v>
        <stp/>
        <stp>BDP|13052160308013823928</stp>
        <tr r="L16" s="252"/>
        <tr r="L16" s="252"/>
      </tp>
      <tp t="s">
        <v>#N/A Requesting Data...3556119109</v>
        <stp/>
        <stp>BDP|10630112845779481422</stp>
        <tr r="T8" s="338"/>
      </tp>
      <tp t="s">
        <v>#N/A N/A</v>
        <stp/>
        <stp>BDP|11209184266078842639</stp>
        <tr r="AC23" s="1"/>
        <tr r="AC24" s="1"/>
      </tp>
      <tp t="s">
        <v>#N/A Requesting Data...3495993688</v>
        <stp/>
        <stp>BDP|14264052336898754717</stp>
        <tr r="AA13" s="2"/>
        <tr r="T171" s="89"/>
        <tr r="T27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Data...3522141551</v>
        <stp/>
        <stp>BDP|18091505366056640561</stp>
        <tr r="D69" s="89"/>
      </tp>
      <tp t="s">
        <v>#N/A Requesting Data...4294655139</v>
        <stp/>
        <stp>BDP|13155972725748469817</stp>
        <tr r="V82" s="89"/>
      </tp>
      <tp t="s">
        <v>#N/A Requesting Data...3564562338</v>
        <stp/>
        <stp>BDP|17203212740478165145</stp>
        <tr r="AA195" s="89"/>
        <tr r="Z195" s="89"/>
      </tp>
      <tp t="s">
        <v>#N/A N/A</v>
        <stp/>
        <stp>BDH|17989964466726940611</stp>
        <tr r="AM37" s="338"/>
      </tp>
      <tp t="s">
        <v>#N/A N/A</v>
        <stp/>
        <stp>BDH|12669766062873159820</stp>
        <tr r="AS54" s="338"/>
      </tp>
      <tp t="s">
        <v>#N/A N/A</v>
        <stp/>
        <stp>BDH|10922215904008883238</stp>
        <tr r="AP51" s="338"/>
        <tr r="AU34" s="338"/>
        <tr r="AU37" s="338"/>
        <tr r="AU36" s="338"/>
        <tr r="AP50" s="338"/>
        <tr r="AU35" s="338"/>
      </tp>
      <tp t="s">
        <v>#N/A N/A</v>
        <stp/>
        <stp>BDH|10881291144017158928</stp>
        <tr r="AP9" s="338"/>
        <tr r="AP8" s="338"/>
      </tp>
      <tp t="s">
        <v>#N/A N/A</v>
        <stp/>
        <stp>BDH|11326838709012008361</stp>
        <tr r="AS30" s="338"/>
      </tp>
      <tp t="s">
        <v>#N/A N/A</v>
        <stp/>
        <stp>BDH|17577130994827511091</stp>
        <tr r="AS9" s="338"/>
      </tp>
      <tp t="s">
        <v>#N/A Real Time</v>
        <stp/>
        <stp>BDP|3928061582338749570|22</stp>
        <stp>MRYWZ4C4 2390 Index</stp>
        <stp>bid</stp>
        <tr r="K129" s="89"/>
      </tp>
      <tp>
        <v>0.50030297040939331</v>
        <stp/>
        <stp>BDP|10080332628046700882|22</stp>
        <stp>NVDA US 05/15/26 C200 Equity</stp>
        <stp>DELTA_MID_RT</stp>
        <tr r="AF6" s="2"/>
      </tp>
      <tp>
        <v>30.35</v>
        <stp/>
        <stp>BDP|1262865218775301973|22</stp>
        <stp>GOOG US 07/17/26 C350 Equity</stp>
        <stp>ask</stp>
        <tr r="L236" s="89"/>
      </tp>
      <tp>
        <v>0.39771893620491028</v>
        <stp/>
        <stp>BDP|12751338922919034266|22</stp>
        <stp>MSFT US 07/17/26 C470 Equity</stp>
        <stp>DELTA_MID_RT</stp>
        <tr r="W235" s="89"/>
      </tp>
      <tp t="s">
        <v>#N/A N/A</v>
        <stp/>
        <stp>BDP|14228839741476914704</stp>
        <tr r="AF56" s="1"/>
      </tp>
      <tp t="s">
        <v>#N/A Requesting Data...3306209070</v>
        <stp/>
        <stp>BDP|13108014284305863746</stp>
        <tr r="AH29" s="338"/>
        <tr r="AH30" s="338"/>
        <tr r="AJ29" s="338"/>
        <tr r="AJ30" s="338"/>
      </tp>
      <tp t="s">
        <v>#N/A Requesting Data...3810030310</v>
        <stp/>
        <stp>BDP|16161490436721422919</stp>
        <tr r="D19" s="89"/>
      </tp>
      <tp t="s">
        <v>#N/A Requesting Data...3484140280</v>
        <stp/>
        <stp>BDP|18084144309549296940</stp>
        <tr r="X46" s="338"/>
      </tp>
      <tp t="s">
        <v>#N/A Requesting Data...3279429654</v>
        <stp/>
        <stp>BDP|14080496093764135415</stp>
        <tr r="P8" s="252"/>
      </tp>
      <tp t="s">
        <v>#N/A Requesting Data...4258041973</v>
        <stp/>
        <stp>BDP|10379287684220430311</stp>
        <tr r="F4" s="2"/>
      </tp>
      <tp t="s">
        <v>#N/A Requesting Data...4169986315</v>
        <stp/>
        <stp>BDP|15959271808308527692</stp>
        <tr r="AD13" s="2"/>
        <tr r="V171" s="89"/>
        <tr r="V27" s="89"/>
      </tp>
      <tp t="s">
        <v>#N/A N/A</v>
        <stp/>
        <stp>BDP|14444687789645642697</stp>
        <tr r="L45" s="1"/>
      </tp>
      <tp t="s">
        <v>#N/A Requesting Data...3644034934</v>
        <stp/>
        <stp>BDP|13667922398723991985</stp>
        <tr r="O8" s="252"/>
      </tp>
      <tp t="s">
        <v>#N/A N/A</v>
        <stp/>
        <stp>BDP|14804043862572092927</stp>
        <tr r="D33" s="89"/>
      </tp>
      <tp t="s">
        <v>#N/A Requesting Data...3595840714</v>
        <stp/>
        <stp>BDP|11569233714862664985</stp>
        <tr r="E14" s="2"/>
      </tp>
      <tp t="s">
        <v>#N/A Requesting Data...3933508210</v>
        <stp/>
        <stp>BDP|16922257546430083956</stp>
        <tr r="E11" s="2"/>
      </tp>
      <tp t="s">
        <v>#N/A Requesting Data...3381943404</v>
        <stp/>
        <stp>BDP|14084731383605893774</stp>
        <tr r="T30" s="338"/>
      </tp>
      <tp t="s">
        <v>#N/A Requesting Data...4065029948</v>
        <stp/>
        <stp>BDP|17920955902274781369</stp>
        <tr r="AK13" s="338"/>
      </tp>
      <tp t="s">
        <v>#N/A Requesting Data...4169944489</v>
        <stp/>
        <stp>BDP|15814817125237185133</stp>
        <tr r="AK11" s="338"/>
      </tp>
      <tp t="s">
        <v>#N/A Requesting Data...4065669301</v>
        <stp/>
        <stp>BDP|10683822754613362720</stp>
        <tr r="C89" s="89"/>
      </tp>
      <tp t="s">
        <v>#N/A Requesting Data...3888309321</v>
        <stp/>
        <stp>BDP|14905890171093180111</stp>
        <tr r="U18" s="338"/>
      </tp>
      <tp t="s">
        <v>#N/A N/A</v>
        <stp/>
        <stp>BDP|15676788515242812821</stp>
        <tr r="R153" s="89"/>
        <tr r="R154" s="89"/>
      </tp>
      <tp t="s">
        <v>#N/A Requesting Data...4049485362</v>
        <stp/>
        <stp>BDP|17719503394081403362</stp>
        <tr r="AH37" s="338"/>
        <tr r="AJ37" s="338"/>
      </tp>
      <tp t="s">
        <v>#N/A N/A</v>
        <stp/>
        <stp>BDP|18279909896309755834</stp>
        <tr r="AG14" s="1"/>
      </tp>
      <tp t="s">
        <v>#N/A Requesting Data...3790101117</v>
        <stp/>
        <stp>BDP|12571041380342291138</stp>
        <tr r="F34" s="446"/>
      </tp>
      <tp t="s">
        <v>#N/A N/A</v>
        <stp/>
        <stp>BDP|18294824894201725105</stp>
        <tr r="AC21" s="2"/>
        <tr r="AC19" s="2"/>
        <tr r="AC20" s="2"/>
      </tp>
      <tp t="s">
        <v>#N/A Requesting Data...4267044956</v>
        <stp/>
        <stp>BDP|16648478878978208488</stp>
        <tr r="O178" s="89"/>
        <tr r="O179" s="89"/>
      </tp>
      <tp t="s">
        <v>#N/A Requesting Data...3437326953</v>
        <stp/>
        <stp>BDP|13659806942011456735</stp>
        <tr r="P7" s="252"/>
      </tp>
      <tp t="s">
        <v>#N/A Requesting Data...3618500458</v>
        <stp/>
        <stp>BDP|18096821285957052647</stp>
        <tr r="F18" s="446"/>
      </tp>
      <tp t="s">
        <v>#N/A N/A</v>
        <stp/>
        <stp>BDP|14122270426989375409</stp>
        <tr r="Q17" s="338"/>
      </tp>
      <tp t="s">
        <v>#N/A N/A</v>
        <stp/>
        <stp>BDP|15069593679839498763</stp>
        <tr r="Q35" s="338"/>
      </tp>
      <tp t="s">
        <v>#N/A Requesting Data...4249312796</v>
        <stp/>
        <stp>BDP|17046967805152979583</stp>
        <tr r="V89" s="89"/>
      </tp>
      <tp t="s">
        <v>#N/A N/A</v>
        <stp/>
        <stp>BDP|12912684483811638411</stp>
        <tr r="L37" s="1"/>
      </tp>
      <tp t="s">
        <v>#N/A Requesting Data...4012788747</v>
        <stp/>
        <stp>BDP|17800905748963418018</stp>
        <tr r="V52" s="338"/>
      </tp>
      <tp t="s">
        <v>#N/A Requesting Data...3470432185</v>
        <stp/>
        <stp>BDP|16080473360335288805</stp>
        <tr r="AF29" s="1"/>
        <tr r="AF30" s="1"/>
        <tr r="AF31" s="1"/>
        <tr r="AF10" s="338"/>
        <tr r="AF11" s="338"/>
        <tr r="AF33" s="338"/>
      </tp>
      <tp t="s">
        <v>#N/A Requesting Data...4279704650</v>
        <stp/>
        <stp>BDP|18082660766744672526</stp>
        <tr r="X34" s="338"/>
      </tp>
      <tp t="s">
        <v>#N/A Requesting Data...3489278914</v>
        <stp/>
        <stp>BDP|16257040632264100814</stp>
        <tr r="V237" s="89"/>
      </tp>
      <tp t="s">
        <v>#N/A N/A</v>
        <stp/>
        <stp>BDP|17620015100226350806</stp>
        <tr r="AG32" s="1"/>
        <tr r="AG33" s="1"/>
        <tr r="AG34" s="1"/>
        <tr r="AG35" s="1"/>
      </tp>
      <tp t="s">
        <v>#N/A Requesting Data...3924953490</v>
        <stp/>
        <stp>BDP|17113464131298207134</stp>
        <tr r="O6" s="252"/>
      </tp>
      <tp t="s">
        <v>#N/A Requesting Data...3606701484</v>
        <stp/>
        <stp>BDP|16284628867238126714</stp>
        <tr r="AD14" s="2"/>
      </tp>
      <tp t="s">
        <v>#N/A Requesting Data...4092985898</v>
        <stp/>
        <stp>BDP|13465906218584984636</stp>
        <tr r="U48" s="338"/>
      </tp>
      <tp t="s">
        <v>#N/A N/A</v>
        <stp/>
        <stp>BDH|13031961534328611800</stp>
        <tr r="AP17" s="338"/>
        <tr r="AP18" s="338"/>
      </tp>
      <tp t="s">
        <v>#N/A N/A</v>
        <stp/>
        <stp>BDH|17305232287394284038</stp>
        <tr r="AN39" s="338"/>
        <tr r="AN15" s="338"/>
        <tr r="AS40" s="338"/>
      </tp>
      <tp t="s">
        <v>#N/A N/A</v>
        <stp/>
        <stp>BDH|14574291154369094349</stp>
        <tr r="AR13" s="338"/>
      </tp>
      <tp>
        <v>-0.14608283340930939</v>
        <stp/>
        <stp>BDP|16677448146261393617|22</stp>
        <stp>NVDA US 02/13/26 C202.5 Equity</stp>
        <stp>theta_mid_rt</stp>
        <tr r="AN8" s="2"/>
      </tp>
      <tp t="s">
        <v>#N/A Requesting Data...3357596088</v>
        <stp/>
        <stp>BDP|13370676866274995925</stp>
        <tr r="V29" s="338"/>
      </tp>
      <tp t="s">
        <v>#N/A Requesting Data...3642335039</v>
        <stp/>
        <stp>BDP|16549461050648260185</stp>
        <tr r="V48" s="338"/>
      </tp>
      <tp t="s">
        <v>#N/A Requesting Data...3985338260</v>
        <stp/>
        <stp>BDP|12600721729889000049</stp>
        <tr r="F10" s="2"/>
      </tp>
      <tp t="s">
        <v>#N/A Requesting Data...3817833511</v>
        <stp/>
        <stp>BDP|14539375968436522979</stp>
        <tr r="F21" s="2"/>
      </tp>
      <tp t="s">
        <v>#N/A Requesting Data...3988288737</v>
        <stp/>
        <stp>BDP|11883811462826271727</stp>
        <tr r="AI13" s="338"/>
        <tr r="AK13" s="338"/>
      </tp>
      <tp t="s">
        <v>#N/A Requesting Data...3675810979</v>
        <stp/>
        <stp>BDP|15816931278674113197</stp>
        <tr r="C4" s="2"/>
      </tp>
      <tp t="s">
        <v>#N/A Requesting Data...4117236247</v>
        <stp/>
        <stp>BDP|16651632599577766000</stp>
        <tr r="T20" s="89"/>
      </tp>
      <tp t="s">
        <v>#N/A N/A</v>
        <stp/>
        <stp>BDP|15466705637537159880</stp>
        <tr r="AF12" s="1"/>
      </tp>
      <tp t="s">
        <v>#N/A Requesting Data...3624858782</v>
        <stp/>
        <stp>BDP|13773404769917079849</stp>
        <tr r="X41" s="338"/>
      </tp>
      <tp t="s">
        <v>#N/A Requesting Data...3934968093</v>
        <stp/>
        <stp>BDP|17094237872549842544</stp>
        <tr r="P11" s="338"/>
      </tp>
      <tp t="s">
        <v>#N/A N/A</v>
        <stp/>
        <stp>BDP|11238984157816656563</stp>
        <tr r="O211" s="89"/>
      </tp>
      <tp t="s">
        <v>#N/A Requesting Data...3999733889</v>
        <stp/>
        <stp>BDP|17894084826469233293</stp>
        <tr r="D14" s="2"/>
      </tp>
      <tp t="s">
        <v>#N/A Requesting Data...3462591128</v>
        <stp/>
        <stp>BDP|16326348528261420875</stp>
        <tr r="AH37" s="338"/>
      </tp>
      <tp t="s">
        <v>#N/A Requesting Data...3943792637</v>
        <stp/>
        <stp>BDP|10719787797623635315</stp>
        <tr r="AR11" s="2"/>
      </tp>
      <tp t="s">
        <v>#N/A Requesting Data...3857882193</v>
        <stp/>
        <stp>BDP|12942600097452969197</stp>
        <tr r="AI30" s="338"/>
      </tp>
      <tp t="s">
        <v>#N/A Requesting Data...3716462192</v>
        <stp/>
        <stp>BDP|11004855748816491574</stp>
        <tr r="Z145" s="89"/>
        <tr r="AA145" s="89"/>
      </tp>
      <tp t="s">
        <v>#N/A Requesting Data...3946603521</v>
        <stp/>
        <stp>BDP|13321932753372613352</stp>
        <tr r="S50" s="338"/>
      </tp>
      <tp t="s">
        <v>#N/A N/A</v>
        <stp/>
        <stp>BDP|14026845325197194708</stp>
        <tr r="AB38" s="1"/>
        <tr r="AB39" s="1"/>
        <tr r="AB40" s="1"/>
      </tp>
      <tp t="s">
        <v>#N/A Requesting Data...3942217392</v>
        <stp/>
        <stp>BDP|18139099943730098283</stp>
        <tr r="X42" s="338"/>
      </tp>
      <tp t="s">
        <v>#N/A Requesting Data...3645026605</v>
        <stp/>
        <stp>BDP|14818954946994919376</stp>
        <tr r="T55" s="338"/>
      </tp>
      <tp t="s">
        <v>#N/A Requesting Data...4185122592</v>
        <stp/>
        <stp>BDP|16547593626468626792</stp>
        <tr r="V90" s="89"/>
      </tp>
      <tp t="s">
        <v>#N/A Requesting Data...3889659690</v>
        <stp/>
        <stp>BDP|12254931781748441511</stp>
        <tr r="AA4" s="2"/>
      </tp>
      <tp t="s">
        <v>#N/A N/A</v>
        <stp/>
        <stp>BDP|16747972762296741126</stp>
        <tr r="AF38" s="1"/>
        <tr r="AF39" s="1"/>
        <tr r="AF40" s="1"/>
      </tp>
      <tp t="s">
        <v>#N/A Requesting Data...4224538936</v>
        <stp/>
        <stp>BDP|10277773846639500409</stp>
        <tr r="E225" s="89"/>
      </tp>
      <tp t="s">
        <v>#N/A Requesting Data...4087739150</v>
        <stp/>
        <stp>BDP|15391597190645842246</stp>
        <tr r="U41" s="338"/>
      </tp>
      <tp t="s">
        <v>#N/A Requesting Data...3831045352</v>
        <stp/>
        <stp>BDP|16823686471348254150</stp>
        <tr r="T22" s="2"/>
        <tr r="O81" s="89"/>
      </tp>
      <tp t="s">
        <v>#N/A N/A</v>
        <stp/>
        <stp>BDH|10483690609819304103</stp>
        <tr r="AU45" s="338"/>
      </tp>
      <tp t="s">
        <v>#N/A N/A</v>
        <stp/>
        <stp>BDH|11658483034389199132</stp>
        <tr r="AR42" s="338"/>
      </tp>
      <tp t="s">
        <v>#N/A N/A</v>
        <stp/>
        <stp>BDH|15309684694494659068</stp>
        <tr r="AR32" s="338"/>
        <tr r="AR8" s="338"/>
        <tr r="AR50" s="338"/>
        <tr r="AR46" s="338"/>
      </tp>
      <tp>
        <v>-0.52729010581970215</v>
        <stp/>
        <stp>BDP|12363987419731278955|22</stp>
        <stp>MRVL US 03/20/26 P85 Equity</stp>
        <stp>DELTA_MID_RT</stp>
        <tr r="AF14" s="2"/>
      </tp>
      <tp>
        <v>0.50906479358673096</v>
        <stp/>
        <stp>BDP|18110796337974702583|22</stp>
        <stp>AVGO US 06/18/26 C350 Equity</stp>
        <stp>DELTA_MID_RT</stp>
        <tr r="AF5" s="2"/>
        <tr r="W223" s="89"/>
      </tp>
      <tp>
        <v>45.75</v>
        <stp/>
        <stp>BDP|5056262684534913710|22</stp>
        <stp>LITE US 03/20/26 C420 Equity</stp>
        <stp>mid</stp>
        <tr r="L11" s="2"/>
      </tp>
      <tp>
        <v>-0.20869454741477966</v>
        <stp/>
        <stp>BDP|13664804564066341271|22</stp>
        <stp>MSFT US 02/20/26 P410 Equity</stp>
        <stp>DELTA_MID_RT</stp>
        <tr r="W205" s="89"/>
        <tr r="W213" s="89"/>
      </tp>
      <tp t="s">
        <v>#N/A N/A</v>
        <stp/>
        <stp>BDP|14736502366221001988</stp>
        <tr r="AG27" s="1"/>
        <tr r="AG28" s="1"/>
      </tp>
      <tp t="s">
        <v>#N/A Requesting Data...4290041435</v>
        <stp/>
        <stp>BDP|14590387959435843851</stp>
        <tr r="P18" s="252"/>
      </tp>
      <tp t="s">
        <v>#N/A N/A</v>
        <stp/>
        <stp>BDP|11647623474426955905</stp>
        <tr r="D34" s="89"/>
      </tp>
      <tp t="s">
        <v>#N/A Requesting Data...3434413764</v>
        <stp/>
        <stp>BDP|13791594013149475126</stp>
        <tr r="M13" s="252"/>
      </tp>
      <tp t="s">
        <v>#N/A Requesting Data...4206821643</v>
        <stp/>
        <stp>BDP|17874986578052725446</stp>
        <tr r="P50" s="338"/>
      </tp>
      <tp t="s">
        <v>#N/A N/A</v>
        <stp/>
        <stp>BDP|12067346968488625077</stp>
        <tr r="K9" s="1"/>
      </tp>
      <tp t="s">
        <v>#N/A Requesting Data...4042517841</v>
        <stp/>
        <stp>BDP|12930748263249803590</stp>
        <tr r="V47" s="338"/>
      </tp>
      <tp t="s">
        <v>#N/A N/A</v>
        <stp/>
        <stp>BDP|10905058262421207834</stp>
        <tr r="Q30" s="338"/>
      </tp>
      <tp t="s">
        <v>#N/A Requesting Data...3743562475</v>
        <stp/>
        <stp>BDP|10458872348380612322</stp>
        <tr r="D32" s="446"/>
      </tp>
      <tp t="s">
        <v>#N/A Requesting Data...3798269892</v>
        <stp/>
        <stp>BDP|17591857746666872206</stp>
        <tr r="T233" s="89"/>
      </tp>
      <tp t="s">
        <v>#N/A N/A</v>
        <stp/>
        <stp>BDP|17326978713770046094</stp>
        <tr r="V205" s="89"/>
        <tr r="V213" s="89"/>
      </tp>
      <tp t="s">
        <v>#N/A Requesting Data...4026246771</v>
        <stp/>
        <stp>BDP|11607763991426641696</stp>
        <tr r="O180" s="89"/>
      </tp>
      <tp t="s">
        <v>#N/A N/A</v>
        <stp/>
        <stp>BDP|12446616610012704839</stp>
        <tr r="AF14" s="1"/>
      </tp>
      <tp t="s">
        <v>#N/A Requesting Data...4136244022</v>
        <stp/>
        <stp>BDP|16111091406080680995</stp>
        <tr r="S20" s="252"/>
      </tp>
      <tp t="s">
        <v>#N/A N/A</v>
        <stp/>
        <stp>BDP|12917284443828342304</stp>
        <tr r="AC55" s="1"/>
      </tp>
      <tp t="s">
        <v>#N/A Requesting Data...3536682748</v>
        <stp/>
        <stp>BDP|12565777765454100870</stp>
        <tr r="AK45" s="338"/>
      </tp>
      <tp t="s">
        <v>#N/A Requesting Data...3487461557</v>
        <stp/>
        <stp>BDP|14757904724106470662</stp>
        <tr r="C115" s="89"/>
      </tp>
      <tp t="s">
        <v>#N/A Requesting Data...3723662141</v>
        <stp/>
        <stp>BDP|15520885965692162698</stp>
        <tr r="P35" s="338"/>
      </tp>
      <tp t="s">
        <v>#N/A N/A</v>
        <stp/>
        <stp>BDP|18411820983824502305</stp>
        <tr r="E9" s="1"/>
        <tr r="K29" s="1"/>
      </tp>
      <tp t="s">
        <v>#N/A Requesting Data...3597831551</v>
        <stp/>
        <stp>BDP|10592246107754169947</stp>
        <tr r="AR21" s="2"/>
      </tp>
      <tp t="s">
        <v>#N/A Requesting Data...3430365863</v>
        <stp/>
        <stp>BDP|18187575182553363942</stp>
        <tr r="S29" s="338"/>
      </tp>
      <tp t="s">
        <v>#N/A N/A</v>
        <stp/>
        <stp>BDP|15088949515073653147</stp>
        <tr r="AI38" s="1"/>
        <tr r="AI39" s="1"/>
        <tr r="AI40" s="1"/>
      </tp>
      <tp t="s">
        <v>#N/A Requesting Data...3914193818</v>
        <stp/>
        <stp>BDP|12559765690110808384</stp>
        <tr r="L6" s="252"/>
        <tr r="L6" s="252"/>
      </tp>
      <tp t="s">
        <v>#N/A Requesting Data...3994942381</v>
        <stp/>
        <stp>BDP|16650855945696243361</stp>
        <tr r="O235" s="89"/>
      </tp>
      <tp t="s">
        <v>#N/A Requesting Data...3710736157</v>
        <stp/>
        <stp>BDP|10141273456439406166</stp>
        <tr r="U40" s="338"/>
      </tp>
      <tp t="s">
        <v>#N/A Requesting Data...3912959451</v>
        <stp/>
        <stp>BDP|15650822721567670765</stp>
        <tr r="AF15" s="338"/>
        <tr r="AF39" s="338"/>
        <tr r="AG40" s="338"/>
      </tp>
      <tp t="s">
        <v>#N/A Requesting Data...3342224743</v>
        <stp/>
        <stp>BDP|10661203894173514722</stp>
        <tr r="P40" s="338"/>
      </tp>
      <tp t="s">
        <v>#N/A Requesting Data...3673576514</v>
        <stp/>
        <stp>BDP|11769411948438232696</stp>
        <tr r="V235" s="89"/>
      </tp>
      <tp t="s">
        <v>#N/A N/A</v>
        <stp/>
        <stp>BDP|13400157600295352875</stp>
        <tr r="AQ4" s="2"/>
      </tp>
      <tp t="s">
        <v>#N/A Requesting Data...3420017282</v>
        <stp/>
        <stp>BDP|16644071595826516655</stp>
        <tr r="M17" s="252"/>
      </tp>
      <tp t="s">
        <v>#N/A Requesting Data...3515275061</v>
        <stp/>
        <stp>BDP|10282731194108712961</stp>
        <tr r="X32" s="338"/>
      </tp>
      <tp t="s">
        <v>#N/A Requesting Data...3726463595</v>
        <stp/>
        <stp>BDP|11825565969849644458</stp>
        <tr r="G26" s="446"/>
      </tp>
      <tp t="s">
        <v>#N/A N/A</v>
        <stp/>
        <stp>BDP|18420590223647071798</stp>
        <tr r="Q15" s="338"/>
        <tr r="Q39" s="338"/>
      </tp>
      <tp t="s">
        <v>#N/A Requesting Data...3915837901</v>
        <stp/>
        <stp>BDP|12871173848491846983</stp>
        <tr r="D195" s="89"/>
      </tp>
      <tp t="s">
        <v>#N/A N/A</v>
        <stp/>
        <stp>BDP|13477200596854183354</stp>
        <tr r="R236" s="89"/>
      </tp>
      <tp t="s">
        <v>#N/A Requesting Data...4261278679</v>
        <stp/>
        <stp>BDP|10754652992714129477</stp>
        <tr r="E170" s="89"/>
        <tr r="E26" s="89"/>
        <tr r="E7" s="89"/>
      </tp>
      <tp t="s">
        <v>#N/A Requesting Data...3720312585</v>
        <stp/>
        <stp>BDP|13743925468151835237</stp>
        <tr r="AF52" s="338"/>
        <tr r="AF53" s="338"/>
        <tr r="AF54" s="338"/>
      </tp>
      <tp t="e">
        <v>#N/A</v>
        <stp/>
        <stp>BDH|15301870027157436707</stp>
        <tr r="W7" s="252"/>
        <tr r="T7" s="252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>
        <v>0.5224231481552124</v>
        <stp/>
        <stp>BDP|91139731021883834|22</stp>
        <stp>GOOG US 07/17/26 C350 Equity</stp>
        <stp>DELTA_MID_RT</stp>
        <tr r="W236" s="89"/>
      </tp>
      <tp t="s">
        <v>#N/A Requesting Data...3750451221</v>
        <stp/>
        <stp>BDP|15227818738842751045</stp>
        <tr r="AA82" s="89"/>
        <tr r="Z82" s="89"/>
      </tp>
      <tp t="s">
        <v>#N/A Requesting Data...3430502702</v>
        <stp/>
        <stp>BDP|10552070608995420954</stp>
        <tr r="O9" s="252"/>
      </tp>
      <tp t="s">
        <v>#N/A Requesting Data...3893985762</v>
        <stp/>
        <stp>BDP|15489180332173336860</stp>
        <tr r="T16" s="2"/>
        <tr r="O62" s="89"/>
      </tp>
      <tp t="s">
        <v>#N/A Requesting Data...3683853276</v>
        <stp/>
        <stp>BDP|16415819239102308353</stp>
        <tr r="P13" s="338"/>
      </tp>
      <tp t="s">
        <v>#N/A N/A</v>
        <stp/>
        <stp>BDP|14151613796081423680</stp>
        <tr r="AI14" s="1"/>
      </tp>
      <tp t="s">
        <v>#N/A Requesting Data...4130568309</v>
        <stp/>
        <stp>BDP|16048814305041128389</stp>
        <tr r="AH12" s="338"/>
        <tr r="AJ12" s="338"/>
      </tp>
      <tp t="s">
        <v>#N/A Requesting Data...4131405470</v>
        <stp/>
        <stp>BDP|17315018787765860602</stp>
        <tr r="U29" s="338"/>
      </tp>
      <tp t="s">
        <v>#N/A Requesting Data...3445944080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Data...3531910149</v>
        <stp/>
        <stp>BDP|15549933334837718499</stp>
        <tr r="AJ36" s="338"/>
      </tp>
      <tp t="s">
        <v>#N/A Requesting Data...3954202177</v>
        <stp/>
        <stp>BDP|13021422978704305879</stp>
        <tr r="F33" s="446"/>
      </tp>
      <tp t="s">
        <v>#N/A N/A</v>
        <stp/>
        <stp>BDP|16521478898015424206</stp>
        <tr r="AV12" s="2"/>
        <tr r="R169" s="89"/>
        <tr r="R170" s="89"/>
        <tr r="R171" s="89"/>
        <tr r="R233" s="89"/>
        <tr r="R27" s="89"/>
        <tr r="R180" s="89"/>
        <tr r="R7" s="89"/>
        <tr r="R26" s="89"/>
        <tr r="R8" s="89"/>
        <tr r="AV13" s="2"/>
      </tp>
      <tp t="s">
        <v>#N/A Requesting Data...3391383350</v>
        <stp/>
        <stp>BDP|16877024025140252836</stp>
        <tr r="F37" s="446"/>
      </tp>
      <tp t="s">
        <v>#N/A Requesting Data...3680780521</v>
        <stp/>
        <stp>BDP|11873488141545455841</stp>
        <tr r="AK12" s="338"/>
      </tp>
      <tp t="s">
        <v>#N/A Requesting Data...4029710057</v>
        <stp/>
        <stp>BDP|10918059229437544914</stp>
        <tr r="S14" s="252"/>
      </tp>
      <tp t="s">
        <v>#N/A Requesting Data...3498779297</v>
        <stp/>
        <stp>BDP|17459985945086122091</stp>
        <tr r="F19" s="252"/>
      </tp>
      <tp t="s">
        <v>#N/A Requesting Data...3614239279</v>
        <stp/>
        <stp>BDP|16146881818116826586</stp>
        <tr r="P41" s="338"/>
      </tp>
      <tp t="s">
        <v>#N/A Requesting Data...4071909544</v>
        <stp/>
        <stp>BDP|16305130988474048795</stp>
        <tr r="C19" s="2"/>
      </tp>
      <tp t="s">
        <v>#N/A Requesting Data...3593269042</v>
        <stp/>
        <stp>BDP|12142260327609500757</stp>
        <tr r="T8" s="89"/>
      </tp>
      <tp t="s">
        <v>#N/A Requesting Data...4013185800</v>
        <stp/>
        <stp>BDP|15485843473026578068</stp>
        <tr r="U54" s="338"/>
      </tp>
      <tp t="s">
        <v>#N/A N/A</v>
        <stp/>
        <stp>BDP|15591645681587422073</stp>
        <tr r="Q37" s="338"/>
      </tp>
      <tp t="s">
        <v>#N/A Requesting Data...4206693224</v>
        <stp/>
        <stp>BDP|14702322456147385934</stp>
        <tr r="U47" s="338"/>
      </tp>
      <tp t="s">
        <v>#N/A Requesting Data...3971345814</v>
        <stp/>
        <stp>BDP|13405037176711243908</stp>
        <tr r="E137" s="89"/>
      </tp>
      <tp t="s">
        <v>#N/A N/A</v>
        <stp/>
        <stp>BDP|17431748397947127250</stp>
        <tr r="AG43" s="1"/>
        <tr r="AG44" s="1"/>
      </tp>
      <tp t="s">
        <v>#N/A Requesting Data...3852516353</v>
        <stp/>
        <stp>BDP|12945955828165458035</stp>
        <tr r="Z96" s="89"/>
        <tr r="AA96" s="89"/>
      </tp>
      <tp t="s">
        <v>#N/A N/A</v>
        <stp/>
        <stp>BDP|17121744854209636040</stp>
        <tr r="Q14" s="338"/>
      </tp>
      <tp t="s">
        <v>#N/A Requesting Data...3899345747</v>
        <stp/>
        <stp>BDP|14217961267851904682</stp>
        <tr r="AD16" s="2"/>
        <tr r="V62" s="89"/>
      </tp>
      <tp t="s">
        <v>#N/A Requesting Data...3566244568</v>
        <stp/>
        <stp>BDP|16199643097561563420</stp>
        <tr r="C129" s="89"/>
      </tp>
      <tp t="s">
        <v>#N/A N/A</v>
        <stp/>
        <stp>BDP|18308090109307424329</stp>
        <tr r="K50" s="1"/>
      </tp>
      <tp t="s">
        <v>#N/A Requesting Data...3839995607</v>
        <stp/>
        <stp>BDP|14259965167551312659</stp>
        <tr r="F6" s="2"/>
      </tp>
      <tp t="s">
        <v>#N/A N/A</v>
        <stp/>
        <stp>BDP|12674764301591512809</stp>
        <tr r="C205" s="89"/>
        <tr r="C213" s="89"/>
      </tp>
      <tp t="s">
        <v>#N/A Requesting Data...3677279190</v>
        <stp/>
        <stp>BDP|14535010240339641566</stp>
        <tr r="AA19" s="2"/>
        <tr r="T195" s="89"/>
      </tp>
      <tp t="s">
        <v>#N/A Requesting Data...3563677401</v>
        <stp/>
        <stp>BDP|12025675637399291269</stp>
        <tr r="O15" s="252"/>
      </tp>
      <tp t="s">
        <v>#N/A Requesting Data...3444331271</v>
        <stp/>
        <stp>BDP|11664873615115482148</stp>
        <tr r="V69" s="89"/>
      </tp>
      <tp t="s">
        <v>#N/A Requesting Data...3604390670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Data...3398083147</v>
        <stp/>
        <stp>BDP|12603143287034451379</stp>
        <tr r="AC25" s="1"/>
        <tr r="AC26" s="1"/>
        <tr r="D27" s="446"/>
      </tp>
      <tp t="s">
        <v>#N/A Requesting Data...3599055315</v>
        <stp/>
        <stp>BDP|10004210412887167840</stp>
        <tr r="D40" s="446"/>
      </tp>
      <tp t="e">
        <v>#N/A</v>
        <stp/>
        <stp>BDH|13392831222951112430</stp>
        <tr r="J11" s="252"/>
      </tp>
      <tp t="s">
        <v>#N/A N/A</v>
        <stp/>
        <stp>BDH|15749733197536718179</stp>
        <tr r="AS51" s="338"/>
        <tr r="AS33" s="338"/>
        <tr r="AS41" s="338"/>
        <tr r="AN45" s="338"/>
        <tr r="AS31" s="338"/>
        <tr r="AS47" s="338"/>
        <tr r="AN46" s="338"/>
        <tr r="AN49" s="338"/>
      </tp>
      <tp t="s">
        <v>#N/A N/A</v>
        <stp/>
        <stp>BDH|11552852862793511042</stp>
        <tr r="AP14" s="338"/>
        <tr r="AP35" s="338"/>
      </tp>
      <tp t="s">
        <v>#N/A N/A</v>
        <stp/>
        <stp>BDH|14719277866424438850</stp>
        <tr r="AP33" s="338"/>
        <tr r="AP10" s="338"/>
        <tr r="AP11" s="338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 t="s">
        <v>#N/A N/A</v>
        <stp/>
        <stp>BDH|16306669442970807864</stp>
        <tr r="AP36" s="338"/>
      </tp>
      <tp>
        <v>-0.3078574538230896</v>
        <stp/>
        <stp>BDP|15300860136715577647|22</stp>
        <stp>AVGO US 06/18/26 P300 Equity</stp>
        <stp>DELTA_MID_RT</stp>
        <tr r="W224" s="89"/>
      </tp>
      <tp>
        <v>381.04500000000002</v>
        <stp/>
        <stp>BDP|336164456245703188|22</stp>
        <stp>LITE US Equity</stp>
        <stp>LAST_PRICE</stp>
        <tr r="Z11" s="2"/>
      </tp>
      <tp t="s">
        <v>#N/A Real Time</v>
        <stp/>
        <stp>BDP|4430211455615003459|22</stp>
        <stp>4OX4C    20500 Index</stp>
        <stp>bid</stp>
        <tr r="K108" s="89"/>
      </tp>
      <tp>
        <v>0.33651754260063171</v>
        <stp/>
        <stp>BDP|2598103699700497103|22</stp>
        <stp>NVDA US 02/06/26 C197.5 Equity</stp>
        <stp>DELTA_MID_RT</stp>
        <tr r="W33" s="89"/>
      </tp>
      <tp t="s">
        <v>#N/A Requesting Data...3409273009</v>
        <stp/>
        <stp>BDP|10830436782351213025</stp>
        <tr r="AG13" s="338"/>
      </tp>
      <tp t="s">
        <v>#N/A Requesting Data...3604887338</v>
        <stp/>
        <stp>BDP|16101110071044873900</stp>
        <tr r="S19" s="252"/>
      </tp>
      <tp t="s">
        <v>#N/A N/A</v>
        <stp/>
        <stp>BDP|16880126185114456631</stp>
        <tr r="Q42" s="338"/>
      </tp>
      <tp t="s">
        <v>#N/A Requesting Data...3853468586</v>
        <stp/>
        <stp>BDP|17375751787424053193</stp>
        <tr r="T90" s="89"/>
      </tp>
      <tp t="s">
        <v>#N/A Requesting Data...3834897031</v>
        <stp/>
        <stp>BDP|15805166451638287462</stp>
        <tr r="S18" s="338"/>
      </tp>
      <tp t="s">
        <v>#N/A Requesting Data...3974683836</v>
        <stp/>
        <stp>BDP|18446461901708890906</stp>
        <tr r="S45" s="338"/>
      </tp>
      <tp t="s">
        <v>#N/A Requesting Data...3881130845</v>
        <stp/>
        <stp>BDP|12514485676904256829</stp>
        <tr r="E160" s="89"/>
      </tp>
      <tp t="s">
        <v>#N/A N/A</v>
        <stp/>
        <stp>BDP|12136202912939805519</stp>
        <tr r="T205" s="89"/>
        <tr r="T213" s="89"/>
      </tp>
      <tp t="s">
        <v>#N/A Requesting Data...4282750476</v>
        <stp/>
        <stp>BDP|10028687100653384862</stp>
        <tr r="T5" s="2"/>
        <tr r="O223" s="89"/>
      </tp>
      <tp t="s">
        <v>#N/A Requesting Data...3764233012</v>
        <stp/>
        <stp>BDP|10128965995225731885</stp>
        <tr r="AA8" s="89"/>
        <tr r="Z8" s="89"/>
      </tp>
      <tp t="s">
        <v>#N/A Requesting Data...4103580805</v>
        <stp/>
        <stp>BDP|15843140282036113720</stp>
        <tr r="G22" s="446"/>
      </tp>
      <tp t="s">
        <v>#N/A Requesting Data...4117477696</v>
        <stp/>
        <stp>BDP|12173824453560826249</stp>
        <tr r="AR22" s="2"/>
      </tp>
      <tp t="s">
        <v>#N/A Requesting Data...3900880877</v>
        <stp/>
        <stp>BDP|11847564369457057888</stp>
        <tr r="F13" s="252"/>
      </tp>
      <tp t="s">
        <v>#N/A Requesting Data...3648480748</v>
        <stp/>
        <stp>BDP|13571664718169245067</stp>
        <tr r="U14" s="338"/>
      </tp>
      <tp t="s">
        <v>#N/A Requesting Data...4284583079</v>
        <stp/>
        <stp>BDP|17319342610009091197</stp>
        <tr r="G27" s="446"/>
      </tp>
      <tp t="s">
        <v>#N/A N/A</v>
        <stp/>
        <stp>BDP|11924439292996409721</stp>
        <tr r="AG50" s="1"/>
        <tr r="AG51" s="1"/>
      </tp>
      <tp t="s">
        <v>#N/A Requesting Data...3540472714</v>
        <stp/>
        <stp>BDP|14882210397437387533</stp>
        <tr r="T42" s="338"/>
      </tp>
      <tp t="s">
        <v>#N/A N/A</v>
        <stp/>
        <stp>BDP|17655296195787861634</stp>
        <tr r="Q44" s="338"/>
      </tp>
      <tp t="s">
        <v>#N/A Requesting Data...3692851127</v>
        <stp/>
        <stp>BDP|16174661133786135858</stp>
        <tr r="L12" s="338"/>
        <tr r="H12" s="338"/>
      </tp>
      <tp t="s">
        <v>#N/A N/A</v>
        <stp/>
        <stp>BDP|10607257996440169646</stp>
        <tr r="Q33" s="338"/>
      </tp>
      <tp t="s">
        <v>#N/A Requesting Data...4002863030</v>
        <stp/>
        <stp>BDP|17115834681353057933</stp>
        <tr r="U31" s="338"/>
      </tp>
      <tp t="s">
        <v>#N/A Requesting Data...3606177767</v>
        <stp/>
        <stp>BDP|12175469510002223863</stp>
        <tr r="P14" s="338"/>
      </tp>
      <tp t="s">
        <v>#N/A Requesting Data...3844377410</v>
        <stp/>
        <stp>BDP|12030261217164091827</stp>
        <tr r="D8" s="89"/>
      </tp>
      <tp t="s">
        <v>#N/A N/A</v>
        <stp/>
        <stp>BDP|18096474274854136215</stp>
        <tr r="AV22" s="2"/>
        <tr r="R68" s="89"/>
        <tr r="R69" s="89"/>
        <tr r="R75" s="89"/>
        <tr r="R76" s="89"/>
        <tr r="R82" s="89"/>
        <tr r="R81" s="89"/>
        <tr r="AV23" s="2"/>
      </tp>
      <tp t="s">
        <v>#N/A Requesting Data...3966046822</v>
        <stp/>
        <stp>BDP|18074111082599132509</stp>
        <tr r="D196" s="89"/>
      </tp>
      <tp t="s">
        <v>#N/A Requesting Data...4235761297</v>
        <stp/>
        <stp>BDP|16200988588058493248</stp>
        <tr r="AA224" s="89"/>
        <tr r="Z224" s="89"/>
      </tp>
      <tp t="s">
        <v>#N/A Requesting Data...3545757949</v>
        <stp/>
        <stp>BDP|17051618884910746406</stp>
        <tr r="T44" s="338"/>
      </tp>
      <tp t="s">
        <v>#N/A Requesting Data...4063243170</v>
        <stp/>
        <stp>BDP|14959318848357778920</stp>
        <tr r="T41" s="338"/>
      </tp>
      <tp t="s">
        <v>#N/A Requesting Data...3754777342</v>
        <stp/>
        <stp>BDP|15219096160618738682</stp>
        <tr r="X17" s="338"/>
      </tp>
      <tp t="s">
        <v>#N/A Requesting Data...3488452846</v>
        <stp/>
        <stp>BDP|14574759861540790819</stp>
        <tr r="S34" s="338"/>
      </tp>
      <tp t="s">
        <v>#N/A Requesting Data...3880556858</v>
        <stp/>
        <stp>BDP|17898461283376389092</stp>
        <tr r="D40" s="89"/>
      </tp>
      <tp t="s">
        <v>#N/A Requesting Data...3844382009</v>
        <stp/>
        <stp>BDP|12063939312664514322</stp>
        <tr r="N17" s="252"/>
        <tr r="N17" s="252"/>
      </tp>
      <tp t="s">
        <v>#N/A Requesting Data...4181556759</v>
        <stp/>
        <stp>BDP|11934537446469823426</stp>
        <tr r="E6" s="2"/>
      </tp>
      <tp t="s">
        <v>#N/A N/A</v>
        <stp/>
        <stp>BDH|13262153594283072500</stp>
        <tr r="AS8" s="338"/>
        <tr r="AS32" s="338"/>
        <tr r="AS46" s="338"/>
        <tr r="AS50" s="338"/>
      </tp>
      <tp t="e">
        <v>#N/A</v>
        <stp/>
        <stp>BDH|13885285882450008494</stp>
        <tr r="J17" s="252"/>
      </tp>
      <tp t="s">
        <v>#N/A N/A</v>
        <stp/>
        <stp>BDH|13969298106245137991</stp>
        <tr r="AN29" s="338"/>
        <tr r="AN30" s="338"/>
      </tp>
      <tp>
        <v>629.82000000000005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82.194999999999993</v>
        <stp/>
        <stp>BDP|3617422536658376331|22</stp>
        <stp>XLP Equity</stp>
        <stp>LAST PRICE</stp>
        <tr r="I9" s="338"/>
      </tp>
      <tp>
        <v>96.85</v>
        <stp/>
        <stp>BDP|4911432985148125573|22</stp>
        <stp>META US 07/17/26 C700 Equity</stp>
        <stp>ask</stp>
        <tr r="L27" s="89"/>
        <tr r="L171" s="89"/>
        <tr r="Q13" s="2"/>
      </tp>
      <tp>
        <v>0.30163723230361938</v>
        <stp/>
        <stp>BDP|17883794052074029184|22</stp>
        <stp>MSFT US 02/20/26 C450 Equity</stp>
        <stp>DELTA_MID_RT</stp>
        <tr r="W203" s="89"/>
      </tp>
      <tp t="s">
        <v>#N/A Requesting Data...3947255913</v>
        <stp/>
        <stp>BDP|12339741374220877028</stp>
        <tr r="AB15" s="1"/>
        <tr r="AB16" s="1"/>
        <tr r="AB17" s="1"/>
        <tr r="F21" s="446"/>
      </tp>
      <tp t="s">
        <v>#N/A Requesting Data...3508468049</v>
        <stp/>
        <stp>BDP|10313697833123536458</stp>
        <tr r="E15" s="2"/>
      </tp>
      <tp t="s">
        <v>#N/A Requesting Data...3475507364</v>
        <stp/>
        <stp>BDP|15108137503044913212</stp>
        <tr r="T170" s="89"/>
        <tr r="T26" s="89"/>
        <tr r="T7" s="89"/>
      </tp>
      <tp t="s">
        <v>#N/A Requesting Data...4253765105</v>
        <stp/>
        <stp>BDP|12562291822957166773</stp>
        <tr r="X15" s="338"/>
        <tr r="X39" s="338"/>
      </tp>
      <tp t="s">
        <v>#N/A Requesting Data...4285368191</v>
        <stp/>
        <stp>BDP|17646594623933242160</stp>
        <tr r="AJ8" s="338"/>
        <tr r="AJ9" s="338"/>
      </tp>
      <tp t="s">
        <v>#N/A Requesting Data...3578167905</v>
        <stp/>
        <stp>BDP|10920319565786030158</stp>
        <tr r="E116" s="89"/>
      </tp>
      <tp t="s">
        <v>#N/A Requesting Data...3660651441</v>
        <stp/>
        <stp>BDP|11988979111049200256</stp>
        <tr r="AK29" s="338"/>
      </tp>
      <tp t="s">
        <v>#N/A N/A</v>
        <stp/>
        <stp>BDP|15123503718841871299</stp>
        <tr r="T211" s="89"/>
      </tp>
      <tp t="s">
        <v>#N/A Requesting Data...4146572126</v>
        <stp/>
        <stp>BDP|12832425312094016130</stp>
        <tr r="D6" s="2"/>
      </tp>
      <tp t="s">
        <v>#N/A Requesting Data...3549161370</v>
        <stp/>
        <stp>BDP|10430788467275400653</stp>
        <tr r="AA236" s="89"/>
        <tr r="Z236" s="89"/>
      </tp>
      <tp t="s">
        <v>#N/A Requesting Data...3661431067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Data...4086642289</v>
        <stp/>
        <stp>BDP|14776745928063005042</stp>
        <tr r="T136" s="89"/>
      </tp>
      <tp t="s">
        <v>#N/A N/A</v>
        <stp/>
        <stp>BDP|12776798055890176257</stp>
        <tr r="V211" s="89"/>
      </tp>
      <tp t="s">
        <v>#N/A Requesting Data...3517251637</v>
        <stp/>
        <stp>BDP|16719292853193179031</stp>
        <tr r="T24" s="2"/>
      </tp>
      <tp t="s">
        <v>#N/A Requesting Data...3990492788</v>
        <stp/>
        <stp>BDP|13796779298948123776</stp>
        <tr r="C136" s="89"/>
      </tp>
      <tp t="s">
        <v>#N/A Requesting Data...4291132056</v>
        <stp/>
        <stp>BDP|13805405504302407767</stp>
        <tr r="AA197" s="89"/>
        <tr r="Z197" s="89"/>
      </tp>
      <tp t="s">
        <v>#N/A N/A</v>
        <stp/>
        <stp>BDP|17104168856602664398</stp>
        <tr r="E211" s="89"/>
      </tp>
      <tp t="s">
        <v>#N/A Requesting Data...3985856427</v>
        <stp/>
        <stp>BDP|16819116934213136521</stp>
        <tr r="F14" s="2"/>
      </tp>
      <tp t="s">
        <v>#N/A Requesting Data...4204930143</v>
        <stp/>
        <stp>BDP|14240882820984424808</stp>
        <tr r="V153" s="89"/>
        <tr r="V154" s="89"/>
      </tp>
      <tp t="s">
        <v>#N/A Requesting Data...4198477800</v>
        <stp/>
        <stp>BDP|13150872693841225199</stp>
        <tr r="AR6" s="2"/>
      </tp>
      <tp t="s">
        <v>#N/A Requesting Data...3892285088</v>
        <stp/>
        <stp>BDP|13698454327306550105</stp>
        <tr r="T180" s="89"/>
      </tp>
      <tp t="s">
        <v>#N/A Requesting Data...4083558121</v>
        <stp/>
        <stp>BDP|16047448851216675329</stp>
        <tr r="V68" s="89"/>
      </tp>
      <tp t="s">
        <v>#N/A Requesting Data...3840887769</v>
        <stp/>
        <stp>BDP|11875259860180843752</stp>
        <tr r="L9" s="252"/>
        <tr r="L9" s="252"/>
      </tp>
      <tp t="s">
        <v>#N/A Requesting Data...4220270220</v>
        <stp/>
        <stp>BDP|17193753013640317341</stp>
        <tr r="AA21" s="2"/>
        <tr r="T197" s="89"/>
      </tp>
      <tp t="s">
        <v>#N/A Requesting Data...4281977504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N/A</v>
        <stp/>
        <stp>BDP|16665812118984554998</stp>
        <tr r="AC16" s="2"/>
        <tr r="AC17" s="2"/>
        <tr r="AC15" s="2"/>
        <tr r="AC14" s="2"/>
      </tp>
      <tp t="s">
        <v>#N/A Requesting Data...3617964279</v>
        <stp/>
        <stp>BDP|10392302271721368734</stp>
        <tr r="AJ15" s="338"/>
        <tr r="AJ39" s="338"/>
        <tr r="AK40" s="338"/>
      </tp>
      <tp t="s">
        <v>#N/A Requesting Data...3848904206</v>
        <stp/>
        <stp>BDP|13077127063164089235</stp>
        <tr r="L29" s="338"/>
        <tr r="H29" s="338"/>
        <tr r="L30" s="338"/>
        <tr r="H30" s="338"/>
      </tp>
      <tp t="s">
        <v>#N/A Requesting Data...3850690483</v>
        <stp/>
        <stp>BDP|15616266803836462358</stp>
        <tr r="P18" s="338"/>
      </tp>
      <tp t="s">
        <v>#N/A Requesting Data...4161248795</v>
        <stp/>
        <stp>BDP|12909617883408150686</stp>
        <tr r="F17" s="446"/>
      </tp>
      <tp t="s">
        <v>#N/A Requesting Data...4127403308</v>
        <stp/>
        <stp>BDP|12668630201684454223</stp>
        <tr r="T40" s="338"/>
      </tp>
      <tp t="s">
        <v>#N/A Requesting Data...4076707375</v>
        <stp/>
        <stp>BDP|14907590063523957686</stp>
        <tr r="D39" s="446"/>
      </tp>
      <tp t="s">
        <v>#N/A Requesting Data...3557979190</v>
        <stp/>
        <stp>BDP|15427086549125422631</stp>
        <tr r="F29" s="446"/>
      </tp>
      <tp t="s">
        <v>#N/A Requesting Data...3524825045</v>
        <stp/>
        <stp>BDP|12603611155092450139</stp>
        <tr r="P44" s="338"/>
      </tp>
      <tp t="s">
        <v>#N/A Requesting Data...4262716297</v>
        <stp/>
        <stp>BDP|15070758468347809116</stp>
        <tr r="Z75" s="89"/>
        <tr r="AA75" s="89"/>
      </tp>
      <tp t="s">
        <v>#N/A Requesting Data...4187884240</v>
        <stp/>
        <stp>BDP|14733502401484175730</stp>
        <tr r="AD9" s="2"/>
        <tr r="V13" s="89"/>
      </tp>
      <tp t="s">
        <v>#N/A Requesting Data...3749498353</v>
        <stp/>
        <stp>BDP|12650903035052242853</stp>
        <tr r="T50" s="338"/>
      </tp>
      <tp t="s">
        <v>#N/A Requesting Data...3958822928</v>
        <stp/>
        <stp>BDP|15097578277281717435</stp>
        <tr r="AK13" s="338"/>
      </tp>
      <tp t="s">
        <v>#N/A N/A</v>
        <stp/>
        <stp>BDP|17445646416605654744</stp>
        <tr r="R55" s="89"/>
        <tr r="R56" s="89"/>
      </tp>
      <tp t="s">
        <v>#N/A Requesting Data...3743040784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N/A</v>
        <stp/>
        <stp>BDP|17447943913214573912</stp>
        <tr r="AC25" s="2"/>
        <tr r="AC24" s="2"/>
      </tp>
      <tp t="s">
        <v>#N/A Requesting Data...4147839104</v>
        <stp/>
        <stp>BDP|10540491936722929740</stp>
        <tr r="F13" s="446"/>
      </tp>
      <tp t="s">
        <v>#N/A Requesting Data...4091318968</v>
        <stp/>
        <stp>BDP|12465228967747275351</stp>
        <tr r="F5" s="2"/>
      </tp>
      <tp t="s">
        <v>#N/A N/A</v>
        <stp/>
        <stp>BDP|14883124263986960762</stp>
        <tr r="E212" s="89"/>
      </tp>
      <tp t="s">
        <v>#N/A Requesting Data...3983329903</v>
        <stp/>
        <stp>BDP|11774657841727499618</stp>
        <tr r="AA11" s="2"/>
      </tp>
      <tp t="e">
        <v>#N/A</v>
        <stp/>
        <stp>BDH|17220079290198638431</stp>
        <tr r="T20" s="252"/>
        <tr r="W20" s="252"/>
      </tp>
      <tp t="e">
        <v>#N/A</v>
        <stp/>
        <stp>BDH|17584423057877396301</stp>
        <tr r="J7" s="252"/>
      </tp>
      <tp t="s">
        <v>#N/A N/A</v>
        <stp/>
        <stp>BDH|14946055498498052772</stp>
        <tr r="AS11" s="338"/>
      </tp>
      <tp t="s">
        <v>#N/A N/A</v>
        <stp/>
        <stp>BDH|16507147250443102334</stp>
        <tr r="AM33" s="338"/>
        <tr r="AM11" s="338"/>
        <tr r="AM10" s="338"/>
      </tp>
      <tp>
        <v>124.55500000000001</v>
        <stp/>
        <stp>BDP|1868269163989593436|22</stp>
        <stp>EWY Equity</stp>
        <stp>LAST_PRICE</stp>
        <tr r="I38" s="1"/>
        <tr r="I39" s="1"/>
        <tr r="I40" s="1"/>
      </tp>
      <tp t="e">
        <v>#N/A</v>
        <stp/>
        <stp>BDH|13433517978227188448</stp>
        <tr r="J12" s="252"/>
      </tp>
      <tp t="s">
        <v>#N/A N/A</v>
        <stp/>
        <stp>BDH|15656333872457980417</stp>
        <tr r="AN9" s="338"/>
        <tr r="AN8" s="338"/>
      </tp>
      <tp>
        <v>87.25</v>
        <stp/>
        <stp>BDP|3322764634781769714|22</stp>
        <stp>META US 02/27/26 C660 Equity</stp>
        <stp>ask</stp>
        <tr r="L180" s="89"/>
      </tp>
      <tp>
        <v>0.28999999999999998</v>
        <stp/>
        <stp>BDP|7779660573183859665|22</stp>
        <stp>NFLX US 03/20/26 C105 Equity</stp>
        <stp>ask</stp>
        <tr r="L186" s="89"/>
      </tp>
      <tp t="s">
        <v>#N/A N/A</v>
        <stp/>
        <stp>BDP|15895214585768543406</stp>
        <tr r="AB27" s="1"/>
        <tr r="AB28" s="1"/>
      </tp>
      <tp t="s">
        <v>#N/A N/A</v>
        <stp/>
        <stp>BDP|12506693576836787640</stp>
        <tr r="AC27" s="1"/>
        <tr r="AC28" s="1"/>
      </tp>
      <tp t="s">
        <v>#N/A N/A</v>
        <stp/>
        <stp>BDP|12913717425274232066</stp>
        <tr r="AG37" s="1"/>
      </tp>
      <tp t="s">
        <v>#N/A Requesting Data...3692967280</v>
        <stp/>
        <stp>BDP|14952713124422363077</stp>
        <tr r="AI54" s="338"/>
      </tp>
      <tp t="s">
        <v>#N/A Requesting Data...3634418112</v>
        <stp/>
        <stp>BDP|14312053142406869542</stp>
        <tr r="AD7" s="2"/>
        <tr r="V33" s="89"/>
      </tp>
      <tp t="s">
        <v>#N/A N/A</v>
        <stp/>
        <stp>BDP|17344183941382189338</stp>
        <tr r="AB203" s="89"/>
        <tr r="AB204" s="89"/>
        <tr r="AB205" s="89"/>
        <tr r="AB211" s="89"/>
        <tr r="AB212" s="89"/>
        <tr r="AB213" s="89"/>
        <tr r="AQ18" s="2"/>
        <tr r="AB235" s="89"/>
      </tp>
      <tp t="s">
        <v>#N/A Requesting Data...4247595824</v>
        <stp/>
        <stp>BDP|12659323579531227475</stp>
        <tr r="C137" s="89"/>
      </tp>
      <tp t="s">
        <v>#N/A Requesting Data...3744219618</v>
        <stp/>
        <stp>BDP|13803406079623959001</stp>
        <tr r="C8" s="89"/>
      </tp>
      <tp t="s">
        <v>#N/A Requesting Data...3762521043</v>
        <stp/>
        <stp>BDP|13685951603788859137</stp>
        <tr r="T138" s="89"/>
      </tp>
      <tp t="s">
        <v>#N/A N/A</v>
        <stp/>
        <stp>BDP|11504832141296984841</stp>
        <tr r="T23" s="2"/>
      </tp>
      <tp t="s">
        <v>#N/A Requesting Data...3898594672</v>
        <stp/>
        <stp>BDP|11859154028508627992</stp>
        <tr r="D22" s="2"/>
        <tr r="C81" s="89"/>
      </tp>
      <tp t="s">
        <v>#N/A Requesting Data...4118298084</v>
        <stp/>
        <stp>BDP|16973005602894719115</stp>
        <tr r="P19" s="252"/>
      </tp>
      <tp t="s">
        <v>#N/A Requesting Data...3832994294</v>
        <stp/>
        <stp>BDP|12197625641431851271</stp>
        <tr r="D17" s="2"/>
        <tr r="C63" s="89"/>
      </tp>
      <tp t="s">
        <v>#N/A Requesting Data...3899158763</v>
        <stp/>
        <stp>BDP|14061654258613093712</stp>
        <tr r="Z116" s="89"/>
        <tr r="AA116" s="89"/>
      </tp>
      <tp t="s">
        <v>#N/A Requesting Data...3597528485</v>
        <stp/>
        <stp>BDP|11585397164616268161</stp>
        <tr r="D116" s="89"/>
      </tp>
      <tp t="s">
        <v>#N/A Requesting Data...4017325961</v>
        <stp/>
        <stp>BDP|18214340488518015823</stp>
        <tr r="V236" s="89"/>
      </tp>
      <tp t="s">
        <v>#N/A Requesting Data...3605669270</v>
        <stp/>
        <stp>BDP|12861943665177076956</stp>
        <tr r="AF12" s="338"/>
      </tp>
      <tp t="s">
        <v>#N/A N/A</v>
        <stp/>
        <stp>BDP|16310224704590045790</stp>
        <tr r="AA39" s="89"/>
        <tr r="Z39" s="89"/>
      </tp>
      <tp t="s">
        <v>#N/A Requesting Data...3891436654</v>
        <stp/>
        <stp>BDP|15919437567850131436</stp>
        <tr r="G28" s="446"/>
      </tp>
      <tp t="s">
        <v>#N/A Requesting Data...3796773566</v>
        <stp/>
        <stp>BDP|17345659231843132294</stp>
        <tr r="X31" s="338"/>
      </tp>
      <tp t="s">
        <v>#N/A N/A</v>
        <stp/>
        <stp>BDP|12988555714434708108</stp>
        <tr r="R187" s="89"/>
        <tr r="R188" s="89"/>
        <tr r="R186" s="89"/>
      </tp>
      <tp t="s">
        <v>#N/A N/A</v>
        <stp/>
        <stp>BDP|13934642593416417954</stp>
        <tr r="AI57" s="1"/>
      </tp>
      <tp t="s">
        <v>#N/A Requesting Data...3623549579</v>
        <stp/>
        <stp>BDP|11636396119835192597</stp>
        <tr r="T69" s="89"/>
      </tp>
      <tp t="s">
        <v>#N/A Requesting Data...3863909579</v>
        <stp/>
        <stp>BDP|17039732835313216359</stp>
        <tr r="G13" s="446"/>
      </tp>
      <tp t="s">
        <v>#N/A Requesting Data...3621758658</v>
        <stp/>
        <stp>BDP|10212284669224289309</stp>
        <tr r="G15" s="446"/>
      </tp>
      <tp t="s">
        <v>#N/A Requesting Data...3824010284</v>
        <stp/>
        <stp>BDP|16462724592283769820</stp>
        <tr r="Z69" s="89"/>
        <tr r="AA69" s="89"/>
      </tp>
      <tp t="s">
        <v>#N/A N/A</v>
        <stp/>
        <stp>BDP|14477773684938548023</stp>
        <tr r="AI32" s="1"/>
        <tr r="AI33" s="1"/>
        <tr r="AI34" s="1"/>
        <tr r="AI35" s="1"/>
      </tp>
      <tp t="s">
        <v>#N/A Requesting Data...3610376873</v>
        <stp/>
        <stp>BDP|16582836999550942450</stp>
        <tr r="O56" s="89"/>
      </tp>
      <tp t="s">
        <v>#N/A Requesting Data...3625824542</v>
        <stp/>
        <stp>BDP|10628744726607068175</stp>
        <tr r="C225" s="89"/>
      </tp>
      <tp t="s">
        <v>#N/A Requesting Data...3777814801</v>
        <stp/>
        <stp>BDP|16931852689404443127</stp>
        <tr r="AB18" s="1"/>
        <tr r="F23" s="446"/>
      </tp>
      <tp t="s">
        <v>#N/A Requesting Data...3736433445</v>
        <stp/>
        <stp>BDP|14461057417982680435</stp>
        <tr r="AA17" s="2"/>
        <tr r="T63" s="89"/>
      </tp>
      <tp>
        <v>296</v>
        <stp/>
        <stp>BDP|17671933814978710772|22</stp>
        <stp>1OG6C 26000 Index</stp>
        <stp>bid</stp>
        <tr r="K153" s="89"/>
        <tr r="K154" s="89"/>
      </tp>
      <tp t="s">
        <v>#N/A Requesting Data...4138457241</v>
        <stp/>
        <stp>BDP|14468716151160495523</stp>
        <tr r="AA27" s="89"/>
        <tr r="AA171" s="89"/>
        <tr r="Z27" s="89"/>
        <tr r="Z171" s="89"/>
      </tp>
      <tp t="s">
        <v>#N/A N/A</v>
        <stp/>
        <stp>BDP|10330813923328172124</stp>
        <tr r="D23" s="2"/>
      </tp>
      <tp t="s">
        <v>#N/A N/A</v>
        <stp/>
        <stp>BDP|17214529260663576400</stp>
        <tr r="AC37" s="1"/>
      </tp>
      <tp t="s">
        <v>#N/A Requesting Data...3962367208</v>
        <stp/>
        <stp>BDP|11246696260120787292</stp>
        <tr r="F10" s="252"/>
      </tp>
      <tp t="s">
        <v>#N/A Requesting Data...3681938607</v>
        <stp/>
        <stp>BDP|15227373250511500153</stp>
        <tr r="X14" s="338"/>
      </tp>
      <tp t="s">
        <v>#N/A Requesting Data...3594880461</v>
        <stp/>
        <stp>BDP|13044527620903591424</stp>
        <tr r="U15" s="338"/>
        <tr r="U39" s="338"/>
      </tp>
      <tp t="s">
        <v>#N/A Requesting Data...3996729540</v>
        <stp/>
        <stp>BDP|11488079128501837162</stp>
        <tr r="T13" s="2"/>
        <tr r="O171" s="89"/>
        <tr r="O27" s="89"/>
      </tp>
      <tp t="s">
        <v>#N/A N/A</v>
        <stp/>
        <stp>BDP|16066178257148215968</stp>
        <tr r="AV14" s="2"/>
        <tr r="AV16" s="2"/>
        <tr r="AV17" s="2"/>
        <tr r="R62" s="89"/>
        <tr r="R63" s="89"/>
        <tr r="AV15" s="2"/>
      </tp>
      <tp t="s">
        <v>#N/A N/A</v>
        <stp/>
        <stp>BDP|12718343677950174519</stp>
        <tr r="E7" s="1"/>
        <tr r="K32" s="1"/>
      </tp>
      <tp t="s">
        <v>#N/A Requesting Data...3620237710</v>
        <stp/>
        <stp>BDP|14592404034766531631</stp>
        <tr r="S53" s="338"/>
      </tp>
      <tp t="s">
        <v>#N/A N/A</v>
        <stp/>
        <stp>BDP|12795736732081404450</stp>
        <tr r="Q16" s="338"/>
        <tr r="Q38" s="338"/>
      </tp>
      <tp t="s">
        <v>#N/A N/A</v>
        <stp/>
        <stp>BDP|12699517143758716846</stp>
        <tr r="AA34" s="89"/>
        <tr r="Z34" s="89"/>
      </tp>
      <tp t="s">
        <v>#N/A Requesting Data...4262967350</v>
        <stp/>
        <stp>BDP|11486261538490579386</stp>
        <tr r="AH55" s="338"/>
        <tr r="AI14" s="338"/>
        <tr r="AI55" s="338"/>
      </tp>
      <tp t="s">
        <v>#N/A N/A</v>
        <stp/>
        <stp>BDP|11303561937597356363</stp>
        <tr r="E204" s="89"/>
      </tp>
      <tp t="s">
        <v>#N/A Requesting Data...3813893960</v>
        <stp/>
        <stp>BDP|10407776681355403913</stp>
        <tr r="AI9" s="338"/>
      </tp>
      <tp t="s">
        <v>#N/A N/A</v>
        <stp/>
        <stp>BDP|14730076527710394522</stp>
        <tr r="K3" s="1"/>
      </tp>
      <tp t="s">
        <v>#N/A N/A</v>
        <stp/>
        <stp>BDH|10107020616795592755</stp>
        <tr r="AR30" s="338"/>
      </tp>
      <tp t="e">
        <v>#N/A</v>
        <stp/>
        <stp>BDH|14583815225278766527</stp>
        <tr r="J8" s="252"/>
      </tp>
      <tp t="s">
        <v>#N/A N/A</v>
        <stp/>
        <stp>BDH|10877454616295247303</stp>
        <tr r="AU31" s="338"/>
        <tr r="AP46" s="338"/>
        <tr r="AP45" s="338"/>
        <tr r="AU51" s="338"/>
        <tr r="AU47" s="338"/>
        <tr r="AU41" s="338"/>
        <tr r="AU33" s="338"/>
        <tr r="AP49" s="338"/>
      </tp>
      <tp>
        <v>298.5</v>
        <stp/>
        <stp>BDP|14088876280754203979|22</stp>
        <stp>1OG6C 26000 Index</stp>
        <stp>ask</stp>
        <tr r="L153" s="89"/>
        <tr r="L154" s="89"/>
      </tp>
      <tp t="s">
        <v>USD</v>
        <stp/>
        <stp>BDP|1317667679904084219|22</stp>
        <stp>NFLX US 03/20/26 P90 Equity</stp>
        <stp>QUOTED_CURRENCY_REALTIME</stp>
        <tr r="F187" s="89"/>
      </tp>
      <tp>
        <v>-3.3704027533531189E-2</v>
        <stp/>
        <stp>BDP|2414594441666047375|22</stp>
        <stp>GDX US 09/18/26 C115 Equity</stp>
        <stp>theta_mid_rt</stp>
        <tr r="AN10" s="2"/>
      </tp>
      <tp t="s">
        <v>#N/A Real Time</v>
        <stp/>
        <stp>BDP|8550151833773817651|22</stp>
        <stp>3OF5C    22500 Index</stp>
        <stp>bid</stp>
        <tr r="K109" s="89"/>
      </tp>
      <tp>
        <v>96</v>
        <stp/>
        <stp>BDP|3120711432826724576|22</stp>
        <stp>META US 07/17/26 C700 Equity</stp>
        <stp>bid</stp>
        <tr r="K27" s="89"/>
        <tr r="K171" s="89"/>
        <tr r="P13" s="2"/>
      </tp>
      <tp t="s">
        <v>#N/A N/A</v>
        <stp/>
        <stp>BDP|14881796519496077416</stp>
        <tr r="AC43" s="1"/>
        <tr r="AC44" s="1"/>
      </tp>
      <tp t="s">
        <v>#N/A N/A</v>
        <stp/>
        <stp>BDP|13215475469594762530</stp>
        <tr r="AB89" s="89"/>
        <tr r="AB90" s="89"/>
      </tp>
      <tp t="s">
        <v>#N/A Requesting Data...4168110712</v>
        <stp/>
        <stp>BDP|10384653628097195348</stp>
        <tr r="V33" s="338"/>
      </tp>
      <tp t="s">
        <v>#N/A Requesting Data...4189428819</v>
        <stp/>
        <stp>BDP|15830810886156463309</stp>
        <tr r="Z89" s="89"/>
        <tr r="AA89" s="89"/>
      </tp>
      <tp t="s">
        <v>#N/A Requesting Data...4030373653</v>
        <stp/>
        <stp>BDP|16329127935980609498</stp>
        <tr r="M9" s="252"/>
      </tp>
      <tp t="s">
        <v>#N/A Requesting Data...3626330434</v>
        <stp/>
        <stp>BDP|10213293417720387350</stp>
        <tr r="V20" s="89"/>
      </tp>
      <tp t="s">
        <v>#N/A Requesting Data...3887472642</v>
        <stp/>
        <stp>BDP|14136785762373472653</stp>
        <tr r="P12" s="338"/>
      </tp>
      <tp t="s">
        <v>#N/A Requesting Data...3748704939</v>
        <stp/>
        <stp>BDP|10907713945543986097</stp>
        <tr r="AJ12" s="338"/>
      </tp>
      <tp t="s">
        <v>#N/A Requesting Data...3749110029</v>
        <stp/>
        <stp>BDP|18157396268365948849</stp>
        <tr r="G32" s="446"/>
      </tp>
      <tp t="s">
        <v>#N/A Requesting Data...3855500298</v>
        <stp/>
        <stp>BDP|12322490716684467354</stp>
        <tr r="AD25" s="2"/>
      </tp>
      <tp t="s">
        <v>#N/A Requesting Data...4127614363</v>
        <stp/>
        <stp>BDP|17187500422678411886</stp>
        <tr r="AA16" s="2"/>
        <tr r="T62" s="89"/>
      </tp>
      <tp t="s">
        <v>#N/A Requesting Data...3999890105</v>
        <stp/>
        <stp>BDP|11850099902500446183</stp>
        <tr r="AR25" s="2"/>
      </tp>
      <tp t="s">
        <v>#N/A Requesting Data...3948932876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Q23" s="2"/>
        <tr r="AQ22" s="2"/>
        <tr r="AB68" s="89"/>
        <tr r="AB69" s="89"/>
        <tr r="AB75" s="89"/>
        <tr r="AB76" s="89"/>
        <tr r="AB81" s="89"/>
        <tr r="AB82" s="89"/>
      </tp>
      <tp t="s">
        <v>#N/A Requesting Data...4216572238</v>
        <stp/>
        <stp>BDP|13092497781378873713</stp>
        <tr r="E76" s="89"/>
      </tp>
      <tp t="s">
        <v>#N/A Requesting Data...3779656323</v>
        <stp/>
        <stp>BDP|13176433799579956737</stp>
        <tr r="C16" s="2"/>
      </tp>
      <tp t="s">
        <v>#N/A Requesting Data...3992551220</v>
        <stp/>
        <stp>BDP|11877678453870847248</stp>
        <tr r="AJ29" s="338"/>
        <tr r="AJ30" s="338"/>
      </tp>
      <tp t="s">
        <v>#N/A Requesting Data...3786845390</v>
        <stp/>
        <stp>BDP|17979638844017722292</stp>
        <tr r="E224" s="89"/>
      </tp>
      <tp t="s">
        <v>#N/A Requesting Data...4279122914</v>
        <stp/>
        <stp>BDP|12913131077284987044</stp>
        <tr r="T55" s="89"/>
      </tp>
      <tp t="s">
        <v>#N/A Requesting Data...3921586119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Data...4129291153</v>
        <stp/>
        <stp>BDP|17857693024795624634</stp>
        <tr r="V19" s="89"/>
      </tp>
      <tp t="s">
        <v>#N/A N/A</v>
        <stp/>
        <stp>BDP|14736375789817362891</stp>
        <tr r="AC2" s="1"/>
        <tr r="AD2" s="1"/>
      </tp>
      <tp t="s">
        <v>#N/A N/A</v>
        <stp/>
        <stp>BDP|10445203744035528368</stp>
        <tr r="AC10" s="2"/>
        <tr r="AC9" s="2"/>
      </tp>
      <tp t="s">
        <v>#N/A N/A</v>
        <stp/>
        <stp>BDP|16915999897423444512</stp>
        <tr r="AC18" s="1"/>
      </tp>
      <tp t="s">
        <v>#N/A Requesting Data...4011339912</v>
        <stp/>
        <stp>BDP|13439578072010389109</stp>
        <tr r="O225" s="89"/>
      </tp>
      <tp t="s">
        <v>#N/A N/A</v>
        <stp/>
        <stp>BDP|15588300861006151675</stp>
        <tr r="C211" s="89"/>
      </tp>
      <tp t="s">
        <v>#N/A Requesting Data...3831665169</v>
        <stp/>
        <stp>BDP|11184865175579332734</stp>
        <tr r="F12" s="446"/>
      </tp>
      <tp t="s">
        <v>#N/A Requesting Data...4193889917</v>
        <stp/>
        <stp>BDP|12133420967599732913</stp>
        <tr r="AG12" s="338"/>
      </tp>
      <tp t="s">
        <v>#N/A Requesting Data...3721924223</v>
        <stp/>
        <stp>BDP|15122146107040099471</stp>
        <tr r="E55" s="89"/>
      </tp>
      <tp t="s">
        <v>#N/A Requesting Data...4076746795</v>
        <stp/>
        <stp>BDP|11301603537853289723</stp>
        <tr r="T18" s="338"/>
      </tp>
      <tp t="s">
        <v>#N/A Requesting Data...4120831531</v>
        <stp/>
        <stp>BDP|17819773794190840945</stp>
        <tr r="P17" s="252"/>
      </tp>
      <tp t="s">
        <v>#N/A Requesting Data...3876257665</v>
        <stp/>
        <stp>BDP|13497118928571303190</stp>
        <tr r="D18" s="2"/>
      </tp>
      <tp t="s">
        <v>#N/A Requesting Data...3939028821</v>
        <stp/>
        <stp>BDP|14405326057281461339</stp>
        <tr r="E236" s="89"/>
      </tp>
      <tp t="s">
        <v>#N/A Requesting Data...4138458402</v>
        <stp/>
        <stp>BDP|11542574144783666360</stp>
        <tr r="F41" s="446"/>
      </tp>
      <tp>
        <v>92.355000000000004</v>
        <stp/>
        <stp>BDP|2399130969064853177|22</stp>
        <stp>IGV Equity</stp>
        <stp>LAST_PRICE</stp>
        <tr r="I36" s="1"/>
      </tp>
      <tp t="s">
        <v>#N/A N/A</v>
        <stp/>
        <stp>BDH|11709868074117198919</stp>
        <tr r="AN35" s="338"/>
        <tr r="AN14" s="338"/>
      </tp>
      <tp t="s">
        <v>#N/A N/A</v>
        <stp/>
        <stp>BDH|15836004543210959161</stp>
        <tr r="AS12" s="338"/>
      </tp>
      <tp t="s">
        <v>#N/A N/A</v>
        <stp/>
        <stp>BDH|11785811702148115135</stp>
        <tr r="AU18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>
        <v>44</v>
        <stp/>
        <stp>BDP|3050834555440308322|22</stp>
        <stp>LITE US 03/20/26 C420 Equity</stp>
        <stp>bid</stp>
        <tr r="P11" s="2"/>
      </tp>
      <tp>
        <v>0.26486659049987793</v>
        <stp/>
        <stp>BDP|4961468225848282629|22</stp>
        <stp>NVDA US 02/13/26 C202.5 Equity</stp>
        <stp>DELTA_MID_RT</stp>
        <tr r="W34" s="89"/>
      </tp>
      <tp t="s">
        <v>#N/A Requesting Data...4004351591</v>
        <stp/>
        <stp>BDP|10801083268771247632</stp>
        <tr r="D90" s="89"/>
      </tp>
      <tp t="s">
        <v>#N/A Requesting Data...4114501997</v>
        <stp/>
        <stp>BDP|15656499554320397517</stp>
        <tr r="AA196" s="89"/>
        <tr r="Z196" s="89"/>
      </tp>
      <tp t="s">
        <v>#N/A Requesting Data...3976444043</v>
        <stp/>
        <stp>BDP|16715867013956947830</stp>
        <tr r="Z56" s="89"/>
        <tr r="AA56" s="89"/>
      </tp>
      <tp t="s">
        <v>#N/A N/A</v>
        <stp/>
        <stp>BDP|12214778078421334262</stp>
        <tr r="T39" s="89"/>
      </tp>
      <tp t="s">
        <v>#N/A Requesting Data...4182806320</v>
        <stp/>
        <stp>BDP|11531803114351862812</stp>
        <tr r="F11" s="2"/>
      </tp>
      <tp t="s">
        <v>#N/A Requesting Data...3909653815</v>
        <stp/>
        <stp>BDP|12055500611067822013</stp>
        <tr r="AJ31" s="338"/>
        <tr r="AJ32" s="338"/>
        <tr r="AH31" s="338"/>
        <tr r="AH32" s="338"/>
      </tp>
      <tp t="s">
        <v>#N/A N/A</v>
        <stp/>
        <stp>BDP|11265502119766043209</stp>
        <tr r="AI36" s="1"/>
      </tp>
      <tp t="s">
        <v>#N/A Requesting Data...4170149839</v>
        <stp/>
        <stp>BDP|10712352949092709470</stp>
        <tr r="AA19" s="89"/>
        <tr r="Z19" s="89"/>
      </tp>
      <tp t="s">
        <v>#N/A Requesting Data...3677034713</v>
        <stp/>
        <stp>BDP|14336270361883873268</stp>
        <tr r="E62" s="89"/>
      </tp>
      <tp t="s">
        <v>#N/A Requesting Data...4225775780</v>
        <stp/>
        <stp>BDP|15783676161145872136</stp>
        <tr r="O12" s="252"/>
      </tp>
      <tp t="s">
        <v>#N/A Requesting Data...3761603827</v>
        <stp/>
        <stp>BDP|14206156036891964625</stp>
        <tr r="C8" s="2"/>
      </tp>
      <tp t="s">
        <v>#N/A N/A</v>
        <stp/>
        <stp>BDP|10827554593684445907</stp>
        <tr r="AG52" s="1"/>
      </tp>
      <tp t="s">
        <v>#N/A Requesting Data...3780404389</v>
        <stp/>
        <stp>BDP|10651894387614235500</stp>
        <tr r="V138" s="89"/>
      </tp>
      <tp t="s">
        <v>#N/A Requesting Data...3749883329</v>
        <stp/>
        <stp>BDP|10435868994421818135</stp>
        <tr r="C25" s="2"/>
      </tp>
      <tp t="s">
        <v>#N/A Requesting Data...4042534331</v>
        <stp/>
        <stp>BDP|18017376398746707540</stp>
        <tr r="G37" s="446"/>
      </tp>
      <tp t="s">
        <v>#N/A N/A</v>
        <stp/>
        <stp>BDP|17365785494690778868</stp>
        <tr r="E5" s="1"/>
        <tr r="K27" s="1"/>
      </tp>
      <tp t="s">
        <v>#N/A Requesting Data...4118505408</v>
        <stp/>
        <stp>BDP|11154785569869703897</stp>
        <tr r="V101" s="89"/>
      </tp>
      <tp t="s">
        <v>#N/A Requesting Data...3676799128</v>
        <stp/>
        <stp>BDP|15429373874678916801</stp>
        <tr r="C55" s="89"/>
      </tp>
      <tp t="s">
        <v>#N/A Requesting Data...4208080099</v>
        <stp/>
        <stp>BDP|13462113802766482523</stp>
        <tr r="P51" s="338"/>
      </tp>
      <tp t="s">
        <v>#N/A Requesting Data...4087044052</v>
        <stp/>
        <stp>BDP|13507309990980542809</stp>
        <tr r="P54" s="338"/>
      </tp>
      <tp t="s">
        <v>#N/A N/A</v>
        <stp/>
        <stp>BDP|10629460632567404161</stp>
        <tr r="AF42" s="1"/>
      </tp>
      <tp t="s">
        <v>#N/A Requesting Data...4234394000</v>
        <stp/>
        <stp>BDP|13251961527568785177</stp>
        <tr r="L41" s="338"/>
        <tr r="L42" s="338"/>
        <tr r="H41" s="338"/>
        <tr r="H42" s="338"/>
      </tp>
      <tp t="s">
        <v>#N/A Requesting Data...4125044131</v>
        <stp/>
        <stp>BDP|10532025680450781936</stp>
        <tr r="T53" s="338"/>
      </tp>
      <tp t="s">
        <v>#N/A N/A</v>
        <stp/>
        <stp>BDP|13742088592429681283</stp>
        <tr r="F23" s="2"/>
      </tp>
      <tp t="s">
        <v>#N/A Requesting Data...3737577569</v>
        <stp/>
        <stp>BDP|15584846954420486925</stp>
        <tr r="V30" s="338"/>
      </tp>
      <tp t="s">
        <v>#N/A Requesting Data...3725904028</v>
        <stp/>
        <stp>BDP|12417922592843377049</stp>
        <tr r="V50" s="338"/>
      </tp>
      <tp t="s">
        <v>#N/A Requesting Data...4241335964</v>
        <stp/>
        <stp>BDP|15633972697785552118</stp>
        <tr r="V115" s="89"/>
      </tp>
      <tp t="s">
        <v>#N/A N/A</v>
        <stp/>
        <stp>BDP|15698160403534380128</stp>
        <tr r="AB23" s="1"/>
        <tr r="AB24" s="1"/>
      </tp>
      <tp t="s">
        <v>#N/A N/A</v>
        <stp/>
        <stp>BDP|16295699839373506154</stp>
        <tr r="Q48" s="338"/>
      </tp>
      <tp t="s">
        <v>#N/A Requesting Data...3943901668</v>
        <stp/>
        <stp>BDP|11998355979195097173</stp>
        <tr r="T160" s="89"/>
      </tp>
      <tp t="s">
        <v>#N/A Requesting Data...4080068478</v>
        <stp/>
        <stp>BDP|16353514989043023996</stp>
        <tr r="AH14" s="338"/>
        <tr r="AH35" s="338"/>
        <tr r="AJ14" s="338"/>
        <tr r="AJ35" s="338"/>
      </tp>
      <tp t="s">
        <v>#N/A Requesting Data...4272638929</v>
        <stp/>
        <stp>BDP|11157579934717202151</stp>
        <tr r="V136" s="89"/>
      </tp>
      <tp t="s">
        <v>#N/A N/A</v>
        <stp/>
        <stp>BDP|11272212584752669848</stp>
        <tr r="D204" s="89"/>
      </tp>
      <tp t="s">
        <v>#N/A Requesting Data...3726076260</v>
        <stp/>
        <stp>BDP|16832582218441577285</stp>
        <tr r="C7" s="2"/>
      </tp>
      <tp t="s">
        <v>#N/A Requesting Data...4244809720</v>
        <stp/>
        <stp>BDP|16176003730321499511</stp>
        <tr r="L9" s="338"/>
        <tr r="J9" s="338"/>
      </tp>
      <tp t="s">
        <v>#N/A Requesting Data...4230402225</v>
        <stp/>
        <stp>BDP|16488629082059415041</stp>
        <tr r="M15" s="252"/>
      </tp>
      <tp t="s">
        <v>#N/A Requesting Data...4160265497</v>
        <stp/>
        <stp>BDP|13170702077463225105</stp>
        <tr r="V102" s="89"/>
      </tp>
      <tp t="s">
        <v>#N/A Requesting Data...3978536914</v>
        <stp/>
        <stp>BDP|18267029483522135357</stp>
        <tr r="C19" s="89"/>
      </tp>
      <tp t="s">
        <v>#N/A Requesting Data...4241315360</v>
        <stp/>
        <stp>BDP|15665722340580183729</stp>
        <tr r="AH17" s="338"/>
        <tr r="AH18" s="338"/>
      </tp>
      <tp t="s">
        <v>#N/A Requesting Data...3724931278</v>
        <stp/>
        <stp>BDP|10682710845653266163</stp>
        <tr r="E96" s="89"/>
      </tp>
      <tp t="s">
        <v>#N/A Requesting Data...3884079377</v>
        <stp/>
        <stp>BDP|10764751743486083471</stp>
        <tr r="E4" s="2"/>
      </tp>
      <tp t="s">
        <v>#N/A Requesting Data...3922697563</v>
        <stp/>
        <stp>BDP|14914589903223067341</stp>
        <tr r="AH31" s="338"/>
        <tr r="AH32" s="338"/>
      </tp>
      <tp t="s">
        <v>#N/A N/A</v>
        <stp/>
        <stp>BDH|17090294847574687415</stp>
        <tr r="AR18" s="338"/>
      </tp>
      <tp t="s">
        <v>#N/A N/A</v>
        <stp/>
        <stp>BDH|10953323233130098108</stp>
        <tr r="AU40" s="338"/>
        <tr r="AP39" s="338"/>
        <tr r="AP15" s="338"/>
      </tp>
      <tp t="s">
        <v>#N/A N/A</v>
        <stp/>
        <stp>BDH|13838305263800976785</stp>
        <tr r="AU54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Data...3745357287</v>
        <stp/>
        <stp>BDP|10297523734239490992</stp>
        <tr r="AB57" s="1"/>
        <tr r="F19" s="446"/>
      </tp>
      <tp t="s">
        <v>#N/A Requesting Data...3870671568</v>
        <stp/>
        <stp>BDP|12796713228197729608</stp>
        <tr r="P20" s="252"/>
      </tp>
      <tp t="s">
        <v>#N/A Requesting Data...3942641376</v>
        <stp/>
        <stp>BDP|14277784462456832595</stp>
        <tr r="L17" s="338"/>
        <tr r="H17" s="338"/>
        <tr r="L18" s="338"/>
        <tr r="H18" s="338"/>
      </tp>
      <tp t="s">
        <v>#N/A N/A</v>
        <stp/>
        <stp>BDP|17424699323975103062</stp>
        <tr r="K41" s="1"/>
      </tp>
      <tp t="s">
        <v>#N/A Requesting Data...3731889653</v>
        <stp/>
        <stp>BDP|13066894584424507113</stp>
        <tr r="AA186" s="89"/>
        <tr r="Z186" s="89"/>
      </tp>
      <tp t="s">
        <v>#N/A N/A</v>
        <stp/>
        <stp>BDP|13534980394766736373</stp>
        <tr r="AG55" s="1"/>
      </tp>
      <tp t="s">
        <v>#N/A Requesting Data...3839385325</v>
        <stp/>
        <stp>BDP|17797289754802274410</stp>
        <tr r="AH16" s="338"/>
        <tr r="AH38" s="338"/>
        <tr r="AH40" s="338"/>
      </tp>
      <tp t="s">
        <v>#N/A Requesting Data...4103399482</v>
        <stp/>
        <stp>BDP|16115925375469725792</stp>
        <tr r="F9" s="2"/>
      </tp>
      <tp t="s">
        <v>#N/A Requesting Data...4265297579</v>
        <stp/>
        <stp>BDP|10811773521330276340</stp>
        <tr r="F42" s="446"/>
      </tp>
      <tp t="s">
        <v>#N/A Requesting Data...3667968533</v>
        <stp/>
        <stp>BDP|10555016852265553684</stp>
        <tr r="V222" s="89"/>
      </tp>
      <tp t="s">
        <v>#N/A Requesting Data...4053341353</v>
        <stp/>
        <stp>BDP|11364787337662503131</stp>
        <tr r="L48" s="338"/>
        <tr r="J48" s="338"/>
        <tr r="L49" s="338"/>
        <tr r="J49" s="338"/>
      </tp>
      <tp t="s">
        <v>#N/A N/A</v>
        <stp/>
        <stp>BDP|13295681926322217334</stp>
        <tr r="AG36" s="1"/>
      </tp>
      <tp t="s">
        <v>#N/A Requesting Data...4182668547</v>
        <stp/>
        <stp>BDP|10592355801820537596</stp>
        <tr r="V225" s="89"/>
      </tp>
      <tp t="s">
        <v>#N/A Requesting Data...4060685296</v>
        <stp/>
        <stp>BDP|12754284242295866781</stp>
        <tr r="Y6" s="252"/>
      </tp>
      <tp t="s">
        <v>#N/A Requesting Data...3889578803</v>
        <stp/>
        <stp>BDP|18269203655158880133</stp>
        <tr r="F39" s="446"/>
      </tp>
      <tp t="s">
        <v>#N/A Requesting Data...4067060533</v>
        <stp/>
        <stp>BDP|12227291512562192542</stp>
        <tr r="AJ37" s="338"/>
      </tp>
      <tp t="s">
        <v>#N/A Requesting Data...4203796633</v>
        <stp/>
        <stp>BDP|16951549404092060765</stp>
        <tr r="V109" s="89"/>
      </tp>
      <tp t="s">
        <v>#N/A Requesting Data...3693926299</v>
        <stp/>
        <stp>BDP|11386689669882555588</stp>
        <tr r="E122" s="89"/>
      </tp>
      <tp t="s">
        <v>#N/A N/A</v>
        <stp/>
        <stp>BDP|17896325173096505324</stp>
        <tr r="K45" s="1"/>
      </tp>
      <tp t="s">
        <v>#N/A Requesting Data...4181184965</v>
        <stp/>
        <stp>BDP|16385386864915757060</stp>
        <tr r="T54" s="338"/>
      </tp>
      <tp t="s">
        <v>#N/A N/A</v>
        <stp/>
        <stp>BDP|13639162762852624052</stp>
        <tr r="AF41" s="1"/>
      </tp>
      <tp t="s">
        <v>#N/A Requesting Data...3905839512</v>
        <stp/>
        <stp>BDP|16302213673966019302</stp>
        <tr r="V224" s="89"/>
      </tp>
      <tp t="s">
        <v>#N/A Requesting Data...3826675484</v>
        <stp/>
        <stp>BDP|14172029208847257580</stp>
        <tr r="V42" s="338"/>
      </tp>
      <tp t="s">
        <v>#N/A N/A</v>
        <stp/>
        <stp>BDP|15073559968275960544</stp>
        <tr r="AR23" s="2"/>
      </tp>
      <tp t="s">
        <v>#N/A Requesting Data...3770800176</v>
        <stp/>
        <stp>BDP|10374609618263940213</stp>
        <tr r="S30" s="338"/>
      </tp>
      <tp t="s">
        <v>#N/A Requesting Data...4101152551</v>
        <stp/>
        <stp>BDP|11156706822837900596</stp>
        <tr r="V51" s="338"/>
      </tp>
      <tp t="s">
        <v>#N/A N/A</v>
        <stp/>
        <stp>BDP|10137680139817712447</stp>
        <tr r="AC18" s="2"/>
      </tp>
      <tp t="s">
        <v>#N/A Requesting Data...4209192521</v>
        <stp/>
        <stp>BDP|18365939499897354990</stp>
        <tr r="D160" s="89"/>
      </tp>
      <tp t="s">
        <v>#N/A N/A</v>
        <stp/>
        <stp>BDP|17356344985158782269</stp>
        <tr r="Q31" s="338"/>
      </tp>
      <tp t="s">
        <v>#N/A Requesting Data...4130688512</v>
        <stp/>
        <stp>BDP|11064610705050727104</stp>
        <tr r="V137" s="89"/>
      </tp>
      <tp t="s">
        <v>#N/A Requesting Data...4114471065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Data...4096548413</v>
        <stp/>
        <stp>BDP|16272552922964616315</stp>
        <tr r="T129" s="89"/>
      </tp>
      <tp t="s">
        <v>#N/A Requesting Data...3870018697</v>
        <stp/>
        <stp>BDP|16314700913165778352</stp>
        <tr r="AR18" s="2"/>
      </tp>
      <tp t="s">
        <v>#N/A Requesting Data...3735726977</v>
        <stp/>
        <stp>BDP|10078809003498061665</stp>
        <tr r="AH12" s="338"/>
      </tp>
      <tp t="s">
        <v>#N/A Requesting Data...4173661535</v>
        <stp/>
        <stp>BDP|11346506323885413513</stp>
        <tr r="E19" s="2"/>
      </tp>
      <tp t="s">
        <v>#N/A Requesting Data...4199668099</v>
        <stp/>
        <stp>BDP|11277689408467201656</stp>
        <tr r="T13" s="338"/>
      </tp>
      <tp t="s">
        <v>#N/A Requesting Data...4134478147</v>
        <stp/>
        <stp>BDP|13974956684510873453</stp>
        <tr r="D123" s="89"/>
      </tp>
      <tp t="s">
        <v>#N/A N/A</v>
        <stp/>
        <stp>BDP|13917795956804489372</stp>
        <tr r="Q13" s="338"/>
      </tp>
      <tp t="s">
        <v>#N/A Requesting Data...3786779418</v>
        <stp/>
        <stp>BDP|10427861548958967244</stp>
        <tr r="AJ55" s="338"/>
        <tr r="AK14" s="338"/>
        <tr r="AK55" s="338"/>
      </tp>
      <tp t="s">
        <v>#N/A Requesting Data...4230974572</v>
        <stp/>
        <stp>BDP|12964383061440508121</stp>
        <tr r="S49" s="338"/>
      </tp>
      <tp t="s">
        <v>#N/A Requesting Data...4284445023</v>
        <stp/>
        <stp>BDP|17935753969917403773</stp>
        <tr r="F11" s="252"/>
      </tp>
      <tp t="s">
        <v>#N/A Requesting Data...3758820653</v>
        <stp/>
        <stp>BDP|16562085350705983025</stp>
        <tr r="D223" s="89"/>
      </tp>
      <tp t="s">
        <v>#N/A Requesting Data...4139729796</v>
        <stp/>
        <stp>BDP|12276946831877006916</stp>
        <tr r="AR8" s="2"/>
      </tp>
      <tp t="s">
        <v>#N/A Requesting Data...3907923387</v>
        <stp/>
        <stp>BDP|12893396681958013760</stp>
        <tr r="C95" s="89"/>
      </tp>
      <tp t="e">
        <v>#N/A</v>
        <stp/>
        <stp>BDH|10658776607639471809</stp>
        <tr r="J18" s="252"/>
      </tp>
      <tp t="s">
        <v>#N/A N/A</v>
        <stp/>
        <stp>BDH|17486866279136001878</stp>
        <tr r="AR9" s="338"/>
      </tp>
      <tp t="s">
        <v>USD</v>
        <stp/>
        <stp>BDP|2423561100599861373|22</stp>
        <stp>INTC US 07/17/26 P40 Equity</stp>
        <stp>QUOTED_CURRENCY_REALTIME</stp>
        <tr r="G21" s="2"/>
        <tr r="F197" s="89"/>
      </tp>
      <tp>
        <v>102.7</v>
        <stp/>
        <stp>BDP|3035543424354771032|22</stp>
        <stp>META US 07/17/26 C690 Equity</stp>
        <stp>ask</stp>
        <tr r="L8" s="89"/>
      </tp>
      <tp>
        <v>3.65</v>
        <stp/>
        <stp>BDP|8949872558870802689|22</stp>
        <stp>MSFT US 02/20/26 P410 Equity</stp>
        <stp>bid</stp>
        <tr r="K205" s="89"/>
        <tr r="K213" s="89"/>
      </tp>
      <tp>
        <v>75.45</v>
        <stp/>
        <stp>BDP|5005092167591802286|22</stp>
        <stp>META US 04/17/26 C690 Equity</stp>
        <stp>bid</stp>
        <tr r="P12" s="2"/>
        <tr r="K169" s="89"/>
      </tp>
      <tp>
        <v>96.42</v>
        <stp/>
        <stp>BDP|3495868212144065258|22</stp>
        <stp>META US 07/17/26 C700 Equity</stp>
        <stp>mid</stp>
        <tr r="L13" s="2"/>
      </tp>
      <tp t="s">
        <v>#N/A N/A</v>
        <stp/>
        <stp>BDP|17890634738740236582</stp>
        <tr r="V50" s="89"/>
      </tp>
      <tp t="s">
        <v>#N/A Requesting Data...4228144541</v>
        <stp/>
        <stp>BDP|14882631572614102616</stp>
        <tr r="S10" s="252"/>
      </tp>
      <tp t="s">
        <v>#N/A Requesting Data...3761123505</v>
        <stp/>
        <stp>BDP|14531256854956960242</stp>
        <tr r="D20" s="2"/>
        <tr r="C196" s="89"/>
      </tp>
      <tp t="s">
        <v>#N/A Requesting Data...4281451965</v>
        <stp/>
        <stp>BDP|14222470646161364298</stp>
        <tr r="C14" s="2"/>
      </tp>
      <tp t="s">
        <v>#N/A Requesting Data...4184468998</v>
        <stp/>
        <stp>BDP|13396250829954504031</stp>
        <tr r="O222" s="89"/>
      </tp>
      <tp t="s">
        <v>#N/A N/A</v>
        <stp/>
        <stp>BDP|17370707244810639397</stp>
        <tr r="AC5" s="2"/>
      </tp>
      <tp t="s">
        <v>#N/A Requesting Data...3942799656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Requesting Data...3960795141</v>
        <stp/>
        <stp>BDP|14283444557730868227</stp>
        <tr r="E81" s="89"/>
      </tp>
      <tp t="s">
        <v>#N/A N/A</v>
        <stp/>
        <stp>BDP|14404809696233932105</stp>
        <tr r="E34" s="89"/>
      </tp>
      <tp t="s">
        <v>#N/A N/A</v>
        <stp/>
        <stp>BDP|16114816352785885914</stp>
        <tr r="O39" s="89"/>
      </tp>
      <tp t="s">
        <v>#N/A Requesting Data...3767217432</v>
        <stp/>
        <stp>BDP|15404493773766767722</stp>
        <tr r="G36" s="446"/>
      </tp>
      <tp t="s">
        <v>#N/A Requesting Data...3849198496</v>
        <stp/>
        <stp>BDP|10498485443064599312</stp>
        <tr r="X50" s="338"/>
      </tp>
      <tp t="s">
        <v>#N/A Requesting Data...4180753448</v>
        <stp/>
        <stp>BDP|18114698683463557242</stp>
        <tr r="AF57" s="1"/>
        <tr r="AG9" s="338"/>
      </tp>
      <tp t="s">
        <v>#N/A Requesting Data...4171259946</v>
        <stp/>
        <stp>BDP|14185986357608085749</stp>
        <tr r="V44" s="338"/>
      </tp>
      <tp t="s">
        <v>#N/A N/A</v>
        <stp/>
        <stp>BDP|11418046365811941163</stp>
        <tr r="E50" s="89"/>
      </tp>
      <tp t="s">
        <v>#N/A Requesting Data...4256866534</v>
        <stp/>
        <stp>BDP|13775077133931138686</stp>
        <tr r="AH41" s="338"/>
        <tr r="AH42" s="338"/>
        <tr r="AJ41" s="338"/>
        <tr r="AJ42" s="338"/>
      </tp>
      <tp t="s">
        <v>#N/A Requesting Data...4039353552</v>
        <stp/>
        <stp>BDP|15710273126027498587</stp>
        <tr r="E68" s="89"/>
      </tp>
      <tp t="s">
        <v>#N/A Requesting Data...4236841084</v>
        <stp/>
        <stp>BDP|17601997833672663804</stp>
        <tr r="AA234" s="89"/>
        <tr r="Z234" s="89"/>
      </tp>
      <tp t="s">
        <v>#N/A Requesting Data...4083345789</v>
        <stp/>
        <stp>BDP|14627889356148517678</stp>
        <tr r="E195" s="89"/>
      </tp>
      <tp t="s">
        <v>#N/A N/A</v>
        <stp/>
        <stp>BDP|14590579742297818521</stp>
        <tr r="K37" s="1"/>
      </tp>
      <tp t="s">
        <v>#N/A Requesting Data...4250176229</v>
        <stp/>
        <stp>BDP|14232577743505528792</stp>
        <tr r="F7" s="252"/>
      </tp>
      <tp t="s">
        <v>#N/A N/A</v>
        <stp/>
        <stp>BDP|14556104661927858316</stp>
        <tr r="K18" s="1"/>
        <tr r="K6" s="1"/>
      </tp>
      <tp t="s">
        <v>#N/A N/A</v>
        <stp/>
        <stp>BDP|17848755087998009764</stp>
        <tr r="O49" s="89"/>
      </tp>
      <tp t="s">
        <v>#N/A Requesting Data...4044562952</v>
        <stp/>
        <stp>BDP|12341108167772818008</stp>
        <tr r="T35" s="338"/>
      </tp>
      <tp t="s">
        <v>#N/A N/A</v>
        <stp/>
        <stp>BDP|15607530839212696655</stp>
        <tr r="AG19" s="1"/>
        <tr r="AG20" s="1"/>
        <tr r="AG21" s="1"/>
        <tr r="AG22" s="1"/>
      </tp>
      <tp t="s">
        <v>#N/A N/A</v>
        <stp/>
        <stp>BDP|12422428037653912171</stp>
        <tr r="Q29" s="338"/>
      </tp>
      <tp t="s">
        <v>#N/A Requesting Data...3838575846</v>
        <stp/>
        <stp>BDP|10253727379283384458</stp>
        <tr r="C56" s="89"/>
      </tp>
      <tp t="s">
        <v>#N/A Requesting Data...4084071050</v>
        <stp/>
        <stp>BDP|13772195236723550526</stp>
        <tr r="X55" s="338"/>
      </tp>
      <tp t="s">
        <v>#N/A Requesting Data...4143588289</v>
        <stp/>
        <stp>BDP|17524118567766475161</stp>
        <tr r="F20" s="252"/>
      </tp>
      <tp t="s">
        <v>#N/A Requesting Data...3890335178</v>
        <stp/>
        <stp>BDP|13483096816386354391</stp>
        <tr r="S54" s="338"/>
      </tp>
      <tp t="s">
        <v>#N/A Requesting Data...3905156811</v>
        <stp/>
        <stp>BDP|16190103000157320731</stp>
        <tr r="V144" s="89"/>
      </tp>
      <tp t="s">
        <v>#N/A Requesting Data...4022692728</v>
        <stp/>
        <stp>BDP|12052868717818962496</stp>
        <tr r="AI32" s="338"/>
        <tr r="AI46" s="338"/>
        <tr r="AI50" s="338"/>
        <tr r="AI8" s="338"/>
      </tp>
      <tp t="s">
        <v>#N/A Requesting Data...3845765715</v>
        <stp/>
        <stp>BDP|12678050625094398357</stp>
        <tr r="AC48" s="1"/>
        <tr r="AC49" s="1"/>
        <tr r="D35" s="446"/>
      </tp>
      <tp t="s">
        <v>#N/A Requesting Data...4158890691</v>
        <stp/>
        <stp>BDP|10174429034410523025</stp>
        <tr r="E5" s="2"/>
      </tp>
      <tp t="s">
        <v>#N/A Requesting Data...3860592317</v>
        <stp/>
        <stp>BDP|14466338705836267600</stp>
        <tr r="C186" s="89"/>
      </tp>
      <tp t="s">
        <v>#N/A Requesting Data...4142843221</v>
        <stp/>
        <stp>BDP|13691107662271159260</stp>
        <tr r="AR24" s="2"/>
      </tp>
      <tp t="s">
        <v>#N/A Requesting Data...3865753664</v>
        <stp/>
        <stp>BDP|15357058437984658543</stp>
        <tr r="E108" s="89"/>
      </tp>
      <tp t="s">
        <v>#N/A N/A</v>
        <stp/>
        <stp>BDP|13548034063303146173</stp>
        <tr r="AC23" s="2"/>
        <tr r="AC22" s="2"/>
      </tp>
      <tp t="s">
        <v>#N/A N/A</v>
        <stp/>
        <stp>BDP|15243317262926618151</stp>
        <tr r="AA205" s="89"/>
        <tr r="AA213" s="89"/>
        <tr r="Z205" s="89"/>
        <tr r="Z213" s="89"/>
      </tp>
      <tp t="s">
        <v>#N/A Requesting Data...4228740775</v>
        <stp/>
        <stp>BDP|16678311834407962683</stp>
        <tr r="V180" s="89"/>
      </tp>
      <tp t="s">
        <v>#N/A Requesting Data...3998228271</v>
        <stp/>
        <stp>BDP|10809595656630258773</stp>
        <tr r="N8" s="252"/>
        <tr r="N8" s="252"/>
      </tp>
      <tp t="s">
        <v>#N/A N/A</v>
        <stp/>
        <stp>BDP|15554224708241291186</stp>
        <tr r="D13" s="89"/>
      </tp>
      <tp t="s">
        <v>#N/A Requesting Data...4166799333</v>
        <stp/>
        <stp>BDP|11136935115988096638</stp>
        <tr r="AJ17" s="338"/>
        <tr r="AJ18" s="338"/>
      </tp>
      <tp t="s">
        <v>#N/A N/A</v>
        <stp/>
        <stp>BDP|18344672223928166325</stp>
        <tr r="V49" s="89"/>
      </tp>
      <tp t="s">
        <v>#N/A Requesting Data...3811056473</v>
        <stp/>
        <stp>BDP|17117535562106038540</stp>
        <tr r="X35" s="338"/>
      </tp>
      <tp t="s">
        <v>#N/A Requesting Data...4233357061</v>
        <stp/>
        <stp>BDP|11947265064485960753</stp>
        <tr r="U32" s="338"/>
      </tp>
      <tp t="s">
        <v>#N/A N/A</v>
        <stp/>
        <stp>BDP|13856641820218803820</stp>
        <tr r="AB13" s="1"/>
      </tp>
      <tp t="s">
        <v>#N/A N/A</v>
        <stp/>
        <stp>BDH|10745383410711183497</stp>
        <tr r="AP13" s="338"/>
        <tr r="AP34" s="338"/>
      </tp>
      <tp t="s">
        <v>#N/A N/A</v>
        <stp/>
        <stp>BDH|16912390832814316583</stp>
        <tr r="AM17" s="338"/>
        <tr r="AM18" s="338"/>
      </tp>
      <tp>
        <v>82.194999999999993</v>
        <stp/>
        <stp>BDP|2057497571936690391|22</stp>
        <stp>XLP Equity</stp>
        <stp>LAST_PRICE</stp>
        <tr r="I57" s="1"/>
      </tp>
      <tp t="e">
        <v>#N/A</v>
        <stp/>
        <stp>BDH|14841814459759862757</stp>
        <tr r="W19" s="252"/>
        <tr r="T19" s="252"/>
      </tp>
      <tp t="s">
        <v>#N/A N/A</v>
        <stp/>
        <stp>BDH|12814935195266152316</stp>
        <tr r="AR11" s="338"/>
      </tp>
      <tp t="e">
        <v>#N/A</v>
        <stp/>
        <stp>BDH|17663640529772248671</stp>
        <tr r="J15" s="252"/>
      </tp>
      <tp>
        <v>88.89</v>
        <stp/>
        <stp>BDP|9722167412074972561|22</stp>
        <stp>MXCN Index</stp>
        <stp>LAST_PRICE</stp>
        <tr r="H17" s="252"/>
        <tr r="H17" s="252"/>
      </tp>
      <tp>
        <v>-0.3137819766998291</v>
        <stp/>
        <stp>BDP|18418713240494206607|22</stp>
        <stp>MRVL US 03/20/26 P75 Equity</stp>
        <stp>DELTA_MID_RT</stp>
        <tr r="AF15" s="2"/>
      </tp>
      <tp>
        <v>0.26</v>
        <stp/>
        <stp>BDP|9219352217858311461|22</stp>
        <stp>NFLX US 03/20/26 C105 Equity</stp>
        <stp>bid</stp>
        <tr r="K186" s="89"/>
      </tp>
      <tp t="s">
        <v>#N/A Requesting Data...3814341563</v>
        <stp/>
        <stp>BDP|17506313141244542095</stp>
        <tr r="O55" s="89"/>
      </tp>
      <tp t="s">
        <v>#N/A N/A</v>
        <stp/>
        <stp>BDP|12194689278231069699</stp>
        <tr r="AI12" s="1"/>
      </tp>
      <tp t="s">
        <v>#N/A N/A</v>
        <stp/>
        <stp>BDP|15839339977736656325</stp>
        <tr r="AQ11" s="2"/>
      </tp>
      <tp t="s">
        <v>#N/A Requesting Data...3925792688</v>
        <stp/>
        <stp>BDP|10441895032989795603</stp>
        <tr r="AI11" s="338"/>
      </tp>
      <tp t="s">
        <v>#N/A Requesting Data...3791560769</v>
        <stp/>
        <stp>BDP|18204983903505786057</stp>
        <tr r="F18" s="2"/>
      </tp>
      <tp t="s">
        <v>#N/A N/A</v>
        <stp/>
        <stp>BDP|11836623631672076208</stp>
        <tr r="Q32" s="338"/>
      </tp>
      <tp t="s">
        <v>#N/A Requesting Data...3805026097</v>
        <stp/>
        <stp>BDP|14441106816594061499</stp>
        <tr r="C123" s="89"/>
      </tp>
      <tp t="s">
        <v>#N/A Requesting Data...4107258118</v>
        <stp/>
        <stp>BDP|16851834935831563802</stp>
        <tr r="T6" s="2"/>
      </tp>
      <tp t="s">
        <v>#N/A Requesting Data...3774118945</v>
        <stp/>
        <stp>BDP|14192014209218566878</stp>
        <tr r="AA8" s="2"/>
        <tr r="T34" s="89"/>
      </tp>
      <tp t="s">
        <v>#N/A Requesting Data...4196327736</v>
        <stp/>
        <stp>BDP|16150678046234374495</stp>
        <tr r="T37" s="338"/>
      </tp>
      <tp t="s">
        <v>#N/A N/A</v>
        <stp/>
        <stp>BDP|17250075521453849263</stp>
        <tr r="E14" s="89"/>
      </tp>
      <tp t="s">
        <v>#N/A Requesting Data...3766835297</v>
        <stp/>
        <stp>BDP|11019717141062892428</stp>
        <tr r="D222" s="89"/>
      </tp>
      <tp t="s">
        <v>#N/A Requesting Data...4000144737</v>
        <stp/>
        <stp>BDP|17303082674511603530</stp>
        <tr r="C180" s="89"/>
      </tp>
      <tp t="s">
        <v>#N/A Requesting Data...3999121764</v>
        <stp/>
        <stp>BDP|13942490076261841547</stp>
        <tr r="D82" s="89"/>
      </tp>
      <tp t="s">
        <v>#N/A Requesting Data...4254441383</v>
        <stp/>
        <stp>BDP|13677881495424052263</stp>
        <tr r="V46" s="338"/>
      </tp>
      <tp t="s">
        <v>#N/A Requesting Data...4254342949</v>
        <stp/>
        <stp>BDP|17810208191751672937</stp>
        <tr r="U53" s="338"/>
      </tp>
      <tp t="s">
        <v>#N/A Requesting Data...4026165327</v>
        <stp/>
        <stp>BDP|13362587002474685639</stp>
        <tr r="G33" s="446"/>
      </tp>
      <tp t="s">
        <v>#N/A Requesting Data...3933478339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Data...4219319577</v>
        <stp/>
        <stp>BDP|11902077291294537854</stp>
        <tr r="T234" s="89"/>
      </tp>
      <tp t="s">
        <v>#N/A Requesting Data...4018977414</v>
        <stp/>
        <stp>BDP|10953387444814317799</stp>
        <tr r="S18" s="252"/>
      </tp>
      <tp t="s">
        <v>#N/A Requesting Data...3961442358</v>
        <stp/>
        <stp>BDP|16095389787508071105</stp>
        <tr r="V11" s="338"/>
      </tp>
      <tp t="s">
        <v>#N/A Requesting Data...4021602381</v>
        <stp/>
        <stp>BDP|11580587764812660407</stp>
        <tr r="P48" s="338"/>
      </tp>
      <tp t="s">
        <v>#N/A N/A</v>
        <stp/>
        <stp>BDP|14006343299942798856</stp>
        <tr r="AI25" s="1"/>
        <tr r="AI26" s="1"/>
      </tp>
      <tp t="s">
        <v>#N/A Requesting Data...4245019287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Data...3995015026</v>
        <stp/>
        <stp>BDP|15878521351180442107</stp>
        <tr r="D109" s="89"/>
      </tp>
      <tp>
        <v>26012.5</v>
        <stp/>
        <stp>BDP|5100640861095501669|22</stp>
        <stp>1OH6 Index</stp>
        <stp>LAST_PRICE</stp>
        <tr r="S153" s="89"/>
        <tr r="S154" s="89"/>
      </tp>
      <tp t="s">
        <v>#N/A Requesting Data...4260133645</v>
        <stp/>
        <stp>BDP|13970059459100158254</stp>
        <tr r="T222" s="89"/>
      </tp>
      <tp t="s">
        <v>#N/A Requesting Data...4127142687</v>
        <stp/>
        <stp>BDP|10930560316549062982</stp>
        <tr r="C160" s="89"/>
      </tp>
      <tp t="s">
        <v>#N/A N/A</v>
        <stp/>
        <stp>BDP|17624673723155105222</stp>
        <tr r="AB56" s="1"/>
      </tp>
      <tp t="s">
        <v>#N/A Requesting Data...4210270808</v>
        <stp/>
        <stp>BDP|16023917640776957980</stp>
        <tr r="AI11" s="338"/>
        <tr r="AK11" s="338"/>
      </tp>
      <tp t="s">
        <v>#N/A Requesting Data...4227139831</v>
        <stp/>
        <stp>BDP|14437871301241284935</stp>
        <tr r="AJ36" s="338"/>
      </tp>
      <tp t="s">
        <v>#N/A Requesting Data...4096509743</v>
        <stp/>
        <stp>BDP|11214745035248274920</stp>
        <tr r="V32" s="338"/>
      </tp>
      <tp t="s">
        <v>#N/A Requesting Data...4083325463</v>
        <stp/>
        <stp>BDP|12168490429210433067</stp>
        <tr r="AA12" s="2"/>
        <tr r="T169" s="89"/>
      </tp>
      <tp t="s">
        <v>#N/A Requesting Data...3830163420</v>
        <stp/>
        <stp>BDP|11625676250200786659</stp>
        <tr r="T32" s="338"/>
      </tp>
      <tp t="s">
        <v>#N/A Requesting Data...4150242596</v>
        <stp/>
        <stp>BDP|13296159244091423359</stp>
        <tr r="P29" s="338"/>
      </tp>
      <tp t="s">
        <v>#N/A N/A</v>
        <stp/>
        <stp>BDP|18042899846108511886</stp>
        <tr r="AQ8" s="2"/>
        <tr r="AQ7" s="2"/>
        <tr r="AB39" s="89"/>
        <tr r="AB34" s="89"/>
        <tr r="AB33" s="89"/>
        <tr r="AQ6" s="2"/>
        <tr r="AB237" s="89"/>
        <tr r="AB40" s="89"/>
      </tp>
      <tp t="s">
        <v>#N/A N/A</v>
        <stp/>
        <stp>BDP|14303073513431519008</stp>
        <tr r="K1" s="2"/>
      </tp>
      <tp t="s">
        <v>#N/A Requesting Data...4025316393</v>
        <stp/>
        <stp>BDP|10190934152880793852</stp>
        <tr r="X52" s="338"/>
      </tp>
      <tp t="s">
        <v>#N/A N/A</v>
        <stp/>
        <stp>BDP|10392640856905211212</stp>
        <tr r="Q41" s="338"/>
      </tp>
      <tp t="s">
        <v>#N/A Requesting Data...4259892109</v>
        <stp/>
        <stp>BDP|14059396921424230587</stp>
        <tr r="AF52" s="1"/>
        <tr r="AF14" s="338"/>
        <tr r="AF35" s="338"/>
      </tp>
      <tp t="s">
        <v>#N/A Requesting Data...4145912528</v>
        <stp/>
        <stp>BDP|12679894611876997952</stp>
        <tr r="S44" s="338"/>
      </tp>
      <tp t="s">
        <v>#N/A N/A</v>
        <stp/>
        <stp>BDP|13207740673225760204</stp>
        <tr r="AA13" s="89"/>
        <tr r="Z13" s="89"/>
      </tp>
      <tp t="s">
        <v>#N/A Requesting Data...4045908102</v>
        <stp/>
        <stp>BDP|12166373874230381241</stp>
        <tr r="C21" s="2"/>
      </tp>
      <tp t="s">
        <v>#N/A N/A</v>
        <stp/>
        <stp>BDP|10330199677783039183</stp>
        <tr r="AB49" s="89"/>
        <tr r="AB50" s="89"/>
      </tp>
      <tp t="s">
        <v>#N/A Requesting Data...4230620068</v>
        <stp/>
        <stp>BDP|17956776735294864366</stp>
        <tr r="E145" s="89"/>
      </tp>
      <tp t="s">
        <v>#N/A Requesting Data...3985381856</v>
        <stp/>
        <stp>BDP|13164210523337526031</stp>
        <tr r="E89" s="89"/>
      </tp>
      <tp t="s">
        <v>#N/A Requesting Data...3819071456</v>
        <stp/>
        <stp>BDP|10130888374289856216</stp>
        <tr r="U13" s="338"/>
      </tp>
      <tp t="s">
        <v>#N/A N/A</v>
        <stp/>
        <stp>BDP|18285644343839945789</stp>
        <tr r="AA212" s="89"/>
        <tr r="Z212" s="89"/>
      </tp>
      <tp t="s">
        <v>#N/A Requesting Data...4279251063</v>
        <stp/>
        <stp>BDP|12072061123567199335</stp>
        <tr r="X16" s="338"/>
        <tr r="X38" s="338"/>
      </tp>
      <tp t="s">
        <v>#N/A Requesting Data...4204310723</v>
        <stp/>
        <stp>BDP|10337841861653211939</stp>
        <tr r="AB55" s="1"/>
        <tr r="F14" s="446"/>
      </tp>
      <tp t="s">
        <v>#N/A Requesting Data...3872970331</v>
        <stp/>
        <stp>BDP|13510264833692721404</stp>
        <tr r="U49" s="338"/>
      </tp>
      <tp t="s">
        <v>#N/A N/A</v>
        <stp/>
        <stp>BDP|12370547281383201820</stp>
        <tr r="AG25" s="1"/>
        <tr r="AG26" s="1"/>
      </tp>
      <tp t="s">
        <v>#N/A N/A</v>
        <stp/>
        <stp>BDP|11243430201469561835</stp>
        <tr r="AI46" s="1"/>
        <tr r="AI47" s="1"/>
      </tp>
      <tp t="s">
        <v>#N/A N/A</v>
        <stp/>
        <stp>BDH|10813078012896977351</stp>
        <tr r="AR16" s="338"/>
        <tr r="AR38" s="338"/>
        <tr r="AR39" s="338"/>
        <tr r="AR17" s="338"/>
        <tr r="AR52" s="338"/>
        <tr r="AR44" s="338"/>
        <tr r="AR15" s="338"/>
      </tp>
      <tp t="s">
        <v>#N/A N/A</v>
        <stp/>
        <stp>BDH|11704896452589475187</stp>
        <tr r="AM42" s="338"/>
        <tr r="AM41" s="338"/>
      </tp>
      <tp t="s">
        <v>#N/A N/A</v>
        <stp/>
        <stp>BDH|15348305212274260765</stp>
        <tr r="AU11" s="338"/>
      </tp>
      <tp t="e">
        <v>#N/A</v>
        <stp/>
        <stp>BDH|14787871165809047737</stp>
        <tr r="J10" s="252"/>
      </tp>
      <tp t="s">
        <v>#N/A N/A</v>
        <stp/>
        <stp>BDH|17192104275334368119</stp>
        <tr r="AS34" s="338"/>
        <tr r="AS36" s="338"/>
        <tr r="AS37" s="338"/>
        <tr r="AS35" s="338"/>
        <tr r="AN51" s="338"/>
        <tr r="AN50" s="338"/>
      </tp>
      <tp>
        <v>0.3999534547328949</v>
        <stp/>
        <stp>BDP|13606219202075101737|22</stp>
        <stp>INTC US 07/17/26 C60 Equity</stp>
        <stp>DELTA_MID_RT</stp>
        <tr r="AF19" s="2"/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-0.3281877338886261</v>
        <stp/>
        <stp>BDP|14936198501062674443|22</stp>
        <stp>DELL US 02/06/26 P115 Equity</stp>
        <stp>DELTA_MID_RT</stp>
        <tr r="W49" s="89"/>
      </tp>
      <tp>
        <v>85.5</v>
        <stp/>
        <stp>BDP|3455432218402996031|22</stp>
        <stp>META US 02/27/26 C660 Equity</stp>
        <stp>bid</stp>
        <tr r="K180" s="89"/>
      </tp>
      <tp t="s">
        <v>#N/A Requesting Data...4230953443</v>
        <stp/>
        <stp>BDP|10508197528283416594</stp>
        <tr r="X48" s="338"/>
      </tp>
      <tp t="s">
        <v>#N/A N/A</v>
        <stp/>
        <stp>BDP|10976567873595722239</stp>
        <tr r="AV24" s="2"/>
        <tr r="AV25" s="2"/>
        <tr r="R20" s="89"/>
        <tr r="R19" s="89"/>
      </tp>
      <tp t="s">
        <v>#N/A Requesting Data...3900684068</v>
        <stp/>
        <stp>BDP|15688066863846340087</stp>
        <tr r="D28" s="446"/>
      </tp>
      <tp t="s">
        <v>#N/A Requesting Data...3926001662</v>
        <stp/>
        <stp>BDP|10174366559095309654</stp>
        <tr r="Z137" s="89"/>
        <tr r="AA137" s="89"/>
      </tp>
      <tp t="s">
        <v>#N/A Requesting Data...4245681194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Data...3838277955</v>
        <stp/>
        <stp>BDP|10946231384896009942</stp>
        <tr r="N15" s="252"/>
        <tr r="N15" s="252"/>
      </tp>
      <tp t="s">
        <v>#N/A Requesting Data...4128407268</v>
        <stp/>
        <stp>BDP|10968744678995921066</stp>
        <tr r="C178" s="89"/>
        <tr r="C179" s="89"/>
      </tp>
      <tp t="s">
        <v>#N/A Requesting Data...4220178927</v>
        <stp/>
        <stp>BDP|11098096253680456149</stp>
        <tr r="P16" s="338"/>
        <tr r="P38" s="338"/>
      </tp>
      <tp t="s">
        <v>#N/A Requesting Data...3968957761</v>
        <stp/>
        <stp>BDP|12490577043850363694</stp>
        <tr r="D12" s="2"/>
        <tr r="C169" s="89"/>
      </tp>
      <tp t="s">
        <v>#N/A N/A</v>
        <stp/>
        <stp>BDP|13133068388367036926</stp>
        <tr r="K43" s="1"/>
      </tp>
      <tp t="s">
        <v>#N/A Requesting Data...3814712260</v>
        <stp/>
        <stp>BDP|10787623999933097918</stp>
        <tr r="L10" s="252"/>
        <tr r="L10" s="252"/>
      </tp>
      <tp t="s">
        <v>#N/A Requesting Data...3915509965</v>
        <stp/>
        <stp>BDP|15872646771885299421</stp>
        <tr r="F16" s="446"/>
      </tp>
      <tp t="s">
        <v>#N/A N/A</v>
        <stp/>
        <stp>BDP|16725783465037531523</stp>
        <tr r="K42" s="1"/>
      </tp>
      <tp t="s">
        <v>#N/A Requesting Data...4090236008</v>
        <stp/>
        <stp>BDP|10830071994724087877</stp>
        <tr r="E82" s="89"/>
      </tp>
      <tp t="s">
        <v>#N/A Requesting Data...4242148394</v>
        <stp/>
        <stp>BDP|17220718142881835059</stp>
        <tr r="F14" s="252"/>
      </tp>
      <tp t="s">
        <v>#N/A Requesting Data...3915081052</v>
        <stp/>
        <stp>BDP|12558430699342487846</stp>
        <tr r="E187" s="89"/>
      </tp>
      <tp t="s">
        <v>#N/A N/A</v>
        <stp/>
        <stp>BDP|15051140014688420859</stp>
        <tr r="AC12" s="1"/>
      </tp>
      <tp t="s">
        <v>#N/A Requesting Data...4018021380</v>
        <stp/>
        <stp>BDP|13738518813242630024</stp>
        <tr r="U55" s="338"/>
      </tp>
      <tp t="s">
        <v>#N/A Requesting Data...4200622012</v>
        <stp/>
        <stp>BDP|10649617194228048229</stp>
        <tr r="AD19" s="2"/>
        <tr r="V195" s="89"/>
      </tp>
      <tp t="s">
        <v>#N/A Requesting Data...3817964047</v>
        <stp/>
        <stp>BDP|16068368952433220674</stp>
        <tr r="D145" s="89"/>
      </tp>
      <tp t="s">
        <v>#N/A N/A</v>
        <stp/>
        <stp>BDP|13465529309701622291</stp>
        <tr r="D49" s="89"/>
      </tp>
      <tp t="s">
        <v>#N/A Requesting Data...3923959742</v>
        <stp/>
        <stp>BDP|10830522917212474394</stp>
        <tr r="M6" s="252"/>
      </tp>
      <tp t="s">
        <v>#N/A N/A</v>
        <stp/>
        <stp>BDP|17289014403731542359</stp>
        <tr r="AQ21" s="2"/>
        <tr r="AQ19" s="2"/>
        <tr r="AQ20" s="2"/>
        <tr r="AB195" s="89"/>
        <tr r="AB196" s="89"/>
        <tr r="AB197" s="89"/>
      </tp>
      <tp t="s">
        <v>#N/A Requesting Data...4251818224</v>
        <stp/>
        <stp>BDP|13449047331402957787</stp>
        <tr r="F15" s="2"/>
      </tp>
      <tp t="s">
        <v>#N/A Requesting Data...4019728257</v>
        <stp/>
        <stp>BDP|14342024613619901985</stp>
        <tr r="F32" s="446"/>
      </tp>
      <tp t="s">
        <v>#N/A Requesting Data...3911414545</v>
        <stp/>
        <stp>BDP|17882539857607640595</stp>
        <tr r="AG54" s="338"/>
      </tp>
      <tp t="s">
        <v>#N/A Requesting Data...4214212834</v>
        <stp/>
        <stp>BDP|13450917922399223467</stp>
        <tr r="G34" s="446"/>
      </tp>
      <tp t="s">
        <v>#N/A N/A</v>
        <stp/>
        <stp>BDP|10603598986270914823</stp>
        <tr r="AC36" s="1"/>
      </tp>
      <tp t="s">
        <v>#N/A N/A</v>
        <stp/>
        <stp>BDP|12142735374617755031</stp>
        <tr r="AG13" s="1"/>
      </tp>
      <tp t="s">
        <v>#N/A N/A</v>
        <stp/>
        <stp>BDP|12540520710212521104</stp>
        <tr r="AC19" s="1"/>
        <tr r="AC20" s="1"/>
        <tr r="AC21" s="1"/>
        <tr r="AC22" s="1"/>
      </tp>
      <tp t="s">
        <v>#N/A Requesting Data...4025213584</v>
        <stp/>
        <stp>BDP|10511277652532461062</stp>
        <tr r="Z90" s="89"/>
        <tr r="AA90" s="89"/>
      </tp>
      <tp t="s">
        <v>#N/A Requesting Data...3941644081</v>
        <stp/>
        <stp>BDP|12129279820182595515</stp>
        <tr r="E196" s="89"/>
      </tp>
      <tp t="s">
        <v>#N/A Requesting Data...4172457987</v>
        <stp/>
        <stp>BDP|14655831860859350630</stp>
        <tr r="L13" s="338"/>
        <tr r="J13" s="338"/>
      </tp>
      <tp t="s">
        <v>#N/A Requesting Data...4185188344</v>
        <stp/>
        <stp>BDP|12932290900667287274</stp>
        <tr r="AR12" s="2"/>
      </tp>
      <tp t="s">
        <v>#N/A Requesting Data...3930533821</v>
        <stp/>
        <stp>BDP|16326006333405026555</stp>
        <tr r="T153" s="89"/>
        <tr r="T154" s="89"/>
      </tp>
      <tp t="s">
        <v>#N/A N/A</v>
        <stp/>
        <stp>BDP|15509568954070416077</stp>
        <tr r="O212" s="89"/>
      </tp>
      <tp t="s">
        <v>#N/A N/A</v>
        <stp/>
        <stp>BDP|18269255641489268206</stp>
        <tr r="AC41" s="1"/>
      </tp>
      <tp t="s">
        <v>#N/A N/A</v>
        <stp/>
        <stp>BDP|15660791077340487089</stp>
        <tr r="E1" s="1"/>
        <tr r="K46" s="1"/>
      </tp>
      <tp t="s">
        <v>#N/A Requesting Data...3975702062</v>
        <stp/>
        <stp>BDP|10749732335826116771</stp>
        <tr r="D224" s="89"/>
      </tp>
      <tp t="s">
        <v>#N/A Requesting Data...4139116477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Data...3997338337</v>
        <stp/>
        <stp>BDP|11838573161432005595</stp>
        <tr r="C187" s="89"/>
      </tp>
      <tp t="s">
        <v>#N/A Requesting Data...4044522598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Data...3931176114</v>
        <stp/>
        <stp>BDP|13635936347568321371</stp>
        <tr r="AA235" s="89"/>
        <tr r="Z235" s="89"/>
      </tp>
      <tp t="s">
        <v>#N/A Requesting Data...3888115094</v>
        <stp/>
        <stp>BDP|11370170641465778442</stp>
        <tr r="T12" s="2"/>
        <tr r="O169" s="89"/>
      </tp>
      <tp t="s">
        <v>#N/A N/A</v>
        <stp/>
        <stp>BDH|12139151935587531259</stp>
        <tr r="AS18" s="338"/>
      </tp>
      <tp t="e">
        <v>#N/A</v>
        <stp/>
        <stp>BDH|14131773964710507045</stp>
        <tr r="J9" s="252"/>
      </tp>
      <tp t="s">
        <v>#N/A N/A</v>
        <stp/>
        <stp>BDH|13626004171675619426</stp>
        <tr r="AM16" s="338"/>
        <tr r="AM40" s="338"/>
        <tr r="AM38" s="338"/>
      </tp>
      <tp t="s">
        <v>#N/A N/A</v>
        <stp/>
        <stp>BDH|12928300584235611969</stp>
        <tr r="AP37" s="338"/>
      </tp>
      <tp t="e">
        <v>#N/A</v>
        <stp/>
        <stp>BDH|10825554036716072545</stp>
        <tr r="W8" s="252"/>
        <tr r="T8" s="252"/>
      </tp>
      <tp t="e">
        <v>#N/A</v>
        <stp/>
        <stp>BDH|12817058387938472701</stp>
        <tr r="W10" s="252"/>
        <tr r="T10" s="252"/>
      </tp>
    </main>
    <main first="bofaddin.rtdserver">
      <tp>
        <v>15081.49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263.48500000000001</v>
        <stp/>
        <stp>BDP|7062867511992634566|22</stp>
        <stp>IWM EQUITY</stp>
        <stp>LAST_PRICE</stp>
        <tr r="I8" s="1"/>
      </tp>
      <tp>
        <v>-0.23780836164951324</v>
        <stp/>
        <stp>BDP|16965813729943912763|22</stp>
        <stp>META US 04/17/26 C690 Equity</stp>
        <stp>theta_mid_rt</stp>
        <tr r="AN12" s="2"/>
      </tp>
      <tp>
        <v>33.97</v>
        <stp/>
        <stp>BDP|16778716474861008512|22</stp>
        <stp>ASHR US Equity</stp>
        <stp>LAST_PRICE</stp>
        <tr r="Z4" s="2"/>
      </tp>
      <tp>
        <v>861000</v>
        <stp/>
        <stp>BDP|5584348829070198606|22</stp>
        <stp>000660 KP Equity</stp>
        <stp>LAST_PRICE</stp>
        <tr r="I37" s="1"/>
      </tp>
      <tp>
        <v>223.06</v>
        <stp/>
        <stp>BDP|14695328540844976221|22</stp>
        <stp>GSENEPOW Equity</stp>
        <stp>LAST PRICE</stp>
        <tr r="G41" s="338"/>
        <tr r="G42" s="338"/>
      </tp>
      <tp t="s">
        <v>#N/A Real Time</v>
        <stp/>
        <stp>BDP|4480144096505489759|22</stp>
        <stp>MRYWZ4C4 2390 Index</stp>
        <stp>DELTA_MID_RT</stp>
        <tr r="W129" s="89"/>
      </tp>
      <tp>
        <v>-1.7159465700387955E-2</v>
        <stp/>
        <stp>BDP|16828695075002840217|22</stp>
        <stp>INTC US 07/17/26 P40 Equity</stp>
        <stp>theta_mid_rt</stp>
        <tr r="AN21" s="2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BDP|8369518914882815880|22</stp>
        <stp>QQQ US 01/15/26 P623 Equity</stp>
        <stp>DELTA_MID_RT</stp>
        <tr r="W68" s="89"/>
      </tp>
      <tp>
        <v>107.51</v>
        <stp/>
        <stp>BDP|828808174050573795|22</stp>
        <stp>GDX US Equity</stp>
        <stp>LAST_PRICE</stp>
        <tr r="Z9" s="2"/>
        <tr r="S14" s="89"/>
        <tr r="S13" s="89"/>
        <tr r="Z10" s="2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  <tp>
        <v>331.02</v>
        <stp/>
        <stp>BDP|17019897193923426340|22</stp>
        <stp>AVGO US Equity</stp>
        <stp>LAST_PRICE</stp>
        <tr r="Z5" s="2"/>
        <tr r="S222" s="89"/>
        <tr r="S224" s="89"/>
        <tr r="S223" s="89"/>
        <tr r="S225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417.41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64.23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 t="s">
        <v>#N/A Requesting Data...4141327573</v>
        <stp/>
        <stp>BDP|3297967097008051</stp>
        <tr r="AA223" s="89"/>
        <tr r="Z223" s="89"/>
      </tp>
      <tp>
        <v>332.2</v>
        <stp/>
        <stp>BDP|4205875099267338750|22</stp>
        <stp>V Equity</stp>
        <stp>LAST PRICE</stp>
        <tr r="G15" s="338"/>
        <tr r="G39" s="338"/>
        <tr r="I40" s="338"/>
      </tp>
      <tp>
        <v>-0.17679356038570404</v>
        <stp/>
        <stp>BDP|8018217066080596524|22</stp>
        <stp>QQQ US 01/29/26 P628 Equity</stp>
        <stp>DELTA_MID_RT</stp>
        <tr r="W81" s="89"/>
      </tp>
      <tp>
        <v>339.5</v>
        <stp/>
        <stp>BDP|5454315708850008901|22</stp>
        <stp>TSM EQUITY</stp>
        <stp>LAST_PRICE</stp>
        <tr r="C3" s="1"/>
      </tp>
      <tp t="s">
        <v>USD</v>
        <stp/>
        <stp>BDP|4932980636865218571|22</stp>
        <stp>MSFT US 02/20/26 P420 Equity</stp>
        <stp>QUOTED_CURRENCY_REALTIME</stp>
        <tr r="F212" s="89"/>
      </tp>
      <tp t="s">
        <v>USD</v>
        <stp/>
        <stp>BDP|8466093696555252240|22</stp>
        <stp>DELL US 02/06/26 P115 Equity</stp>
        <stp>QUOTED_CURRENCY_REALTIME</stp>
        <tr r="F49" s="89"/>
      </tp>
      <tp t="s">
        <v>USD</v>
        <stp/>
        <stp>BDP|2430132797707671505|22</stp>
        <stp>NVDA US 05/15/26 C200 Equity</stp>
        <stp>QUOTED_CURRENCY_REALTIME</stp>
        <tr r="G6" s="2"/>
      </tp>
      <tp>
        <v>21.1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341.2</v>
        <stp/>
        <stp>BDP|14680776317739946594|22</stp>
        <stp>AMAT US Equity</stp>
        <stp>LAST_PRICE</stp>
        <tr r="S55" s="89"/>
        <tr r="S56" s="89"/>
      </tp>
      <tp t="s">
        <v>#N/A Real Time</v>
        <stp/>
        <stp>BDP|5618054662935339575|22</stp>
        <stp>4EM5P    5800 Index</stp>
        <stp>DELTA_MID_RT</stp>
        <tr r="W138" s="89"/>
      </tp>
      <tp>
        <v>-0.12264598906040192</v>
        <stp/>
        <stp>BDP|5376540039309539446|22</stp>
        <stp>QQQ US 01/30/26 P620 Equity</stp>
        <stp>DELTA_MID_RT</stp>
        <tr r="AF23" s="2"/>
      </tp>
      <tp t="s">
        <v>#N/A Real Time</v>
        <stp/>
        <stp>BDP|3644211716247599726|22</stp>
        <stp>RTYWU5C3 2500 Index</stp>
        <stp>DELTA_MID_RT</stp>
        <tr r="W145" s="89"/>
      </tp>
      <tp t="s">
        <v>USD</v>
        <stp/>
        <stp>BDP|8040044914643621400|22</stp>
        <stp>MSFT US 07/17/26 C500 Equity</stp>
        <stp>QUOTED_CURRENCY_REALTIME</stp>
        <tr r="G18" s="2"/>
      </tp>
      <tp>
        <v>-5.6139999069273472E-3</v>
        <stp/>
        <stp>BDP|7770981328006744750|22</stp>
        <stp>QQQ US 01/23/26 P615 Equity</stp>
        <stp>DELTA_MID_RT</stp>
        <tr r="W75" s="89"/>
      </tp>
      <tp>
        <v>0.81</v>
        <stp/>
        <stp>BDP|675619676305340664|22</stp>
        <stp>NVDA US 02/13/26 C210 Equity</stp>
        <stp>ask</stp>
        <tr r="L40" s="89"/>
      </tp>
      <tp t="s">
        <v>USD</v>
        <stp/>
        <stp>BDP|9634295531406082081|22</stp>
        <stp>MSFT US 02/20/26 C445 Equity</stp>
        <stp>QUOTED_CURRENCY_REALTIME</stp>
        <tr r="F211" s="89"/>
      </tp>
      <tp t="s">
        <v>USD</v>
        <stp/>
        <stp>BDP|8789910064232569805|22</stp>
        <stp>AMAT US 01/23/26 P290 Equity</stp>
        <stp>QUOTED_CURRENCY_REALTIME</stp>
        <tr r="F55" s="89"/>
      </tp>
      <tp>
        <v>-0.58466547727584839</v>
        <stp/>
        <stp>BDP|17444184218214348444|22</stp>
        <stp>LITE US 03/20/26 C420 Equity</stp>
        <stp>theta_mid_rt</stp>
        <tr r="AN11" s="2"/>
      </tp>
      <tp>
        <v>-6.5198004245758057E-2</v>
        <stp/>
        <stp>BDP|15158621682476696755|22</stp>
        <stp>MRVL US 03/20/26 P75 Equity</stp>
        <stp>theta_mid_rt</stp>
        <tr r="AN15" s="2"/>
      </tp>
      <tp>
        <v>2.17</v>
        <stp/>
        <stp>BDP|13640198828985467188|22</stp>
        <stp>NVDA US 02/13/26 C202.5 Equity</stp>
        <stp>bid</stp>
        <tr r="P8" s="2"/>
        <tr r="K34" s="89"/>
      </tp>
      <tp>
        <v>30.05</v>
        <stp/>
        <stp>BDP|213268990698774113|22</stp>
        <stp>GOOG US 07/17/26 C350 Equity</stp>
        <stp>bid</stp>
        <tr r="K236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F7" s="89"/>
        <tr r="F26" s="89"/>
        <tr r="F170" s="89"/>
      </tp>
      <tp t="s">
        <v>USD</v>
        <stp/>
        <stp>BDP|5793744081546209980|22</stp>
        <stp>META US 04/17/26 C690 Equity</stp>
        <stp>QUOTED_CURRENCY_REALTIME</stp>
        <tr r="G12" s="2"/>
        <tr r="F169" s="89"/>
      </tp>
      <tp t="s">
        <v>#N/A Real Time</v>
        <stp/>
        <stp>BDP|4903616747917947670|22</stp>
        <stp>SCH5C   6200 Index</stp>
        <stp>DELTA_MID_RT</stp>
        <tr r="W101" s="89"/>
      </tp>
      <tp>
        <v>0.53406739234924316</v>
        <stp/>
        <stp>BDP|4155313352666840768|22</stp>
        <stp>GDX US 09/18/26 C115 Equity</stp>
        <stp>DELTA_MID_RT</stp>
        <tr r="W14" s="89"/>
        <tr r="AF10" s="2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435.11</v>
        <stp/>
        <stp>BDP|12429311880057526361|22</stp>
        <stp>MU EQUITY</stp>
        <stp>LAST_PRICE</stp>
        <tr r="C4" s="1"/>
      </tp>
      <tp t="s">
        <v>USD</v>
        <stp/>
        <stp>BDP|14395830410945800725|22</stp>
        <stp>QQQ US 01/30/26 P620 Equity</stp>
        <stp>QUOTED_CURRENCY_REALTIME</stp>
        <tr r="G23" s="2"/>
      </tp>
      <tp t="s">
        <v>#N/A Real Time</v>
        <stp/>
        <stp>BDP|7920363454183743223|22</stp>
        <stp>IMBWK5C4 5880 Index</stp>
        <stp>DELTA_MID_RT</stp>
        <tr r="W90" s="89"/>
      </tp>
      <tp>
        <v>15.35</v>
        <stp/>
        <stp>BDP|959515516383838906|22</stp>
        <stp>AVGO US 06/18/26 P270 Equity</stp>
        <stp>ask</stp>
        <tr r="L225" s="89"/>
      </tp>
      <tp t="s">
        <v>USD</v>
        <stp/>
        <stp>BDP|14386805558121359006|22</stp>
        <stp>QQQ US 01/23/26 P615 Equity</stp>
        <stp>QUOTED_CURRENCY_REALTIME</stp>
        <tr r="F75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-2.2910911589860916E-2</v>
        <stp/>
        <stp>BDP|18355121389053073684|22</stp>
        <stp>INTC US 07/17/26 C60 Equity</stp>
        <stp>theta_mid_rt</stp>
        <tr r="AN19" s="2"/>
      </tp>
      <tp>
        <v>48.65</v>
        <stp/>
        <stp>BDP|15280641543212915371|22</stp>
        <stp>INTC US Equity</stp>
        <stp>LAST_PRICE</stp>
        <tr r="Z19" s="2"/>
        <tr r="Z20" s="2"/>
        <tr r="Z21" s="2"/>
        <tr r="S195" s="89"/>
        <tr r="S196" s="89"/>
        <tr r="S197" s="89"/>
      </tp>
      <tp>
        <v>6.5</v>
        <stp/>
        <stp>BDP|504148194751819713|22</stp>
        <stp>MSFT US 02/20/26 P420 Equity</stp>
        <stp>ask</stp>
        <tr r="L212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-5.4742325097322464E-2</v>
        <stp/>
        <stp>BDP|16456111785153391042|22</stp>
        <stp>MRVL US 03/20/26 P70 Equity</stp>
        <stp>theta_mid_rt</stp>
        <tr r="AN17" s="2"/>
      </tp>
      <tp>
        <v>6179.2304999999997</v>
        <stp/>
        <stp>BDP|12063806539307343070|22</stp>
        <stp>H11137 Index</stp>
        <stp>LAST_PRICE</stp>
        <tr r="H13" s="252"/>
        <tr r="H13" s="252"/>
      </tp>
      <tp>
        <v>241.8</v>
        <stp/>
        <stp>BDP|11431942920512482031|22</stp>
        <stp>AMZN US Equity</stp>
        <stp>LAST_PRICE</stp>
        <tr r="S234" s="89"/>
      </tp>
      <tp>
        <v>0.62314426898956299</v>
        <stp/>
        <stp>BDP|7447356985829106309|22</stp>
        <stp>GDX US 09/18/26 C105 Equity</stp>
        <stp>DELTA_MID_RT</stp>
        <tr r="W13" s="89"/>
        <tr r="AF9" s="2"/>
      </tp>
      <tp>
        <v>629.82000000000005</v>
        <stp/>
        <stp>BDP|360499996244621952|22</stp>
        <stp>QQQ US Equity</stp>
        <stp>LAST_PRICE</stp>
        <tr r="Z22" s="2"/>
        <tr r="S68" s="89"/>
        <tr r="S69" s="89"/>
        <tr r="S75" s="89"/>
        <tr r="S76" s="89"/>
        <tr r="S82" s="89"/>
        <tr r="S81" s="89"/>
        <tr r="Z23" s="2"/>
      </tp>
      <tp t="s">
        <v>#N/A Real Time</v>
        <stp/>
        <stp>BDP|15463751634066228508|22</stp>
        <stp>MRYWZ4C4 2390 Index</stp>
        <stp>ask</stp>
        <tr r="L129" s="89"/>
      </tp>
      <tp>
        <v>393</v>
        <stp/>
        <stp>BDP|6606668543975560666|22</stp>
        <stp>300502 CH Equity</stp>
        <stp>LAST_PRICE</stp>
        <tr r="I45" s="1"/>
      </tp>
      <tp>
        <v>740.35</v>
        <stp/>
        <stp>BDP|12884552599081678750|22</stp>
        <stp>META US Equity</stp>
        <stp>LAST_PRICE</stp>
        <tr r="Z12" s="2"/>
        <tr r="S169" s="89"/>
        <tr r="S170" s="89"/>
        <tr r="S171" s="89"/>
        <tr r="S233" s="89"/>
        <tr r="S27" s="89"/>
        <tr r="S180" s="89"/>
        <tr r="S8" s="89"/>
        <tr r="S26" s="89"/>
        <tr r="S7" s="89"/>
        <tr r="Z13" s="2"/>
      </tp>
      <tp>
        <v>2.2000000000000002</v>
        <stp/>
        <stp>BDP|12043615711539746151|22</stp>
        <stp>NVDA US 02/13/26 C202.5 Equity</stp>
        <stp>ask</stp>
        <tr r="Q8" s="2"/>
        <tr r="L34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-2.253047376871109E-2</v>
        <stp/>
        <stp>BDP|17856461713270669920|22</stp>
        <stp>INTC US 07/17/26 C50 Equity</stp>
        <stp>theta_mid_rt</stp>
        <tr r="AN20" s="2"/>
      </tp>
      <tp t="s">
        <v>#N/A Requesting Data...</v>
        <stp/>
        <stp>BDP|4134657639840611115|22</stp>
        <stp>-1,19393783970345 Index</stp>
        <stp>mid</stp>
        <tr r="L1" s="2"/>
      </tp>
      <tp>
        <v>-7.2423823177814484E-2</v>
        <stp/>
        <stp>BDP|12438727553717188638|22</stp>
        <stp>MRVL US 03/20/26 P85 Equity</stp>
        <stp>theta_mid_rt</stp>
        <tr r="AN14" s="2"/>
      </tp>
    </main>
    <main first="bofaddin.rtdserver"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BDP|6391045500104896499|22</stp>
        <stp>LITE US 03/20/26 C420 Equity</stp>
        <stp>QUOTED_CURRENCY_REALTIME</stp>
        <tr r="G11" s="2"/>
      </tp>
      <tp>
        <v>92.355000000000004</v>
        <stp/>
        <stp>BDP|2213699979188169021|22</stp>
        <stp>IGV EQUITY</stp>
        <stp>LAST_PRICE</stp>
        <tr r="I2" s="1"/>
      </tp>
      <tp t="s">
        <v>#N/A Real Time</v>
        <stp/>
        <stp>BDP|6678830315195885932|22</stp>
        <stp>RFSWZ4C3 2400 Index</stp>
        <stp>DELTA_MID_RT</stp>
        <tr r="W123" s="89"/>
      </tp>
      <tp>
        <v>78.459999999999994</v>
        <stp/>
        <stp>BDP|224343272968290990|22</stp>
        <stp>CSCO Equity</stp>
        <stp>LAST_PRICE</stp>
        <tr r="I42" s="1"/>
      </tp>
      <tp t="s">
        <v>USD</v>
        <stp/>
        <stp>BDP|8551146402332547609|22</stp>
        <stp>META US 07/17/26 C700 Equity</stp>
        <stp>QUOTED_CURRENCY_REALTIME</stp>
        <tr r="G13" s="2"/>
        <tr r="F27" s="89"/>
        <tr r="F171" s="89"/>
      </tp>
      <tp t="s">
        <v>USD</v>
        <stp/>
        <stp>BDP|3658783239107614267|22</stp>
        <stp>META US 07/17/26 C690 Equity</stp>
        <stp>QUOTED_CURRENCY_REALTIME</stp>
        <tr r="F8" s="89"/>
      </tp>
      <tp>
        <v>-0.22449468076229095</v>
        <stp/>
        <stp>BDP|8069945415879737355|22</stp>
        <stp>NVDA US 02/06/26 C197.5 Equity</stp>
        <stp>theta_mid_rt</stp>
        <tr r="AN7" s="2"/>
      </tp>
      <tp t="s">
        <v>#N/A Real Time</v>
        <stp/>
        <stp>BDP|2879552152728014398|22</stp>
        <stp>4OK5C 21300 Index</stp>
        <stp>QUOTED_CURRENCY_REALTIME</stp>
        <tr r="F115" s="89"/>
      </tp>
      <tp>
        <v>2.27</v>
        <stp/>
        <stp>BDP|13096424927641554551|22</stp>
        <stp>NVDA US 02/06/26 C197.5 Equity</stp>
        <stp>ask</stp>
        <tr r="Q7" s="2"/>
        <tr r="L33" s="89"/>
      </tp>
      <tp t="s">
        <v>#N/A Invalid Security</v>
        <stp/>
        <stp>BDP|7846864529941089881|22</stp>
        <stp xml:space="preserve"> Equity</stp>
        <stp>mid</stp>
        <tr r="L2" s="2"/>
      </tp>
      <tp>
        <v>629.82000000000005</v>
        <stp/>
        <stp>BDP|2689810960265066336|22</stp>
        <stp>QQQ EQUITY</stp>
        <stp>LAST_PRICE</stp>
        <tr r="I6" s="1"/>
      </tp>
      <tp>
        <v>-8.1986643373966217E-2</v>
        <stp/>
        <stp>BDP|11554504603472673655|22</stp>
        <stp>NVDA US 05/15/26 C200 Equity</stp>
        <stp>theta_mid_rt</stp>
        <tr r="AN6" s="2"/>
      </tp>
      <tp t="s">
        <v>#N/A Requesting Data...4095056152</v>
        <stp/>
        <stp>BDP|3970119255888163378</stp>
        <tr r="L14" s="338"/>
        <tr r="H14" s="338"/>
        <tr r="L35" s="338"/>
        <tr r="H35" s="338"/>
      </tp>
      <tp t="s">
        <v>#N/A N/A</v>
        <stp/>
        <stp>BDP|1780817128230709721</stp>
        <tr r="AC50" s="1"/>
        <tr r="AC51" s="1"/>
      </tp>
      <tp t="s">
        <v>#N/A Requesting Data...4266803638</v>
        <stp/>
        <stp>BDP|6079579929065496810</stp>
        <tr r="O17" s="252"/>
      </tp>
      <tp t="s">
        <v>#N/A Requesting Data...4072586456</v>
        <stp/>
        <stp>BDP|7892942422180160079</stp>
        <tr r="AF29" s="338"/>
        <tr r="AF30" s="338"/>
      </tp>
      <tp t="s">
        <v>#N/A Requesting Data...4035513912</v>
        <stp/>
        <stp>BDP|6875767680954769102</stp>
        <tr r="AR5" s="2"/>
      </tp>
      <tp t="s">
        <v>#N/A N/A</v>
        <stp/>
        <stp>BDP|7500005297250850236</stp>
        <tr r="K1" s="1"/>
      </tp>
      <tp t="s">
        <v>#N/A Requesting Data...4171377451</v>
        <stp/>
        <stp>BDP|7828562231434179977</stp>
        <tr r="G30" s="446"/>
      </tp>
      <tp t="s">
        <v>#N/A Requesting Data...4127422555</v>
        <stp/>
        <stp>BDP|5719360958046661910</stp>
        <tr r="U16" s="338"/>
        <tr r="U38" s="338"/>
      </tp>
      <tp t="s">
        <v>#N/A N/A</v>
        <stp/>
        <stp>BDP|7242194062655091966</stp>
        <tr r="AA33" s="89"/>
        <tr r="Z33" s="89"/>
      </tp>
      <tp t="s">
        <v>#N/A N/A</v>
        <stp/>
        <stp>BDP|8367283627072476679</stp>
        <tr r="AC46" s="1"/>
        <tr r="AC47" s="1"/>
      </tp>
      <tp t="s">
        <v>#N/A Requesting Data...3996084132</v>
        <stp/>
        <stp>BDP|6021078455249412694</stp>
        <tr r="AJ37" s="338"/>
      </tp>
      <tp t="s">
        <v>#N/A Requesting Data...4264494478</v>
        <stp/>
        <stp>BDP|1166102887343177783</stp>
        <tr r="C69" s="89"/>
      </tp>
      <tp t="s">
        <v>#N/A N/A</v>
        <stp/>
        <stp>BDP|4596394917382492801</stp>
        <tr r="AF10" s="1"/>
      </tp>
      <tp t="s">
        <v>#N/A Requesting Data...4042167170</v>
        <stp/>
        <stp>BDP|6404917817581645389</stp>
        <tr r="O14" s="252"/>
      </tp>
      <tp t="s">
        <v>#N/A N/A</v>
        <stp/>
        <stp>BDP|8267476373493896423</stp>
        <tr r="K2" s="1"/>
      </tp>
      <tp t="s">
        <v>#N/A Requesting Data...4192103179</v>
        <stp/>
        <stp>BDP|4738998939235389797</stp>
        <tr r="F8" s="446"/>
      </tp>
      <tp t="s">
        <v>#N/A N/A</v>
        <stp/>
        <stp>BDP|2282995976142786289</stp>
        <tr r="AV5" s="2"/>
        <tr r="R222" s="89"/>
        <tr r="R224" s="89"/>
        <tr r="R223" s="89"/>
        <tr r="R225" s="89"/>
      </tp>
      <tp t="s">
        <v>#N/A Requesting Data...4079244676</v>
        <stp/>
        <stp>BDP|8370148836023021531</stp>
        <tr r="AF53" s="1"/>
        <tr r="AF37" s="338"/>
      </tp>
      <tp t="s">
        <v>#N/A N/A</v>
        <stp/>
        <stp>BDP|3775671083546925781</stp>
        <tr r="D205" s="89"/>
      </tp>
      <tp t="s">
        <v>#N/A Requesting Data...4261159165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Data...4251754802</v>
        <stp/>
        <stp>BDP|5270872678817673187</stp>
        <tr r="O13" s="252"/>
      </tp>
      <tp t="s">
        <v>#N/A N/A</v>
        <stp/>
        <stp>BDP|2737330982055463026</stp>
        <tr r="AG53" s="1"/>
      </tp>
      <tp t="s">
        <v>#N/A Requesting Data...4095911884</v>
        <stp/>
        <stp>BDP|3098041072779459130</stp>
        <tr r="E169" s="89"/>
      </tp>
      <tp t="s">
        <v>#N/A Requesting Data...4252887681</v>
        <stp/>
        <stp>BDP|3430438294345068720</stp>
        <tr r="O40" s="89"/>
      </tp>
      <tp t="s">
        <v>#N/A Requesting Data...4115840613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Data...4293816145</v>
        <stp/>
        <stp>BDP|5489377534060375922</stp>
        <tr r="T145" s="89"/>
      </tp>
      <tp t="s">
        <v>#N/A Requesting Data...4217560737</v>
        <stp/>
        <stp>BDP|7547135630721272822</stp>
        <tr r="T29" s="338"/>
      </tp>
      <tp t="s">
        <v>#N/A Requesting Data...4170992544</v>
        <stp/>
        <stp>BDP|9515949913399601436</stp>
        <tr r="G25" s="446"/>
      </tp>
      <tp t="s">
        <v>#N/A Requesting Data...4230961941</v>
        <stp/>
        <stp>BDP|2250196021425433893</stp>
        <tr r="AA237" s="89"/>
        <tr r="Z237" s="89"/>
      </tp>
      <tp t="s">
        <v>#N/A Requesting Data...4105055776</v>
        <stp/>
        <stp>BDP|9712190854671951078</stp>
        <tr r="M16" s="252"/>
      </tp>
      <tp t="s">
        <v>#N/A Requesting Data...4122336010</v>
        <stp/>
        <stp>BDP|5805209688912204161</stp>
        <tr r="AA7" s="2"/>
        <tr r="T33" s="89"/>
      </tp>
      <tp t="s">
        <v>#N/A Requesting Data...4172523341</v>
        <stp/>
        <stp>BDP|5511275398847971578</stp>
        <tr r="T45" s="338"/>
      </tp>
      <tp>
        <v>86.22</v>
        <stp/>
        <stp>BDP|7394371982457470369|22</stp>
        <stp>KBWB Equity</stp>
        <stp>LAST PRICE</stp>
        <tr r="G52" s="338"/>
        <tr r="G53" s="338"/>
        <tr r="G54" s="338"/>
      </tp>
      <tp t="s">
        <v>#N/A N/A</v>
        <stp/>
        <stp>BDH|51416913761850505</stp>
        <tr r="AP42" s="338"/>
        <tr r="AP41" s="338"/>
      </tp>
      <tp t="s">
        <v>#N/A Requesting Data...4291246992</v>
        <stp/>
        <stp>BDP|5415224161148491497</stp>
        <tr r="O187" s="89"/>
      </tp>
      <tp t="s">
        <v>#N/A Requesting Data...4216757185</v>
        <stp/>
        <stp>BDP|9641015641826985650</stp>
        <tr r="U52" s="338"/>
      </tp>
      <tp t="s">
        <v>#N/A Requesting Data...4095092396</v>
        <stp/>
        <stp>BDP|6731818678664058062</stp>
        <tr r="C116" s="89"/>
      </tp>
      <tp t="s">
        <v>#N/A Requesting Data...4047901850</v>
        <stp/>
        <stp>BDP|3337761684491833019</stp>
        <tr r="F44" s="446"/>
      </tp>
      <tp t="s">
        <v>#N/A Requesting Data...4265767548</v>
        <stp/>
        <stp>BDP|4245700180187394193</stp>
        <tr r="E144" s="89"/>
      </tp>
      <tp t="s">
        <v>#N/A Requesting Data...4025499801</v>
        <stp/>
        <stp>BDP|2599954552966387584</stp>
        <tr r="V15" s="338"/>
        <tr r="V39" s="338"/>
      </tp>
      <tp t="s">
        <v>#N/A Requesting Data...4132560376</v>
        <stp/>
        <stp>BDP|6927294984968537987</stp>
        <tr r="C224" s="89"/>
      </tp>
      <tp t="s">
        <v>#N/A N/A</v>
        <stp/>
        <stp>BDP|9699474378527567053</stp>
        <tr r="AC38" s="1"/>
        <tr r="AC39" s="1"/>
        <tr r="AC40" s="1"/>
      </tp>
      <tp t="s">
        <v>#N/A Requesting Data...4277283246</v>
        <stp/>
        <stp>BDP|4059296425981795825</stp>
        <tr r="T89" s="89"/>
      </tp>
      <tp t="s">
        <v>#N/A N/A</v>
        <stp/>
        <stp>BDP|6962427850058192242</stp>
        <tr r="Q55" s="338"/>
      </tp>
      <tp t="s">
        <v>#N/A Requesting Data...4149054273</v>
        <stp/>
        <stp>BDP|2316277569649315203</stp>
        <tr r="AA40" s="89"/>
        <tr r="Z40" s="89"/>
      </tp>
      <tp t="s">
        <v>#N/A Requesting Data...4264089738</v>
        <stp/>
        <stp>BDP|8113789535866062735</stp>
        <tr r="T237" s="89"/>
      </tp>
      <tp t="s">
        <v>#N/A Requesting Data...4089211695</v>
        <stp/>
        <stp>BDP|6822986114586808509</stp>
        <tr r="AA15" s="2"/>
      </tp>
      <tp t="s">
        <v>#N/A Requesting Data...4111785494</v>
        <stp/>
        <stp>BDP|9592498748502103695</stp>
        <tr r="L7" s="252"/>
        <tr r="L7" s="252"/>
      </tp>
      <tp t="s">
        <v>#N/A Requesting Data...4078673631</v>
        <stp/>
        <stp>BDP|6754010884411976277</stp>
        <tr r="X44" s="338"/>
      </tp>
      <tp t="s">
        <v>#N/A Requesting Data...4147797764</v>
        <stp/>
        <stp>BDP|4958570254160242959</stp>
        <tr r="T33" s="338"/>
      </tp>
      <tp t="s">
        <v>#N/A Requesting Data...4126232264</v>
        <stp/>
        <stp>BDP|4678905769292619449</stp>
        <tr r="AK29" s="338"/>
      </tp>
      <tp t="s">
        <v>#N/A Requesting Data...4069280175</v>
        <stp/>
        <stp>BDP|8546570959465252042</stp>
        <tr r="D27" s="89"/>
      </tp>
      <tp t="s">
        <v>#N/A Requesting Data...4046875073</v>
        <stp/>
        <stp>BDP|7223883239641187000</stp>
        <tr r="G16" s="446"/>
      </tp>
      <tp t="s">
        <v>#N/A Requesting Data...4048955619</v>
        <stp/>
        <stp>BDP|5114854945934215018</stp>
        <tr r="AD12" s="2"/>
        <tr r="V169" s="89"/>
      </tp>
      <tp t="e">
        <v>#N/A</v>
        <stp/>
        <stp>BDH|6510200972726120845</stp>
        <tr r="T14" s="252"/>
        <tr r="W14" s="252"/>
      </tp>
      <tp t="s">
        <v>#N/A Requesting Data...4232793446</v>
        <stp/>
        <stp>BDP|9686918113715191967</stp>
        <tr r="AA81" s="89"/>
        <tr r="Z81" s="89"/>
      </tp>
      <tp t="s">
        <v>#N/A N/A</v>
        <stp/>
        <stp>BDP|4501705585220195623</stp>
        <tr r="D50" s="89"/>
      </tp>
      <tp t="s">
        <v>#N/A N/A</v>
        <stp/>
        <stp>BDP|9201662923697524715</stp>
        <tr r="O203" s="89"/>
      </tp>
      <tp t="s">
        <v>#N/A Requesting Data...4243250702</v>
        <stp/>
        <stp>BDP|8023230975554206472</stp>
        <tr r="U33" s="338"/>
      </tp>
      <tp t="s">
        <v>#N/A Requesting Data...4231300490</v>
        <stp/>
        <stp>BDP|2832828567039648888</stp>
        <tr r="D4" s="2"/>
      </tp>
      <tp t="s">
        <v>#N/A Requesting Data...4270596672</v>
        <stp/>
        <stp>BDP|1449141764908407306</stp>
        <tr r="F11" s="446"/>
      </tp>
      <tp t="s">
        <v>#N/A N/A</v>
        <stp/>
        <stp>BDH|6762628994287053317</stp>
        <tr r="AN17" s="338"/>
        <tr r="AN18" s="338"/>
      </tp>
      <tp t="s">
        <v>#N/A Requesting Data...4242239494</v>
        <stp/>
        <stp>BDP|6113923539666992720</stp>
        <tr r="N14" s="252"/>
        <tr r="N14" s="252"/>
      </tp>
      <tp t="s">
        <v>#N/A N/A</v>
        <stp/>
        <stp>BDP|8840098927283470439</stp>
        <tr r="AB153" s="89"/>
        <tr r="AB154" s="89"/>
      </tp>
      <tp t="s">
        <v>#N/A Requesting Data...4171605095</v>
        <stp/>
        <stp>BDP|7951947862590616582</stp>
        <tr r="AF48" s="1"/>
        <tr r="AF49" s="1"/>
        <tr r="AF13" s="338"/>
        <tr r="AF34" s="338"/>
      </tp>
      <tp t="s">
        <v>#N/A Requesting Data...4086109101</v>
        <stp/>
        <stp>BDP|9891481019803044282</stp>
        <tr r="G23" s="446"/>
      </tp>
      <tp t="s">
        <v>#N/A Requesting Data...4228750335</v>
        <stp/>
        <stp>BDP|8890689995642342808</stp>
        <tr r="V53" s="338"/>
      </tp>
      <tp t="s">
        <v>#N/A Requesting Data...4055021325</v>
        <stp/>
        <stp>BDP|4140538680732569611</stp>
        <tr r="V170" s="89"/>
        <tr r="V26" s="89"/>
        <tr r="V7" s="89"/>
      </tp>
      <tp t="s">
        <v>#N/A Requesting Data...4252126896</v>
        <stp/>
        <stp>BDP|2455215735317653905</stp>
        <tr r="E223" s="89"/>
      </tp>
      <tp t="s">
        <v>#N/A Requesting Data...4083778799</v>
        <stp/>
        <stp>BDP|2447569196515159629</stp>
        <tr r="T10" s="2"/>
        <tr r="O14" s="89"/>
      </tp>
      <tp t="s">
        <v>#N/A Requesting Data...4108531431</v>
        <stp/>
        <stp>BDP|7612533417436704812</stp>
        <tr r="AJ13" s="338"/>
        <tr r="AJ34" s="338"/>
      </tp>
      <tp t="s">
        <v>#N/A Requesting Data...4054283132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Data...4193525008</v>
        <stp/>
        <stp>BDP|3007975292676340821</stp>
        <tr r="G24" s="446"/>
      </tp>
      <tp t="s">
        <v>#N/A Requesting Data...4287567030</v>
        <stp/>
        <stp>BDP|5665815221263095138</stp>
        <tr r="E95" s="89"/>
      </tp>
      <tp t="e">
        <v>#N/A</v>
        <stp/>
        <stp>BDH|2114060395467773106</stp>
        <tr r="J16" s="252"/>
      </tp>
      <tp>
        <v>15</v>
        <stp/>
        <stp>BDP|18096733178424916458|22</stp>
        <stp>AVGO US 06/18/26 P270 Equity</stp>
        <stp>bid</stp>
        <tr r="K225" s="89"/>
      </tp>
      <tp>
        <v>35</v>
        <stp/>
        <stp>BDP|10089550128122679017|22</stp>
        <stp>TSM US 06/18/26 C340 Equity</stp>
        <stp>ask</stp>
        <tr r="Q24" s="2"/>
      </tp>
      <tp>
        <v>-0.21768683195114136</v>
        <stp/>
        <stp>BDP|3431413272118379814|22</stp>
        <stp>MRVL US 03/20/26 P70 Equity</stp>
        <stp>DELTA_MID_RT</stp>
        <tr r="AF17" s="2"/>
        <tr r="W63" s="89"/>
      </tp>
      <tp t="s">
        <v>#N/A Requesting Data...4133768780</v>
        <stp/>
        <stp>BDP|5266989866390412427</stp>
        <tr r="D38" s="446"/>
      </tp>
      <tp t="s">
        <v>#N/A N/A</v>
        <stp/>
        <stp>BDP|8927228557595141478</stp>
        <tr r="R115" s="89"/>
        <tr r="R116" s="89"/>
      </tp>
      <tp t="s">
        <v>#N/A Requesting Data...4066036882</v>
        <stp/>
        <stp>BDP|5586265622589882234</stp>
        <tr r="T187" s="89"/>
      </tp>
      <tp t="s">
        <v>#N/A Requesting Data...4199007376</v>
        <stp/>
        <stp>BDP|1529618684855229495</stp>
        <tr r="E197" s="89"/>
      </tp>
      <tp t="s">
        <v>#N/A N/A</v>
        <stp/>
        <stp>BDP|8452001835880289581</stp>
        <tr r="AB42" s="1"/>
      </tp>
      <tp t="s">
        <v>#N/A Requesting Data...4273644777</v>
        <stp/>
        <stp>BDP|8518419899713251871</stp>
        <tr r="X8" s="338"/>
      </tp>
      <tp t="s">
        <v>#N/A Requesting Data...4105224534</v>
        <stp/>
        <stp>BDP|6375542897924166091</stp>
        <tr r="C109" s="89"/>
      </tp>
      <tp t="s">
        <v>#N/A Requesting Data...4078765412</v>
        <stp/>
        <stp>BDP|6865956502756622717</stp>
        <tr r="AH36" s="338"/>
        <tr r="AJ36" s="338"/>
      </tp>
      <tp t="s">
        <v>#N/A Requesting Data...4233857626</v>
        <stp/>
        <stp>BDP|2379295593121097618</stp>
        <tr r="D44" s="446"/>
      </tp>
      <tp t="s">
        <v>#N/A N/A</v>
        <stp/>
        <stp>BDH|4756848313543097089</stp>
        <tr r="AU30" s="338"/>
      </tp>
      <tp t="s">
        <v>#N/A Requesting Data...4241305724</v>
        <stp/>
        <stp>BDP|9349867885552045593</stp>
        <tr r="S48" s="338"/>
      </tp>
      <tp t="s">
        <v>#N/A Requesting Data...4168437107</v>
        <stp/>
        <stp>BDP|8800614714481507068</stp>
        <tr r="AD21" s="2"/>
        <tr r="V197" s="89"/>
      </tp>
      <tp t="s">
        <v>#N/A N/A</v>
        <stp/>
        <stp>BDP|2133092057898732167</stp>
        <tr r="AF45" s="1"/>
      </tp>
      <tp t="s">
        <v>#N/A Requesting Data...4159095678</v>
        <stp/>
        <stp>BDP|3116185742219750133</stp>
        <tr r="T109" s="89"/>
      </tp>
      <tp t="s">
        <v>#N/A N/A</v>
        <stp/>
        <stp>BDP|6738803180248897008</stp>
        <tr r="E33" s="89"/>
      </tp>
      <tp t="s">
        <v>#N/A N/A</v>
        <stp/>
        <stp>BDP|3165537113981681882</stp>
        <tr r="Q40" s="338"/>
      </tp>
      <tp t="s">
        <v>#N/A N/A</v>
        <stp/>
        <stp>BDH|8088023514874156388</stp>
        <tr r="AM36" s="338"/>
      </tp>
      <tp t="s">
        <v>#N/A Requesting Data...4159379090</v>
        <stp/>
        <stp>BDP|8974216276565695646</stp>
        <tr r="C10" s="2"/>
      </tp>
      <tp t="s">
        <v>#N/A Requesting Data...4134539818</v>
        <stp/>
        <stp>BDP|8883658922450224216</stp>
        <tr r="C76" s="89"/>
      </tp>
      <tp t="s">
        <v>#N/A N/A</v>
        <stp/>
        <stp>BDP|8927803377951233812</stp>
        <tr r="AB160" s="89"/>
      </tp>
      <tp t="s">
        <v>#N/A Requesting Data...4171778115</v>
        <stp/>
        <stp>BDP|9104922632105284817</stp>
        <tr r="D20" s="89"/>
      </tp>
      <tp t="s">
        <v>#N/A Requesting Data...4290827521</v>
        <stp/>
        <stp>BDP|5796504129065876948</stp>
        <tr r="U8" s="338"/>
      </tp>
      <tp t="s">
        <v>#N/A Requesting Data...4156609341</v>
        <stp/>
        <stp>BDP|5334711267318453225</stp>
        <tr r="N10" s="252"/>
        <tr r="N10" s="252"/>
      </tp>
      <tp t="s">
        <v>#N/A Requesting Data...4221929671</v>
        <stp/>
        <stp>BDP|9233199299816659948</stp>
        <tr r="P11" s="252"/>
      </tp>
      <tp t="s">
        <v>#N/A Requesting Data...4244684844</v>
        <stp/>
        <stp>BDP|3671266900018321730</stp>
        <tr r="C82" s="89"/>
      </tp>
      <tp t="s">
        <v>#N/A Requesting Data...4275750944</v>
        <stp/>
        <stp>BDP|2292616657717420814</stp>
        <tr r="AF31" s="338"/>
        <tr r="AF32" s="338"/>
      </tp>
      <tp t="s">
        <v>#N/A N/A</v>
        <stp/>
        <stp>BDP|1704402293557704529</stp>
        <tr r="K7" s="1"/>
      </tp>
      <tp t="s">
        <v>#N/A Requesting Data...4284365016</v>
        <stp/>
        <stp>BDP|4042472092244568314</stp>
        <tr r="V108" s="89"/>
      </tp>
      <tp t="s">
        <v>#N/A Requesting Data...4104852582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Data...4095664388</v>
        <stp/>
        <stp>BDP|5068380246295060987</stp>
        <tr r="P49" s="338"/>
      </tp>
      <tp t="e">
        <v>#N/A</v>
        <stp/>
        <stp>BDH|5674194540649995708</stp>
        <tr r="W17" s="252"/>
        <tr r="T17" s="252"/>
      </tp>
      <tp t="s">
        <v>#N/A Requesting Data...4246530867</v>
        <stp/>
        <stp>BDP|6562923680930375939</stp>
        <tr r="T11" s="338"/>
      </tp>
      <tp t="s">
        <v>#N/A Requesting Data...4126586887</v>
        <stp/>
        <stp>BDP|4719256686637012732</stp>
        <tr r="M19" s="252"/>
      </tp>
      <tp t="s">
        <v>#N/A Requesting Data...4198168602</v>
        <stp/>
        <stp>BDP|2644203280360986688</stp>
        <tr r="AB48" s="1"/>
        <tr r="AB49" s="1"/>
        <tr r="F35" s="446"/>
      </tp>
      <tp t="s">
        <v>#N/A Requesting Data...4155776586</v>
        <stp/>
        <stp>BDP|3687895063137929413</stp>
        <tr r="U51" s="338"/>
      </tp>
      <tp t="s">
        <v>#N/A Requesting Data...4289376863</v>
        <stp/>
        <stp>BDP|6809253334738551199</stp>
        <tr r="D8" s="2"/>
        <tr r="C34" s="89"/>
      </tp>
      <tp t="s">
        <v>#N/A N/A</v>
        <stp/>
        <stp>BDP|8832260242793878318</stp>
        <tr r="T50" s="89"/>
      </tp>
      <tp t="s">
        <v>#N/A Requesting Data...4126276855</v>
        <stp/>
        <stp>BDP|2866283045919885388</stp>
        <tr r="L18" s="338"/>
        <tr r="J18" s="338"/>
      </tp>
      <tp t="s">
        <v>#N/A Requesting Data...4245454311</v>
        <stp/>
        <stp>BDP|8754151420072627717</stp>
        <tr r="AR10" s="2"/>
      </tp>
      <tp t="s">
        <v>#N/A Requesting Data...4113803891</v>
        <stp/>
        <stp>BDP|8565804017506463936</stp>
        <tr r="L17" s="252"/>
        <tr r="L17" s="252"/>
      </tp>
      <tp>
        <v>21.2</v>
        <stp/>
        <stp>BDP|13753378013260123339|22</stp>
        <stp>AMZN US 07/17/26 C250 Equity</stp>
        <stp>bid</stp>
        <tr r="K234" s="89"/>
      </tp>
      <tp>
        <v>19.975000000000001</v>
        <stp/>
        <stp>BDP|1056906607050736285|22</stp>
        <stp>CPNG Equity</stp>
        <stp>LAST PRICE</stp>
        <tr r="L7" s="446"/>
      </tp>
      <tp>
        <v>38.009</v>
        <stp/>
        <stp>BDP|8479129259841183337|22</stp>
        <stp>BP Equity</stp>
        <stp>LAST PRICE</stp>
        <tr r="G29" s="338"/>
        <tr r="G30" s="338"/>
      </tp>
      <tp>
        <v>339.5</v>
        <stp/>
        <stp>BDP|10734773146792366841|22</stp>
        <stp>TSM US Equity</stp>
        <stp>LAST_PRICE</stp>
        <tr r="Z24" s="2"/>
        <tr r="Z25" s="2"/>
        <tr r="S20" s="89"/>
        <tr r="S19" s="89"/>
      </tp>
      <tp t="s">
        <v>#N/A Requesting Data...4217796764</v>
        <stp/>
        <stp>BDP|3786323124408946521</stp>
        <tr r="D45" s="446"/>
      </tp>
      <tp t="s">
        <v>#N/A Requesting Data...4286423599</v>
        <stp/>
        <stp>BDP|8896143753810578305</stp>
        <tr r="F16" s="2"/>
      </tp>
      <tp t="s">
        <v>#N/A N/A</v>
        <stp/>
        <stp>BDP|2806504826139638334</stp>
        <tr r="AG48" s="1"/>
        <tr r="AG49" s="1"/>
      </tp>
      <tp t="s">
        <v>#N/A Requesting Data...4150645725</v>
        <stp/>
        <stp>BDP|4784976331940308190</stp>
        <tr r="Z144" s="89"/>
        <tr r="AA144" s="89"/>
      </tp>
      <tp t="s">
        <v>#N/A Requesting Data...4128399839</v>
        <stp/>
        <stp>BDP|2131718523418809031</stp>
        <tr r="X9" s="338"/>
      </tp>
      <tp t="s">
        <v>#N/A N/A</v>
        <stp/>
        <stp>BDP|2245312717959914640</stp>
        <tr r="Q34" s="338"/>
      </tp>
      <tp t="s">
        <v>#N/A N/A</v>
        <stp/>
        <stp>BDP|8119275495638947437</stp>
        <tr r="AI54" s="1"/>
      </tp>
      <tp t="s">
        <v>#N/A Requesting Data...4129054804</v>
        <stp/>
        <stp>BDP|7541483698052920755</stp>
        <tr r="C13" s="2"/>
      </tp>
      <tp t="s">
        <v>#N/A Requesting Data...4292434116</v>
        <stp/>
        <stp>BDP|4060140891760852341</stp>
        <tr r="T95" s="89"/>
      </tp>
      <tp t="s">
        <v>#N/A N/A</v>
        <stp/>
        <stp>BDP|6638619292441985751</stp>
        <tr r="Q9" s="338"/>
      </tp>
      <tp t="s">
        <v>#N/A N/A</v>
        <stp/>
        <stp>BDP|1110263465193964954</stp>
        <tr r="AB122" s="89"/>
        <tr r="AB123" s="89"/>
      </tp>
      <tp t="s">
        <v>#N/A Requesting Data...4130851962</v>
        <stp/>
        <stp>BDP|2842170687233636700</stp>
        <tr r="AH13" s="338"/>
        <tr r="AH34" s="338"/>
      </tp>
      <tp t="s">
        <v>#N/A Requesting Data...4120041150</v>
        <stp/>
        <stp>BDP|1457483532620769970</stp>
        <tr r="L18" s="252"/>
        <tr r="L18" s="252"/>
      </tp>
      <tp t="s">
        <v>#N/A N/A</v>
        <stp/>
        <stp>BDH|8623164678984060567</stp>
        <tr r="AP12" s="338"/>
      </tp>
      <tp t="s">
        <v>#N/A N/A</v>
        <stp/>
        <stp>BDP|7952717157178061208</stp>
        <tr r="AI19" s="1"/>
        <tr r="AI20" s="1"/>
        <tr r="AI21" s="1"/>
        <tr r="AI22" s="1"/>
      </tp>
      <tp t="s">
        <v>#N/A Requesting Data...4173009754</v>
        <stp/>
        <stp>BDP|6268649388386345129</stp>
        <tr r="D144" s="89"/>
      </tp>
      <tp t="s">
        <v>#N/A Requesting Data...4235713585</v>
        <stp/>
        <stp>BDP|8154630115763023381</stp>
        <tr r="T52" s="338"/>
      </tp>
      <tp t="s">
        <v>#N/A Requesting Data...4274325009</v>
        <stp/>
        <stp>BDP|7576730522755872830</stp>
        <tr r="F38" s="446"/>
      </tp>
      <tp t="s">
        <v>#N/A Requesting Data...4285307103</v>
        <stp/>
        <stp>BDP|9507005719251486644</stp>
        <tr r="M10" s="252"/>
      </tp>
      <tp t="s">
        <v>#N/A N/A</v>
        <stp/>
        <stp>BDP|3243919885914808926</stp>
        <tr r="AB14" s="1"/>
      </tp>
      <tp t="s">
        <v>#N/A Requesting Data...4167281898</v>
        <stp/>
        <stp>BDP|9539667201337640785</stp>
        <tr r="U36" s="338"/>
      </tp>
      <tp t="s">
        <v>#N/A Requesting Data...4232543959</v>
        <stp/>
        <stp>BDP|7446900777882759491</stp>
        <tr r="AF18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N/A</v>
        <stp/>
        <stp>BDP|7758988602381610061</stp>
        <tr r="AC15" s="1"/>
        <tr r="AC16" s="1"/>
        <tr r="AC17" s="1"/>
      </tp>
      <tp t="s">
        <v>#N/A N/A</v>
        <stp/>
        <stp>BDP|8782158116286979106</stp>
        <tr r="AG57" s="1"/>
      </tp>
      <tp t="s">
        <v>#N/A Requesting Data...4198675558</v>
        <stp/>
        <stp>BDP|2751859474321958329</stp>
        <tr r="V187" s="89"/>
      </tp>
      <tp t="s">
        <v>#N/A Requesting Data...4193219595</v>
        <stp/>
        <stp>BDP|4065099833740136891</stp>
        <tr r="P42" s="338"/>
      </tp>
      <tp t="s">
        <v>#N/A Requesting Data...4237600493</v>
        <stp/>
        <stp>BDP|5267619434148669720</stp>
        <tr r="AJ52" s="338"/>
        <tr r="AJ53" s="338"/>
        <tr r="AJ54" s="338"/>
      </tp>
      <tp t="s">
        <v>#N/A Requesting Data...4230964353</v>
        <stp/>
        <stp>BDP|8622760163721094706</stp>
        <tr r="Z178" s="89"/>
        <tr r="Z179" s="89"/>
        <tr r="AA178" s="89"/>
        <tr r="AA179" s="89"/>
      </tp>
      <tp t="s">
        <v>#N/A Requesting Data...4222901300</v>
        <stp/>
        <stp>BDP|7148106705448380141</stp>
        <tr r="V41" s="338"/>
      </tp>
      <tp t="s">
        <v>#N/A Requesting Data...4254240051</v>
        <stp/>
        <stp>BDP|1566983548630295344</stp>
        <tr r="AA14" s="2"/>
      </tp>
      <tp t="s">
        <v>#N/A Requesting Data...4250721136</v>
        <stp/>
        <stp>BDP|7511636250779138240</stp>
        <tr r="V40" s="338"/>
      </tp>
      <tp t="s">
        <v>#N/A Requesting Data...4220332384</v>
        <stp/>
        <stp>BDP|5576438787561382724</stp>
        <tr r="AJ10" s="338"/>
        <tr r="AJ11" s="338"/>
        <tr r="AJ33" s="338"/>
      </tp>
      <tp t="s">
        <v>#N/A Requesting Data...4232627797</v>
        <stp/>
        <stp>BDP|1371944730256623208</stp>
        <tr r="T137" s="89"/>
      </tp>
      <tp t="s">
        <v>#N/A Requesting Data...4218978419</v>
        <stp/>
        <stp>BDP|2475069015355307957</stp>
        <tr r="V178" s="89"/>
        <tr r="V179" s="89"/>
      </tp>
      <tp t="s">
        <v>#N/A Requesting Data...4142934005</v>
        <stp/>
        <stp>BDP|8553085138774321079</stp>
        <tr r="T123" s="89"/>
      </tp>
      <tp t="s">
        <v>#N/A Requesting Data...4244717277</v>
        <stp/>
        <stp>BDP|9274343827420648768</stp>
        <tr r="G10" s="446"/>
      </tp>
      <tp t="s">
        <v>#N/A Requesting Data...4157675959</v>
        <stp/>
        <stp>BDP|1937197186723171466</stp>
        <tr r="F24" s="2"/>
      </tp>
      <tp t="s">
        <v>#N/A Requesting Data...4264954088</v>
        <stp/>
        <stp>BDP|1136567666448935591</stp>
        <tr r="V37" s="338"/>
      </tp>
      <tp t="s">
        <v>#N/A N/A</v>
        <stp/>
        <stp>BDP|7385638697900780713</stp>
        <tr r="AB41" s="1"/>
      </tp>
      <tp t="s">
        <v>#N/A N/A</v>
        <stp/>
        <stp>BDP|7074458105679712510</stp>
        <tr r="V39" s="89"/>
      </tp>
      <tp t="s">
        <v>#N/A Requesting Data...4250454482</v>
        <stp/>
        <stp>BDP|8715752362304396251</stp>
        <tr r="C233" s="89"/>
      </tp>
      <tp t="s">
        <v>#N/A Requesting Data...4214735503</v>
        <stp/>
        <stp>BDP|9728149439951510598</stp>
        <tr r="F17" s="2"/>
      </tp>
      <tp t="s">
        <v>#N/A Requesting Data...4148977546</v>
        <stp/>
        <stp>BDP|2036830374436602479</stp>
        <tr r="U50" s="338"/>
      </tp>
      <tp t="s">
        <v>#N/A Requesting Data...4259112613</v>
        <stp/>
        <stp>BDP|6317578591636076338</stp>
        <tr r="D138" s="89"/>
      </tp>
      <tp t="s">
        <v>#N/A N/A</v>
        <stp/>
        <stp>BDP|3916828528720515608</stp>
        <tr r="AQ10" s="2"/>
        <tr r="AQ9" s="2"/>
        <tr r="AB14" s="89"/>
        <tr r="AB13" s="89"/>
      </tp>
      <tp t="s">
        <v>#N/A Requesting Data...4254437627</v>
        <stp/>
        <stp>BDP|1370952567270052174</stp>
        <tr r="AJ8" s="338"/>
        <tr r="AJ9" s="338"/>
        <tr r="AH8" s="338"/>
        <tr r="AH9" s="338"/>
      </tp>
      <tp t="s">
        <v>#N/A Requesting Data...4165122168</v>
        <stp/>
        <stp>BDP|9908493190928009374</stp>
        <tr r="S17" s="338"/>
      </tp>
      <tp t="s">
        <v>#N/A N/A</v>
        <stp/>
        <stp>BDH|5157832802383760104</stp>
        <tr r="AR48" s="338"/>
        <tr r="AR49" s="338"/>
      </tp>
      <tp t="s">
        <v>#N/A N/A</v>
        <stp/>
        <stp>BDP|5278263338822851904</stp>
        <tr r="AB108" s="89"/>
      </tp>
      <tp t="s">
        <v>#N/A N/A</v>
        <stp/>
        <stp>BDP|9461243956507277607</stp>
        <tr r="K55" s="1"/>
      </tp>
      <tp t="s">
        <v>#N/A N/A</v>
        <stp/>
        <stp>BDH|5686802661644044033</stp>
        <tr r="AM12" s="338"/>
      </tp>
      <tp t="s">
        <v>#N/A Requesting Data...4170300716</v>
        <stp/>
        <stp>BDP|6160662584120657700</stp>
        <tr r="G12" s="446"/>
      </tp>
      <tp t="s">
        <v>#N/A Requesting Data...4189126034</v>
        <stp/>
        <stp>BDP|2050769895694328758</stp>
        <tr r="S7" s="252"/>
      </tp>
      <tp t="s">
        <v>#N/A Requesting Data...4205138729</v>
        <stp/>
        <stp>BDP|7406613185485631331</stp>
        <tr r="V233" s="89"/>
      </tp>
      <tp t="s">
        <v>#N/A Requesting Data...4214443784</v>
        <stp/>
        <stp>BDP|8759533260432150600</stp>
        <tr r="E56" s="89"/>
      </tp>
      <tp t="s">
        <v>#N/A N/A</v>
        <stp/>
        <stp>BDH|3236741615789242344</stp>
        <tr r="AR45" s="338"/>
      </tp>
      <tp>
        <v>331.02</v>
        <stp/>
        <stp>BDP|6093066913446547993|22</stp>
        <stp>AVGO Equity</stp>
        <stp>LAST_PRICE</stp>
        <tr r="I46" s="1"/>
        <tr r="I47" s="1"/>
      </tp>
      <tp>
        <v>32.9</v>
        <stp/>
        <stp>BDP|14476957307763141828|22</stp>
        <stp>TSM US 06/18/26 C340 Equity</stp>
        <stp>bid</stp>
        <tr r="P24" s="2"/>
      </tp>
      <tp>
        <v>694.65</v>
        <stp/>
        <stp>BDP|11764468863197025710|22</stp>
        <stp>SPY EQUITY</stp>
        <stp>LAST_PRICE</stp>
        <tr r="I4" s="1"/>
      </tp>
      <tp>
        <v>-3.0797287821769714E-2</v>
        <stp/>
        <stp>BDP|12480500075908314127|22</stp>
        <stp>GDX US 09/18/26 C105 Equity</stp>
        <stp>theta_mid_rt</stp>
        <tr r="AN9" s="2"/>
      </tp>
      <tp t="s">
        <v>#N/A N/A</v>
        <stp/>
        <stp>BDH|95192180582320963</stp>
        <tr r="AM9" s="338"/>
        <tr r="AM8" s="338"/>
      </tp>
      <tp t="s">
        <v>#N/A Requesting Data...4176243362</v>
        <stp/>
        <stp>BDP|4983617041569093735</stp>
        <tr r="U10" s="338"/>
      </tp>
      <tp t="s">
        <v>#N/A Requesting Data...4253936122</v>
        <stp/>
        <stp>BDP|9340855016030830837</stp>
        <tr r="D9" s="2"/>
        <tr r="C13" s="89"/>
      </tp>
      <tp t="s">
        <v>#N/A Requesting Data...4253520717</v>
        <stp/>
        <stp>BDP|1158468690973405781</stp>
        <tr r="AK18" s="338"/>
      </tp>
      <tp t="s">
        <v>#N/A N/A</v>
        <stp/>
        <stp>BDP|2898694498747321222</stp>
        <tr r="E3" s="1"/>
        <tr r="K48" s="1"/>
      </tp>
      <tp t="s">
        <v>#N/A Requesting Data...4243215968</v>
        <stp/>
        <stp>BDP|7526986475906100712</stp>
        <tr r="E123" s="89"/>
      </tp>
      <tp t="s">
        <v>#N/A Requesting Data...4219994658</v>
        <stp/>
        <stp>BDP|9064191480710005817</stp>
        <tr r="V16" s="338"/>
        <tr r="V38" s="338"/>
      </tp>
      <tp t="s">
        <v>#N/A Requesting Data...4282619538</v>
        <stp/>
        <stp>BDP|9119371270756838373</stp>
        <tr r="N18" s="252"/>
        <tr r="N18" s="252"/>
      </tp>
      <tp t="s">
        <v>#N/A Requesting Data...4264412537</v>
        <stp/>
        <stp>BDP|6201270299844298101</stp>
        <tr r="O68" s="89"/>
      </tp>
      <tp t="s">
        <v>#N/A N/A</v>
        <stp/>
        <stp>BDP|3279626742169832045</stp>
        <tr r="Q46" s="338"/>
      </tp>
      <tp t="s">
        <v>#N/A Requesting Data...4255091137</v>
        <stp/>
        <stp>BDP|8903788637142927602</stp>
        <tr r="AK30" s="338"/>
      </tp>
      <tp t="s">
        <v>#N/A Requesting Data...4287717134</v>
        <stp/>
        <stp>BDP|9657162411476734792</stp>
        <tr r="P47" s="338"/>
      </tp>
      <tp t="s">
        <v>#N/A N/A</v>
        <stp/>
        <stp>BDH|5420981410611218417</stp>
        <tr r="AP16" s="338"/>
        <tr r="AP40" s="338"/>
        <tr r="AP38" s="338"/>
      </tp>
      <tp t="s">
        <v>#N/A Requesting Data...4194526024</v>
        <stp/>
        <stp>BDP|5133781604559034315</stp>
        <tr r="O76" s="89"/>
      </tp>
      <tp t="s">
        <v>#N/A N/A</v>
        <stp/>
        <stp>BDP|5617698497960107250</stp>
        <tr r="E39" s="89"/>
      </tp>
      <tp t="s">
        <v>#N/A Requesting Data...4264154741</v>
        <stp/>
        <stp>BDP|5803451222809040222</stp>
        <tr r="AD22" s="2"/>
        <tr r="V81" s="89"/>
      </tp>
      <tp t="s">
        <v>#N/A Requesting Data...4269054579</v>
        <stp/>
        <stp>BDP|7099656161528162789</stp>
        <tr r="E20" s="2"/>
      </tp>
      <tp t="s">
        <v>#N/A Requesting Data...4276193092</v>
        <stp/>
        <stp>BDP|9541693808182769518</stp>
        <tr r="D29" s="446"/>
      </tp>
      <tp t="s">
        <v>#N/A Requesting Data...4269242715</v>
        <stp/>
        <stp>BDP|6024155984106720147</stp>
        <tr r="D25" s="2"/>
      </tp>
      <tp t="s">
        <v>#N/A Requesting Data...4172959856</v>
        <stp/>
        <stp>BDP|6772414405089956382</stp>
        <tr r="AA76" s="89"/>
        <tr r="Z76" s="89"/>
      </tp>
      <tp t="s">
        <v>#N/A Requesting Data...4221144890</v>
        <stp/>
        <stp>BDP|6839173327418343594</stp>
        <tr r="F7" s="446"/>
      </tp>
      <tp t="s">
        <v>#N/A Requesting Data...4275438666</v>
        <stp/>
        <stp>BDP|7248503210943138805</stp>
        <tr r="D68" s="89"/>
      </tp>
      <tp t="s">
        <v>#N/A Requesting Data...4211023905</v>
        <stp/>
        <stp>BDP|5668869742685379426</stp>
        <tr r="AA222" s="89"/>
        <tr r="Z222" s="89"/>
      </tp>
      <tp t="s">
        <v>#N/A Requesting Data...4207891761</v>
        <stp/>
        <stp>BDP|5036112677148006353</stp>
        <tr r="L14" s="338"/>
        <tr r="L55" s="338"/>
        <tr r="L55" s="338"/>
        <tr r="H55" s="338"/>
        <tr r="J14" s="338"/>
        <tr r="J55" s="338"/>
      </tp>
      <tp t="s">
        <v>#N/A Requesting Data...4264769063</v>
        <stp/>
        <stp>BDP|5237225300886746967</stp>
        <tr r="Z129" s="89"/>
        <tr r="AA129" s="89"/>
      </tp>
      <tp t="s">
        <v>#N/A N/A</v>
        <stp/>
        <stp>BDP|5098111893277025237</stp>
        <tr r="AI15" s="1"/>
        <tr r="AI16" s="1"/>
        <tr r="AI17" s="1"/>
      </tp>
      <tp t="s">
        <v>#N/A Requesting Data...4292642871</v>
        <stp/>
        <stp>BDP|3746009638598604087</stp>
        <tr r="Z136" s="89"/>
        <tr r="AA136" s="89"/>
      </tp>
      <tp t="s">
        <v>#N/A Requesting Data...4186400243</v>
        <stp/>
        <stp>BDP|7027987678572062314</stp>
        <tr r="AC52" s="1"/>
        <tr r="D36" s="446"/>
      </tp>
      <tp t="s">
        <v>#N/A Requesting Data...4259992299</v>
        <stp/>
        <stp>BDP|2739243071518004749</stp>
        <tr r="E138" s="89"/>
      </tp>
      <tp t="s">
        <v>#N/A N/A</v>
        <stp/>
        <stp>BDP|9400997768466424874</stp>
        <tr r="AV19" s="2"/>
        <tr r="AV20" s="2"/>
        <tr r="AV21" s="2"/>
        <tr r="R195" s="89"/>
        <tr r="R196" s="89"/>
        <tr r="R197" s="89"/>
      </tp>
      <tp t="e">
        <v>#N/A</v>
        <stp/>
        <stp>BDH|7010958550111077231</stp>
        <tr r="W16" s="252"/>
        <tr r="T16" s="252"/>
      </tp>
      <tp t="s">
        <v>#N/A Requesting Data...4282152085</v>
        <stp/>
        <stp>BDP|9450040674965070308</stp>
        <tr r="E25" s="2"/>
      </tp>
      <tp t="e">
        <v>#N/A</v>
        <stp/>
        <stp>BDH|2375673906255636901</stp>
        <tr r="T11" s="252"/>
        <tr r="W11" s="252"/>
      </tp>
      <tp t="s">
        <v>#N/A Requesting Data...4259653553</v>
        <stp/>
        <stp>BDP|7322810857195514754</stp>
        <tr r="T235" s="89"/>
      </tp>
      <tp t="s">
        <v>#N/A N/A</v>
        <stp/>
        <stp>BDH|9936687103765798200</stp>
        <tr r="AS48" s="338"/>
        <tr r="AS49" s="338"/>
      </tp>
      <tp>
        <v>131.84</v>
        <stp/>
        <stp>BDP|1232203967796078876|22</stp>
        <stp>ABNB Equity</stp>
        <stp>LAST PRICE</stp>
        <tr r="I12" s="338"/>
      </tp>
      <tp>
        <v>-8.1732481718063354E-2</v>
        <stp/>
        <stp>BDP|3057300999621918080|22</stp>
        <stp>MSFT US 07/17/26 C500 Equity</stp>
        <stp>theta_mid_rt</stp>
        <tr r="AN18" s="2"/>
      </tp>
      <tp>
        <v>36.29</v>
        <stp/>
        <stp>BDP|2650520762982825878|22</stp>
        <stp>KWEB Equity</stp>
        <stp>LAST_PRICE</stp>
        <tr r="H12" s="252"/>
        <tr r="H12" s="252"/>
      </tp>
      <tp>
        <v>4.0999999999999996</v>
        <stp/>
        <stp>BDP|239012915816136366|22</stp>
        <stp>MRVL US 03/20/26 P75 Equity</stp>
        <stp>bid</stp>
        <tr r="P15" s="2"/>
      </tp>
      <tp t="s">
        <v>#N/A Requesting Data...4244282773</v>
        <stp/>
        <stp>BDP|2441593726955875997</stp>
        <tr r="L20" s="252"/>
        <tr r="L20" s="252"/>
      </tp>
      <tp t="s">
        <v>#N/A Requesting Data...4235436699</v>
        <stp/>
        <stp>BDP|8996292475495824173</stp>
        <tr r="O16" s="252"/>
      </tp>
      <tp t="s">
        <v>#N/A Requesting Data...4256336622</v>
        <stp/>
        <stp>BDP|9788785317823069539</stp>
        <tr r="C145" s="89"/>
      </tp>
      <tp t="s">
        <v>#N/A Requesting Data...4239136107</v>
        <stp/>
        <stp>BDP|3993805876862168756</stp>
        <tr r="U45" s="338"/>
      </tp>
      <tp t="s">
        <v>#N/A N/A</v>
        <stp/>
        <stp>BDP|9989774326150845585</stp>
        <tr r="Q45" s="338"/>
      </tp>
      <tp t="s">
        <v>#N/A Requesting Data...4222625868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Requesting Data...4269827159</v>
        <stp/>
        <stp>BDP|9754162438145550750</stp>
        <tr r="E16" s="2"/>
      </tp>
      <tp t="s">
        <v>#N/A Requesting Data...4209604566</v>
        <stp/>
        <stp>BDP|2257884823860585153</stp>
        <tr r="C144" s="89"/>
      </tp>
      <tp t="s">
        <v>#N/A Requesting Data...4212935211</v>
        <stp/>
        <stp>BDP|2463897743725982291</stp>
        <tr r="F20" s="446"/>
      </tp>
      <tp t="s">
        <v>#N/A Requesting Data...4279017177</v>
        <stp/>
        <stp>BDP|9344561247696579794</stp>
        <tr r="AH15" s="338"/>
        <tr r="AH39" s="338"/>
        <tr r="AI40" s="338"/>
      </tp>
      <tp t="s">
        <v>#N/A N/A</v>
        <stp/>
        <stp>BDH|5884041600699607541</stp>
        <tr r="AN31" s="338"/>
        <tr r="AN32" s="338"/>
      </tp>
      <tp t="s">
        <v>#N/A N/A</v>
        <stp/>
        <stp>BDP|8207706352447744484</stp>
        <tr r="AG42" s="1"/>
      </tp>
      <tp t="s">
        <v>#N/A Requesting Data...4284949746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N/A</v>
        <stp/>
        <stp>BDP|1181258597285733681</stp>
        <tr r="AA49" s="89"/>
        <tr r="Z49" s="89"/>
      </tp>
      <tp t="s">
        <v>#N/A Requesting Data...4231850002</v>
        <stp/>
        <stp>BDP|1654355529258739113</stp>
        <tr r="E153" s="89"/>
        <tr r="E154" s="89"/>
      </tp>
      <tp t="s">
        <v>#N/A Requesting Data...4275139149</v>
        <stp/>
        <stp>BDP|1918834507510755077</stp>
        <tr r="S8" s="338"/>
      </tp>
      <tp t="s">
        <v>#N/A Requesting Data...4268522322</v>
        <stp/>
        <stp>BDP|8969661073822496253</stp>
        <tr r="AD8" s="2"/>
        <tr r="V34" s="89"/>
      </tp>
      <tp t="s">
        <v>#N/A Requesting Data...4294540939</v>
        <stp/>
        <stp>BDP|6610210811028938424</stp>
        <tr r="T7" s="2"/>
        <tr r="O33" s="89"/>
      </tp>
      <tp t="s">
        <v>#N/A Requesting Data...4224830826</v>
        <stp/>
        <stp>BDP|1186915098941854922</stp>
        <tr r="P17" s="338"/>
      </tp>
      <tp t="s">
        <v>#N/A Requesting Data...4270225886</v>
        <stp/>
        <stp>BDP|3411193788855096676</stp>
        <tr r="AA25" s="2"/>
      </tp>
      <tp t="s">
        <v>#N/A N/A</v>
        <stp/>
        <stp>BDP|5430386408488532737</stp>
        <tr r="AB109" s="89"/>
      </tp>
      <tp t="s">
        <v>#N/A N/A</v>
        <stp/>
        <stp>BDP|2463017937370895897</stp>
        <tr r="AB45" s="1"/>
      </tp>
      <tp t="s">
        <v>#N/A Requesting Data...4248189106</v>
        <stp/>
        <stp>BDP|3649600281764069044</stp>
        <tr r="T18" s="2"/>
      </tp>
      <tp t="s">
        <v>#N/A Requesting Data...4250626691</v>
        <stp/>
        <stp>BDP|9316566775525772740</stp>
        <tr r="O186" s="89"/>
      </tp>
      <tp t="s">
        <v>#N/A Requesting Data...4264257916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Data...4278956459</v>
        <stp/>
        <stp>BDP|2048477006706491956</stp>
        <tr r="X33" s="338"/>
      </tp>
      <tp t="s">
        <v>#N/A Requesting Data...4225968076</v>
        <stp/>
        <stp>BDP|6451679981117270604</stp>
        <tr r="AR13" s="2"/>
      </tp>
      <tp t="s">
        <v>#N/A Requesting Data...4258767965</v>
        <stp/>
        <stp>BDP|8193756994096264929</stp>
        <tr r="AA154" s="89"/>
        <tr r="Z153" s="89"/>
        <tr r="Z154" s="89"/>
        <tr r="AA153" s="89"/>
      </tp>
      <tp t="s">
        <v>#N/A Requesting Data...4242692551</v>
        <stp/>
        <stp>BDP|8993500628312049404</stp>
        <tr r="E180" s="89"/>
      </tp>
      <tp t="s">
        <v>#N/A N/A</v>
        <stp/>
        <stp>BDH|4120667714199245302</stp>
        <tr r="AM45" s="338"/>
        <tr r="AR31" s="338"/>
        <tr r="AR47" s="338"/>
        <tr r="AM46" s="338"/>
        <tr r="AM49" s="338"/>
        <tr r="AR41" s="338"/>
        <tr r="AR51" s="338"/>
        <tr r="AR33" s="338"/>
      </tp>
      <tp t="s">
        <v>#N/A N/A</v>
        <stp/>
        <stp>BDH|1567844461462918480</stp>
        <tr r="AM53" s="338"/>
        <tr r="AM54" s="338"/>
        <tr r="AM52" s="338"/>
      </tp>
      <tp t="s">
        <v>#N/A Requesting Data...4287829300</v>
        <stp/>
        <stp>BDP|9762563002360150543</stp>
        <tr r="P9" s="338"/>
      </tp>
      <tp t="s">
        <v>#N/A Requesting Data...4267499159</v>
        <stp/>
        <stp>BDP|1617406885725244177</stp>
        <tr r="Z68" s="89"/>
        <tr r="AA68" s="89"/>
      </tp>
      <tp t="s">
        <v>#N/A Requesting Data...4286837643</v>
        <stp/>
        <stp>BDP|3266268590763139222</stp>
        <tr r="AA10" s="2"/>
        <tr r="T14" s="89"/>
      </tp>
      <tp t="s">
        <v>#N/A Requesting Data...4256685614</v>
        <stp/>
        <stp>BDP|8690033388548820123</stp>
        <tr r="AJ14" s="338"/>
        <tr r="AJ35" s="338"/>
      </tp>
      <tp t="s">
        <v>#N/A N/A</v>
        <stp/>
        <stp>BDP|9326668867470264076</stp>
        <tr r="C203" s="89"/>
      </tp>
      <tp t="s">
        <v>#N/A Requesting Data...4239479934</v>
        <stp/>
        <stp>BDP|8916289435834203428</stp>
        <tr r="O234" s="89"/>
      </tp>
      <tp t="s">
        <v>#N/A Requesting Data...4233137886</v>
        <stp/>
        <stp>BDP|5400835087744406808</stp>
        <tr r="AG29" s="338"/>
      </tp>
      <tp t="s">
        <v>#N/A Requesting Data...4240269329</v>
        <stp/>
        <stp>BDP|2272046972965931995</stp>
        <tr r="V188" s="89"/>
      </tp>
      <tp t="s">
        <v>#N/A Requesting Data...4270163897</v>
        <stp/>
        <stp>BDP|9280288157897826002</stp>
        <tr r="C138" s="89"/>
      </tp>
      <tp t="s">
        <v>#N/A Requesting Data...4248134022</v>
        <stp/>
        <stp>BDP|6141864573737095712</stp>
        <tr r="T178" s="89"/>
        <tr r="T179" s="89"/>
      </tp>
      <tp t="s">
        <v>#N/A Requesting Data...4272588971</v>
        <stp/>
        <stp>BDP|8865039534922905038</stp>
        <tr r="L13" s="252"/>
        <tr r="L13" s="252"/>
      </tp>
      <tp t="s">
        <v>#N/A Requesting Data...4253349510</v>
        <stp/>
        <stp>BDP|5629592674339849762</stp>
        <tr r="E75" s="89"/>
      </tp>
      <tp t="s">
        <v>#N/A N/A</v>
        <stp/>
        <stp>BDP|8508395004434515685</stp>
        <tr r="AB186" s="89"/>
        <tr r="AB187" s="89"/>
        <tr r="AB188" s="89"/>
      </tp>
      <tp>
        <v>77.150000000000006</v>
        <stp/>
        <stp>BDP|14111141271769378618|22</stp>
        <stp>META US 04/17/26 C690 Equity</stp>
        <stp>ask</stp>
        <tr r="Q12" s="2"/>
        <tr r="L169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Data...4271105537</v>
        <stp/>
        <stp>BDP|9888398554546738389</stp>
        <tr r="T76" s="89"/>
      </tp>
      <tp t="s">
        <v>#N/A Requesting Data...4271486104</v>
        <stp/>
        <stp>BDP|5587682882935341464</stp>
        <tr r="E90" s="89"/>
      </tp>
      <tp t="s">
        <v>#N/A Requesting Data...4290343581</v>
        <stp/>
        <stp>BDP|2131282893963648068</stp>
        <tr r="C18" s="2"/>
      </tp>
      <tp t="s">
        <v>#N/A Requesting Data...4272417373</v>
        <stp/>
        <stp>BDP|7230833674217968563</stp>
        <tr r="S36" s="338"/>
      </tp>
      <tp t="s">
        <v>#N/A N/A</v>
        <stp/>
        <stp>BDP|3603190722478324251</stp>
        <tr r="AI52" s="1"/>
      </tp>
      <tp t="s">
        <v>#N/A N/A</v>
        <stp/>
        <stp>BDP|1841797186795773188</stp>
        <tr r="AV11" s="2"/>
      </tp>
      <tp t="s">
        <v>#N/A N/A</v>
        <stp/>
        <stp>BDP|6392840872006556586</stp>
        <tr r="E8" s="1"/>
      </tp>
      <tp t="s">
        <v>#N/A Requesting Data...4273686129</v>
        <stp/>
        <stp>BDP|5263574927779802120</stp>
        <tr r="V45" s="338"/>
      </tp>
      <tp t="s">
        <v>#N/A Requesting Data...4267334075</v>
        <stp/>
        <stp>BDP|2344935394120970850</stp>
        <tr r="C108" s="89"/>
      </tp>
      <tp t="s">
        <v>#N/A Requesting Data...4262824838</v>
        <stp/>
        <stp>BDP|1305485589197843027</stp>
        <tr r="AJ17" s="338"/>
        <tr r="AJ18" s="338"/>
        <tr r="AH17" s="338"/>
        <tr r="AH18" s="338"/>
      </tp>
      <tp t="s">
        <v>#N/A Requesting Data...4277721840</v>
        <stp/>
        <stp>BDP|9065585755010767336</stp>
        <tr r="F17" s="252"/>
      </tp>
      <tp t="e">
        <v>#N/A</v>
        <stp/>
        <stp>BDH|2734053018858031144</stp>
        <tr r="J6" s="252"/>
      </tp>
      <tp t="s">
        <v>#N/A N/A</v>
        <stp/>
        <stp>BDP|3271990383928035073</stp>
        <tr r="K10" s="1"/>
        <tr r="K19" s="1"/>
      </tp>
      <tp t="s">
        <v>#N/A Requesting Data...4267927904</v>
        <stp/>
        <stp>BDP|9855672131672487467</stp>
        <tr r="E7" s="2"/>
      </tp>
      <tp t="s">
        <v>#N/A Requesting Data...4292009175</v>
        <stp/>
        <stp>BDP|7038982583049677518</stp>
        <tr r="T108" s="89"/>
      </tp>
      <tp t="s">
        <v>#N/A Requesting Data...4274483114</v>
        <stp/>
        <stp>BDP|1004337573258431787</stp>
        <tr r="L8" s="338"/>
        <tr r="H8" s="338"/>
        <tr r="L9" s="338"/>
        <tr r="H9" s="338"/>
      </tp>
      <tp t="s">
        <v>#N/A Requesting Data...4268453271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Data...4279240735</v>
        <stp/>
        <stp>BDP|2322958882768230140</stp>
        <tr r="E178" s="89"/>
        <tr r="E179" s="89"/>
      </tp>
      <tp t="s">
        <v>#N/A Requesting Data...4292236846</v>
        <stp/>
        <stp>BDP|2786473499167807238</stp>
        <tr r="AI45" s="338"/>
      </tp>
      <tp t="s">
        <v>#N/A Requesting Data...4291307038</v>
        <stp/>
        <stp>BDP|6785747401219846296</stp>
        <tr r="S41" s="338"/>
      </tp>
      <tp t="s">
        <v>#N/A Requesting Data...4274169147</v>
        <stp/>
        <stp>BDP|9500211458423629792</stp>
        <tr r="V31" s="338"/>
      </tp>
      <tp t="s">
        <v>#N/A Requesting Data...4294327610</v>
        <stp/>
        <stp>BDP|4587517495856843492</stp>
        <tr r="T16" s="338"/>
        <tr r="T38" s="338"/>
      </tp>
      <tp t="s">
        <v>#N/A N/A</v>
        <stp/>
        <stp>BDP|8471485932241814460</stp>
        <tr r="AB234" s="89"/>
      </tp>
      <tp t="s">
        <v>#N/A Requesting Data...4277511501</v>
        <stp/>
        <stp>BDP|2397499487206466291</stp>
        <tr r="O237" s="89"/>
      </tp>
      <tp t="s">
        <v>#N/A N/A</v>
        <stp/>
        <stp>BDP|8582278211013363216</stp>
        <tr r="AI18" s="1"/>
      </tp>
      <tp t="s">
        <v>#N/A Requesting Data...4288044009</v>
        <stp/>
        <stp>BDP|2830595975422333866</stp>
        <tr r="E235" s="89"/>
      </tp>
      <tp t="s">
        <v>#N/A Requesting Data...4283893581</v>
        <stp/>
        <stp>BDP|9965794027725386324</stp>
        <tr r="AB29" s="1"/>
        <tr r="AB30" s="1"/>
        <tr r="AB31" s="1"/>
        <tr r="F26" s="446"/>
      </tp>
      <tp t="s">
        <v>#N/A Requesting Data...4290358298</v>
        <stp/>
        <stp>BDP|1269563299172286598</stp>
        <tr r="V56" s="89"/>
      </tp>
      <tp t="s">
        <v>#N/A N/A</v>
        <stp/>
        <stp>BDP|3885846074322660492</stp>
        <tr r="AG56" s="1"/>
      </tp>
      <tp t="s">
        <v>#N/A Requesting Data...4281336867</v>
        <stp/>
        <stp>BDP|1001769831296786978</stp>
        <tr r="AI45" s="338"/>
        <tr r="AK45" s="338"/>
      </tp>
      <tp t="s">
        <v>#N/A Requesting Data...4291104366</v>
        <stp/>
        <stp>BDP|2779597998256859293</stp>
        <tr r="E188" s="89"/>
      </tp>
      <tp t="s">
        <v>#N/A Requesting Data...4290357756</v>
        <stp/>
        <stp>BDP|3394479430858909693</stp>
        <tr r="C96" s="89"/>
      </tp>
      <tp t="s">
        <v>#N/A Requesting Data...4287323302</v>
        <stp/>
        <stp>BDP|4524000010539321624</stp>
        <tr r="V129" s="89"/>
      </tp>
      <tp t="s">
        <v>#N/A N/A</v>
        <stp/>
        <stp>BDP|2140911238616808459</stp>
        <tr r="AQ12" s="2"/>
        <tr r="AQ13" s="2"/>
        <tr r="AB171" s="89"/>
        <tr r="AB27" s="89"/>
        <tr r="AB169" s="89"/>
        <tr r="AB7" s="89"/>
        <tr r="AB26" s="89"/>
        <tr r="AB170" s="89"/>
        <tr r="AB180" s="89"/>
        <tr r="AB233" s="89"/>
        <tr r="AB8" s="89"/>
      </tp>
      <tp t="s">
        <v>#N/A Requesting Data...4288387063</v>
        <stp/>
        <stp>BDP|3332604227028093513</stp>
        <tr r="S13" s="338"/>
      </tp>
      <tp t="s">
        <v>#N/A Requesting Data...4291553630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Data...4292998683</v>
        <stp/>
        <stp>BDP|3948059027399786291</stp>
        <tr r="C102" s="89"/>
      </tp>
      <tp t="s">
        <v>USD</v>
        <stp/>
        <stp>BDP|762828546256908007|22</stp>
        <stp>QQQ US 01/29/26 P628 Equity</stp>
        <stp>QUOTED_CURRENCY_REALTIME</stp>
        <tr r="G22" s="2"/>
        <tr r="F81" s="89"/>
      </tp>
      <tp t="s">
        <v>#N/A Real Time</v>
        <stp/>
        <stp>BDP|11422101846013417478|22</stp>
        <stp>SPXW US 12/31/25 C6950 Index</stp>
        <stp>bid</stp>
        <tr r="K160" s="89"/>
      </tp>
      <tp>
        <v>33.950000000000003</v>
        <stp/>
        <stp>BDP|12794319931511644694|22</stp>
        <stp>TSM US 06/18/26 C340 Equity</stp>
        <stp>mid</stp>
        <tr r="L24" s="2"/>
      </tp>
      <tp t="s">
        <v>#N/A Requesting Data...3993189852</v>
        <stp/>
        <stp>BDP|4960882964263664299</stp>
        <tr r="C22" s="2"/>
      </tp>
      <tp t="s">
        <v>#N/A Requesting Data...1115279046</v>
        <stp/>
        <stp>BDP|6535458296649412984</stp>
        <tr r="T188" s="89"/>
      </tp>
      <tp t="s">
        <v>#N/A Requesting Data...1771903188</v>
        <stp/>
        <stp>BDP|8888687617413548780</stp>
        <tr r="L54" s="338"/>
        <tr r="J54" s="338"/>
      </tp>
      <tp t="s">
        <v>#N/A N/A</v>
        <stp/>
        <stp>BDH|6634819529877007047</stp>
        <tr r="AR54" s="338"/>
      </tp>
      <tp t="s">
        <v>#N/A Requesting Data...3191767512</v>
        <stp/>
        <stp>BDP|2329729297960563787</stp>
        <tr r="U42" s="338"/>
      </tp>
      <tp t="s">
        <v>#N/A Requesting Data...970270271</v>
        <stp/>
        <stp>BDP|5055978459833341163</stp>
        <tr r="S40" s="338"/>
      </tp>
      <tp t="s">
        <v>#N/A Requesting Data...1914081760</v>
        <stp/>
        <stp>BDP|9916250733583306071</stp>
        <tr r="V95" s="89"/>
      </tp>
      <tp t="s">
        <v>#N/A Requesting Data...580756078</v>
        <stp/>
        <stp>BDP|4721614875256887832</stp>
        <tr r="AR14" s="2"/>
      </tp>
      <tp t="s">
        <v>#N/A Requesting Data...1241539226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Data...542396373</v>
        <stp/>
        <stp>BDP|4926041887351657654</stp>
        <tr r="D137" s="89"/>
      </tp>
      <tp t="s">
        <v>#N/A N/A</v>
        <stp/>
        <stp>BDP|9866940913692641877</stp>
        <tr r="AF27" s="1"/>
        <tr r="AF28" s="1"/>
      </tp>
      <tp t="s">
        <v>#N/A Requesting Data...814582521</v>
        <stp/>
        <stp>BDP|8737954890503872047</stp>
        <tr r="D33" s="446"/>
      </tp>
      <tp t="s">
        <v>#N/A Requesting Data...3603412002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Data...1560114900</v>
        <stp/>
        <stp>BDP|4440081808298299792</stp>
        <tr r="AK42" s="338"/>
        <tr r="AI42" s="338"/>
      </tp>
      <tp t="s">
        <v>#N/A Requesting Data...2656453429</v>
        <stp/>
        <stp>BDP|2501985451390717549</stp>
        <tr r="AA18" s="2"/>
      </tp>
      <tp t="s">
        <v>#N/A N/A</v>
        <stp/>
        <stp>BDP|9749959446859954620</stp>
        <tr r="V203" s="89"/>
      </tp>
      <tp t="s">
        <v>#N/A Requesting Data...4104073850</v>
        <stp/>
        <stp>BDP|6735248014207248991</stp>
        <tr r="T49" s="338"/>
      </tp>
      <tp t="s">
        <v>#N/A Requesting Data...916822291</v>
        <stp/>
        <stp>BDP|2139028585213834226</stp>
        <tr r="Z123" s="89"/>
        <tr r="AA123" s="89"/>
      </tp>
      <tp t="s">
        <v>#N/A N/A</v>
        <stp/>
        <stp>BDP|3963367391853480160</stp>
        <tr r="V204" s="89"/>
      </tp>
      <tp t="s">
        <v>#N/A Requesting Data...2906081270</v>
        <stp/>
        <stp>BDP|3078997759665813146</stp>
        <tr r="E8" s="89"/>
      </tp>
      <tp t="s">
        <v>#N/A Requesting Data...3296277206</v>
        <stp/>
        <stp>BDP|8786342763721865752</stp>
        <tr r="P31" s="338"/>
      </tp>
      <tp t="s">
        <v>#N/A Requesting Data...1578400540</v>
        <stp/>
        <stp>BDP|7001248851652159998</stp>
        <tr r="T34" s="338"/>
      </tp>
      <tp t="s">
        <v>#N/A N/A</v>
        <stp/>
        <stp>BDP|1914533822549360466</stp>
        <tr r="K14" s="1"/>
      </tp>
      <tp t="s">
        <v>#N/A Requesting Data...2832295997</v>
        <stp/>
        <stp>BDP|6408176180342608679</stp>
        <tr r="F13" s="2"/>
      </tp>
      <tp t="s">
        <v>#N/A N/A</v>
        <stp/>
        <stp>BDH|8209735165721343355</stp>
        <tr r="AP53" s="338"/>
        <tr r="AP52" s="338"/>
        <tr r="AP54" s="338"/>
      </tp>
      <tp t="s">
        <v>#N/A Requesting Data...208315707</v>
        <stp/>
        <stp>BDP|9762687753917905669</stp>
        <tr r="T12" s="338"/>
      </tp>
      <tp t="s">
        <v>#N/A N/A</v>
        <stp/>
        <stp>BDP|2220703499371845606</stp>
        <tr r="R237" s="89"/>
        <tr r="R34" s="89"/>
        <tr r="AV6" s="2"/>
        <tr r="R33" s="89"/>
        <tr r="AV8" s="2"/>
        <tr r="AV7" s="2"/>
        <tr r="R39" s="89"/>
        <tr r="R40" s="89"/>
      </tp>
      <tp t="s">
        <v>#N/A Requesting Data...4219079424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N/A</v>
        <stp/>
        <stp>BDH|9614911011579011352</stp>
        <tr r="AN52" s="338"/>
        <tr r="AN54" s="338"/>
        <tr r="AN53" s="338"/>
      </tp>
      <tp t="s">
        <v>#N/A Requesting Data...3687389794</v>
        <stp/>
        <stp>BDP|6241611932378988086</stp>
        <tr r="G42" s="446"/>
      </tp>
      <tp t="s">
        <v>#N/A Requesting Data...1762186570</v>
        <stp/>
        <stp>BDP|6296263756973290900</stp>
        <tr r="F19" s="2"/>
      </tp>
      <tp t="s">
        <v>#N/A Requesting Data...1693368773</v>
        <stp/>
        <stp>BDP|7985659615982817917</stp>
        <tr r="V36" s="338"/>
      </tp>
      <tp t="s">
        <v>#N/A Requesting Data...407470819</v>
        <stp/>
        <stp>BDP|3686904656286506250</stp>
        <tr r="O69" s="89"/>
      </tp>
      <tp t="s">
        <v>#N/A Requesting Data...2516831747</v>
        <stp/>
        <stp>BDP|2754061954929434510</stp>
        <tr r="D62" s="89"/>
      </tp>
      <tp t="s">
        <v>#N/A Requesting Data...2376699835</v>
        <stp/>
        <stp>BDP|8279449610135797315</stp>
        <tr r="D26" s="89"/>
        <tr r="D7" s="89"/>
      </tp>
      <tp t="s">
        <v>#N/A Requesting Data...1633774572</v>
        <stp/>
        <stp>BDP|8637443246353684034</stp>
        <tr r="T51" s="338"/>
      </tp>
      <tp t="s">
        <v>#N/A Requesting Data...3521941438</v>
        <stp/>
        <stp>BDP|7254106586446704322</stp>
        <tr r="Z55" s="89"/>
        <tr r="AA55" s="89"/>
      </tp>
      <tp t="s">
        <v>#N/A N/A</v>
        <stp/>
        <stp>BDP|8959047049495095258</stp>
        <tr r="R203" s="89"/>
        <tr r="R204" s="89"/>
        <tr r="R205" s="89"/>
        <tr r="R211" s="89"/>
        <tr r="R212" s="89"/>
        <tr r="R235" s="89"/>
        <tr r="AV18" s="2"/>
        <tr r="R213" s="89"/>
      </tp>
      <tp t="s">
        <v>#N/A Requesting Data...538629425</v>
        <stp/>
        <stp>BDP|5187006175490775958</stp>
        <tr r="N7" s="252"/>
        <tr r="N7" s="252"/>
      </tp>
      <tp t="s">
        <v>#N/A Requesting Data...2073112833</v>
        <stp/>
        <stp>BDP|2612160096671704068</stp>
        <tr r="D31" s="446"/>
      </tp>
      <tp t="s">
        <v>#N/A N/A</v>
        <stp/>
        <stp>BDP|7517755008088933364</stp>
        <tr r="AG15" s="1"/>
        <tr r="AG16" s="1"/>
        <tr r="AG17" s="1"/>
      </tp>
      <tp t="s">
        <v>#N/A Requesting Data...708331992</v>
        <stp/>
        <stp>BDP|4718173344583097938</stp>
        <tr r="F16" s="252"/>
      </tp>
      <tp t="s">
        <v>#N/A Requesting Data...1763998687</v>
        <stp/>
        <stp>BDP|2268545091931148418</stp>
        <tr r="T19" s="2"/>
        <tr r="O195" s="89"/>
      </tp>
      <tp t="s">
        <v>#N/A Requesting Data...2628269323</v>
        <stp/>
        <stp>BDP|9318183699928316256</stp>
        <tr r="D43" s="446"/>
      </tp>
      <tp t="s">
        <v>#N/A Requesting Data...65488973</v>
        <stp/>
        <stp>BDP|2397389796744963701</stp>
        <tr r="AK42" s="338"/>
      </tp>
      <tp t="s">
        <v>#N/A Requesting Data...3686169948</v>
        <stp/>
        <stp>BDP|2130704157473529871</stp>
        <tr r="C17" s="2"/>
      </tp>
      <tp t="s">
        <v>#N/A Requesting Data...2458599537</v>
        <stp/>
        <stp>BDP|9352295318971282043</stp>
        <tr r="T102" s="89"/>
      </tp>
      <tp t="s">
        <v>#N/A Requesting Data...2350919062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Data...1335521322</v>
        <stp/>
        <stp>BDP|4946496227111068830</stp>
        <tr r="T101" s="89"/>
      </tp>
      <tp t="s">
        <v>#N/A Requesting Data...3836510387</v>
        <stp/>
        <stp>BDP|4411149358442996952</stp>
        <tr r="O11" s="252"/>
      </tp>
      <tp t="s">
        <v>#N/A Requesting Data...247916177</v>
        <stp/>
        <stp>BDP|8633363721614159645</stp>
        <tr r="G8" s="446"/>
      </tp>
      <tp>
        <v>25.25</v>
        <stp/>
        <stp>BDP|16895049281307982456|22</stp>
        <stp>AVGO US 06/18/26 P300 Equity</stp>
        <stp>ask</stp>
        <tr r="L224" s="89"/>
      </tp>
      <tp>
        <v>109.7</v>
        <stp/>
        <stp>BDP|18281957532617946909|22</stp>
        <stp>META US 07/17/26 C680 Equity</stp>
        <stp>ask</stp>
        <tr r="L233" s="89"/>
      </tp>
      <tp>
        <v>81.305000000000007</v>
        <stp/>
        <stp>BDP|2279876738225149449|22</stp>
        <stp>MRVL US Equity</stp>
        <stp>LAST_PRICE</stp>
        <tr r="Z14" s="2"/>
        <tr r="Z16" s="2"/>
        <tr r="Z17" s="2"/>
        <tr r="S62" s="89"/>
        <tr r="S63" s="89"/>
        <tr r="Z15" s="2"/>
      </tp>
      <tp>
        <v>-0.42019125819206238</v>
        <stp/>
        <stp>BDP|1393123865485650562|22</stp>
        <stp>MRVL US 03/20/26 P80 Equity</stp>
        <stp>DELTA_MID_RT</stp>
        <tr r="AF16" s="2"/>
        <tr r="W62" s="89"/>
      </tp>
      <tp t="s">
        <v>#N/A N/A</v>
        <stp/>
        <stp>BDP|9669031297401111598</stp>
        <tr r="AG41" s="1"/>
      </tp>
      <tp t="s">
        <v>#N/A Requesting Data...1029177777</v>
        <stp/>
        <stp>BDP|6456595137834456041</stp>
        <tr r="E13" s="2"/>
      </tp>
      <tp t="s">
        <v>#N/A N/A</v>
        <stp/>
        <stp>BDP|3594302228790236653</stp>
        <tr r="Q8" s="338"/>
      </tp>
      <tp t="s">
        <v>#N/A Requesting Data...3726137700</v>
        <stp/>
        <stp>BDP|5693044851924916002</stp>
        <tr r="T82" s="89"/>
      </tp>
      <tp t="s">
        <v>#N/A N/A</v>
        <stp/>
        <stp>BDH|8433304745759359289</stp>
        <tr r="AN16" s="338"/>
        <tr r="AN40" s="338"/>
        <tr r="AN38" s="338"/>
      </tp>
      <tp t="s">
        <v>#N/A N/A</v>
        <stp/>
        <stp>BDP|4283940605309327082</stp>
        <tr r="AV4" s="2"/>
      </tp>
      <tp t="s">
        <v>#N/A Requesting Data...3896250975</v>
        <stp/>
        <stp>BDP|7846163779046776380</stp>
        <tr r="V8" s="338"/>
      </tp>
      <tp t="s">
        <v>#N/A Requesting Data...3518605229</v>
        <stp/>
        <stp>BDP|3958804124584137945</stp>
        <tr r="T20" s="2"/>
        <tr r="O196" s="89"/>
      </tp>
      <tp t="s">
        <v>#N/A Requesting Data...1629838907</v>
        <stp/>
        <stp>BDP|7798787343353582310</stp>
        <tr r="O233" s="89"/>
      </tp>
      <tp t="s">
        <v>#N/A Requesting Data...1478102811</v>
        <stp/>
        <stp>BDP|1272798819383873033</stp>
        <tr r="D11" s="2"/>
      </tp>
      <tp t="s">
        <v>#N/A Requesting Data...2987301603</v>
        <stp/>
        <stp>BDP|4966659791349467604</stp>
        <tr r="AG45" s="338"/>
      </tp>
      <tp t="s">
        <v>#N/A Requesting Data...4169880234</v>
        <stp/>
        <stp>BDP|2906346500884364176</stp>
        <tr r="AJ31" s="338"/>
        <tr r="AJ32" s="338"/>
      </tp>
      <tp t="s">
        <v>#N/A Requesting Data...1618369502</v>
        <stp/>
        <stp>BDP|3419727698730200952</stp>
        <tr r="AR4" s="2"/>
      </tp>
      <tp t="s">
        <v>#N/A Requesting Data...850628990</v>
        <stp/>
        <stp>BDP|6472525957406128491</stp>
        <tr r="AA63" s="89"/>
        <tr r="Z63" s="89"/>
      </tp>
      <tp t="s">
        <v>#N/A N/A</v>
        <stp/>
        <stp>BDP|5062597105080127446</stp>
        <tr r="E13" s="89"/>
      </tp>
      <tp t="s">
        <v>#N/A N/A</v>
        <stp/>
        <stp>BDH|8490991964050503356</stp>
        <tr r="AU13" s="338"/>
      </tp>
      <tp t="s">
        <v>#N/A N/A</v>
        <stp/>
        <stp>BDP|4006741964780702190</stp>
        <tr r="AA14" s="89"/>
        <tr r="Z14" s="89"/>
      </tp>
      <tp t="s">
        <v>#N/A N/A</v>
        <stp/>
        <stp>BDP|1105691956700330633</stp>
        <tr r="AG46" s="1"/>
        <tr r="AG47" s="1"/>
      </tp>
      <tp t="s">
        <v>#N/A Requesting Data...1534544954</v>
        <stp/>
        <stp>BDP|7494523709231730773</stp>
        <tr r="F31" s="446"/>
      </tp>
      <tp t="s">
        <v>#N/A N/A</v>
        <stp/>
        <stp>BDP|2743037479982482367</stp>
        <tr r="AF54" s="1"/>
      </tp>
      <tp t="s">
        <v>#N/A Requesting Data...283672061</v>
        <stp/>
        <stp>BDP|8549451961438864644</stp>
        <tr r="AJ55" s="338"/>
        <tr r="AK14" s="338"/>
        <tr r="AK55" s="338"/>
      </tp>
      <tp t="s">
        <v>#N/A Requesting Data...3378185514</v>
        <stp/>
        <stp>BDP|9945382899790540700</stp>
        <tr r="Z138" s="89"/>
        <tr r="AA138" s="89"/>
      </tp>
      <tp t="s">
        <v>#N/A Requesting Data...3693375746</v>
        <stp/>
        <stp>BDP|1051127841111916176</stp>
        <tr r="P16" s="252"/>
      </tp>
      <tp t="s">
        <v>#N/A Requesting Data...3869010107</v>
        <stp/>
        <stp>BDP|2199559048282875569</stp>
        <tr r="AI18" s="338"/>
      </tp>
      <tp t="s">
        <v>#N/A Requesting Data...1986767528</v>
        <stp/>
        <stp>BDP|4374742715501301730</stp>
        <tr r="N16" s="252"/>
        <tr r="N16" s="252"/>
      </tp>
      <tp t="s">
        <v>#N/A Requesting Data...3746541705</v>
        <stp/>
        <stp>BDP|9063402768959888626</stp>
        <tr r="AA20" s="2"/>
        <tr r="T196" s="89"/>
      </tp>
      <tp t="s">
        <v>#N/A Requesting Data...2223790020</v>
        <stp/>
        <stp>BDP|3004206956470481008</stp>
        <tr r="AA20" s="89"/>
        <tr r="Z20" s="89"/>
      </tp>
      <tp t="s">
        <v>#N/A Requesting Data...2178185223</v>
        <stp/>
        <stp>BDP|8764335623844685936</stp>
        <tr r="T225" s="89"/>
      </tp>
      <tp t="s">
        <v>#N/A Requesting Data...3930940114</v>
        <stp/>
        <stp>BDP|1615244074723761330</stp>
        <tr r="T36" s="338"/>
      </tp>
      <tp t="s">
        <v>#N/A N/A</v>
        <stp/>
        <stp>BDP|3018137626915335152</stp>
        <tr r="O50" s="89"/>
      </tp>
      <tp t="s">
        <v>#N/A Requesting Data...4199575449</v>
        <stp/>
        <stp>BDP|8326860540126523632</stp>
        <tr r="E129" s="89"/>
      </tp>
      <tp t="s">
        <v>#N/A Requesting Data...3036487152</v>
        <stp/>
        <stp>BDP|5790626169004593599</stp>
        <tr r="F40" s="446"/>
      </tp>
      <tp t="s">
        <v>#N/A Requesting Data...1833699227</v>
        <stp/>
        <stp>BDP|9726257024364768910</stp>
        <tr r="O19" s="252"/>
      </tp>
      <tp t="s">
        <v>#N/A Requesting Data...3757835809</v>
        <stp/>
        <stp>BDP|3121965407037939996</stp>
        <tr r="T10" s="338"/>
      </tp>
      <tp t="s">
        <v>#N/A N/A</v>
        <stp/>
        <stp>BDP|7599424229276827376</stp>
        <tr r="AF19" s="1"/>
        <tr r="AF20" s="1"/>
        <tr r="AF21" s="1"/>
        <tr r="AF22" s="1"/>
      </tp>
      <tp t="s">
        <v>#N/A Requesting Data...1114712392</v>
        <stp/>
        <stp>BDP|7467390538945749637</stp>
        <tr r="AD10" s="2"/>
        <tr r="V14" s="89"/>
      </tp>
      <tp t="s">
        <v>#N/A N/A</v>
        <stp/>
        <stp>BDP|6940186872470420463</stp>
        <tr r="AI50" s="1"/>
        <tr r="AI51" s="1"/>
      </tp>
      <tp t="s">
        <v>#N/A Requesting Data...1847140067</v>
        <stp/>
        <stp>BDP|2781273192095754848</stp>
        <tr r="P37" s="338"/>
      </tp>
      <tp t="s">
        <v>#N/A N/A</v>
        <stp/>
        <stp>BDH|1766785951781680695</stp>
        <tr r="AM15" s="338"/>
        <tr r="AR40" s="338"/>
        <tr r="AM39" s="338"/>
      </tp>
      <tp t="s">
        <v>#N/A Requesting Data...1272232973</v>
        <stp/>
        <stp>BDP|5028796441871860363</stp>
        <tr r="D5" s="2"/>
        <tr r="C223" s="89"/>
      </tp>
      <tp t="s">
        <v>#N/A Requesting Data...3763896649</v>
        <stp/>
        <stp>BDP|5440482774885960773</stp>
        <tr r="AH36" s="338"/>
      </tp>
      <tp t="s">
        <v>#N/A Requesting Data...3781771126</v>
        <stp/>
        <stp>BDP|8903483087139985997</stp>
        <tr r="S8" s="252"/>
      </tp>
      <tp t="s">
        <v>#N/A Requesting Data...3387445518</v>
        <stp/>
        <stp>BDP|1490932935796586918</stp>
        <tr r="T19" s="89"/>
      </tp>
      <tp t="s">
        <v>#N/A Requesting Data...1757331721</v>
        <stp/>
        <stp>BDP|2357040805921494704</stp>
        <tr r="AJ10" s="338"/>
        <tr r="AJ11" s="338"/>
        <tr r="AJ33" s="338"/>
      </tp>
      <tp t="s">
        <v>#N/A Requesting Data...2912077052</v>
        <stp/>
        <stp>BDP|6846041857277848049</stp>
        <tr r="T236" s="89"/>
      </tp>
      <tp t="s">
        <v>#N/A N/A</v>
        <stp/>
        <stp>BDP|7276433225395264017</stp>
        <tr r="C49" s="89"/>
      </tp>
      <tp t="s">
        <v>#N/A Requesting Data...1714680842</v>
        <stp/>
        <stp>BDP|2785695221570324283</stp>
        <tr r="O188" s="89"/>
      </tp>
      <tp t="s">
        <v>#N/A Requesting Data...882265586</v>
        <stp/>
        <stp>BDP|1913639431982971268</stp>
        <tr r="V122" s="89"/>
      </tp>
      <tp t="s">
        <v>#N/A Requesting Data...3121151409</v>
        <stp/>
        <stp>BDP|8103428543709687520</stp>
        <tr r="G5" s="446"/>
        <tr r="G6" s="446"/>
      </tp>
      <tp t="s">
        <v>#N/A Requesting Data...529397273</v>
        <stp/>
        <stp>BDP|5430094244624859152</stp>
        <tr r="D34" s="446"/>
      </tp>
      <tp t="s">
        <v>#N/A Requesting Data...4281825383</v>
        <stp/>
        <stp>BDP|5284294530751812164</stp>
        <tr r="AI12" s="338"/>
      </tp>
      <tp t="s">
        <v>#N/A Requesting Data...3733724428</v>
        <stp/>
        <stp>BDP|2593154816901666757</stp>
        <tr r="N13" s="252"/>
        <tr r="N13" s="252"/>
      </tp>
      <tp t="s">
        <v>#N/A Requesting Data...2502628263</v>
        <stp/>
        <stp>BDP|9638513960499697749</stp>
        <tr r="T46" s="338"/>
      </tp>
      <tp>
        <v>47.5</v>
        <stp/>
        <stp>BDP|16085343363608571045|22</stp>
        <stp>LITE US 03/20/26 C420 Equity</stp>
        <stp>ask</stp>
        <tr r="Q11" s="2"/>
      </tp>
      <tp>
        <v>6.35</v>
        <stp/>
        <stp>BDP|10736428624520496613|22</stp>
        <stp>MSFT US 02/20/26 P420 Equity</stp>
        <stp>bid</stp>
        <tr r="K212" s="89"/>
      </tp>
      <tp>
        <v>740.35</v>
        <stp/>
        <stp>BDP|3807768373389777345|22</stp>
        <stp>META Equity</stp>
        <stp>LAST_PRICE</stp>
        <tr r="I29" s="1"/>
        <tr r="I30" s="1"/>
        <tr r="I31" s="1"/>
      </tp>
      <tp>
        <v>99.36</v>
        <stp/>
        <stp>BDP|7985005465703992696|22</stp>
        <stp>AKAM Equity</stp>
        <stp>LAST_PRICE</stp>
        <tr r="I43" s="1"/>
        <tr r="I44" s="1"/>
      </tp>
      <tp>
        <v>107.51</v>
        <stp/>
        <stp>BDP|11512636158714040679|22</stp>
        <stp>GDX EQUITY</stp>
        <stp>LAST_PRICE</stp>
        <tr r="I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#N/A Requesting Data...3663934475</v>
        <stp/>
        <stp>BDP|9005897765572380053</stp>
        <tr r="E17" s="2"/>
      </tp>
      <tp t="s">
        <v>#N/A N/A</v>
        <stp/>
        <stp>BDP|1163242074811817033</stp>
        <tr r="R234" s="89"/>
      </tp>
      <tp t="s">
        <v>#N/A Requesting Data...704489039</v>
        <stp/>
        <stp>BDP|2926137671092226333</stp>
        <tr r="P14" s="252"/>
      </tp>
      <tp t="s">
        <v>#N/A Requesting Data...236059693</v>
        <stp/>
        <stp>BDP|4780459414043985746</stp>
        <tr r="S33" s="338"/>
      </tp>
      <tp t="s">
        <v>#N/A Requesting Data...1977176242</v>
        <stp/>
        <stp>BDP|3715220583989463590</stp>
        <tr r="AB32" s="1"/>
        <tr r="AB33" s="1"/>
        <tr r="AB34" s="1"/>
        <tr r="AB35" s="1"/>
        <tr r="F30" s="446"/>
      </tp>
      <tp t="s">
        <v>#N/A Requesting Data...325360514</v>
        <stp/>
        <stp>BDP|3983744460122577503</stp>
        <tr r="AF46" s="1"/>
        <tr r="AF47" s="1"/>
        <tr r="AF36" s="338"/>
      </tp>
      <tp t="s">
        <v>#N/A N/A</v>
        <stp/>
        <stp>BDP|6405585284989930790</stp>
        <tr r="C23" s="2"/>
      </tp>
      <tp t="s">
        <v>#N/A Requesting Data...1121876877</v>
        <stp/>
        <stp>BDP|5308081551174601141</stp>
        <tr r="U11" s="338"/>
      </tp>
      <tp t="s">
        <v>#N/A N/A</v>
        <stp/>
        <stp>BDP|3051431949301095732</stp>
        <tr r="AB54" s="1"/>
      </tp>
      <tp t="s">
        <v>#N/A Requesting Data...2470255504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Data...3168314320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Data...3823840065</v>
        <stp/>
        <stp>BDP|2530200609104129121</stp>
        <tr r="AH44" s="338"/>
        <tr r="AH47" s="338"/>
        <tr r="AH48" s="338"/>
        <tr r="AI10" s="338"/>
        <tr r="AI53" s="338"/>
      </tp>
      <tp t="s">
        <v>#N/A N/A</v>
        <stp/>
        <stp>BDH|4679787320323529740</stp>
        <tr r="AM29" s="338"/>
        <tr r="AM30" s="338"/>
      </tp>
      <tp t="s">
        <v>#N/A N/A</v>
        <stp/>
        <stp>BDP|2062875789930127739</stp>
        <tr r="AA203" s="89"/>
        <tr r="Z203" s="89"/>
      </tp>
      <tp t="s">
        <v>#N/A Requesting Data...3587558755</v>
        <stp/>
        <stp>BDP|8626964800726479283</stp>
        <tr r="T17" s="338"/>
      </tp>
      <tp t="s">
        <v>#N/A N/A</v>
        <stp/>
        <stp>BDH|5939120502802534309</stp>
        <tr r="AN37" s="338"/>
      </tp>
      <tp t="s">
        <v>#N/A N/A</v>
        <stp/>
        <stp>BDH|2179476579196074233</stp>
        <tr r="AN48" s="338"/>
        <tr r="AS10" s="338"/>
        <tr r="AS53" s="338"/>
        <tr r="AN47" s="338"/>
        <tr r="AN44" s="338"/>
      </tp>
      <tp t="s">
        <v>#N/A Requesting Data...3314813567</v>
        <stp/>
        <stp>BDP|8161895482119328448</stp>
        <tr r="D19" s="2"/>
        <tr r="C195" s="89"/>
      </tp>
      <tp t="s">
        <v>#N/A Requesting Data...1816708864</v>
        <stp/>
        <stp>BDP|6453493511390892665</stp>
        <tr r="T31" s="338"/>
      </tp>
      <tp t="s">
        <v>#N/A Requesting Data...3091855055</v>
        <stp/>
        <stp>BDP|4700048399888163090</stp>
        <tr r="E8" s="2"/>
      </tp>
      <tp t="s">
        <v>#N/A Requesting Data...1236011730</v>
        <stp/>
        <stp>BDP|1933423945534840047</stp>
        <tr r="AK9" s="338"/>
      </tp>
      <tp t="s">
        <v>#N/A N/A</v>
        <stp/>
        <stp>BDH|8335244282461353647</stp>
        <tr r="AU17" s="338"/>
        <tr r="AU15" s="338"/>
        <tr r="AU39" s="338"/>
        <tr r="AU52" s="338"/>
        <tr r="AU44" s="338"/>
        <tr r="AU38" s="338"/>
        <tr r="AU16" s="338"/>
      </tp>
      <tp t="s">
        <v>#N/A Requesting Data...1971626523</v>
        <stp/>
        <stp>BDP|4087771710803757431</stp>
        <tr r="X54" s="338"/>
      </tp>
      <tp t="s">
        <v>#N/A Requesting Data...1547088685</v>
        <stp/>
        <stp>BDP|7419327903193598239</stp>
        <tr r="AJ15" s="338"/>
        <tr r="AJ39" s="338"/>
        <tr r="AK40" s="338"/>
      </tp>
      <tp t="s">
        <v>#N/A Requesting Data...3452010665</v>
        <stp/>
        <stp>BDP|5133852355808281539</stp>
        <tr r="AD17" s="2"/>
        <tr r="V63" s="89"/>
      </tp>
      <tp t="s">
        <v>#N/A Requesting Data...2106986173</v>
        <stp/>
        <stp>BDP|4569291905061840219</stp>
        <tr r="C9" s="2"/>
      </tp>
      <tp t="s">
        <v>#N/A N/A</v>
        <stp/>
        <stp>BDP|9525835047501594141</stp>
        <tr r="AG23" s="1"/>
        <tr r="AG24" s="1"/>
      </tp>
      <tp t="s">
        <v>#N/A N/A</v>
        <stp/>
        <stp>BDP|9212642566604321834</stp>
        <tr r="R89" s="89"/>
        <tr r="R90" s="89"/>
      </tp>
      <tp t="s">
        <v>#N/A N/A</v>
        <stp/>
        <stp>BDP|7337309723996972590</stp>
        <tr r="K57" s="1"/>
      </tp>
      <tp t="s">
        <v>#N/A Requesting Data...2021437089</v>
        <stp/>
        <stp>BDP|1252039566197775513</stp>
        <tr r="AK54" s="338"/>
      </tp>
      <tp t="s">
        <v>#N/A N/A</v>
        <stp/>
        <stp>BDP|6695752411146080338</stp>
        <tr r="AG38" s="1"/>
        <tr r="AG39" s="1"/>
        <tr r="AG40" s="1"/>
      </tp>
      <tp t="s">
        <v>#N/A N/A</v>
        <stp/>
        <stp>BDP|1795592229337573435</stp>
        <tr r="C212" s="89"/>
      </tp>
      <tp t="s">
        <v>#N/A Requesting Data...4290783092</v>
        <stp/>
        <stp>BDP|9107847052373360258</stp>
        <tr r="C12" s="2"/>
      </tp>
      <tp t="s">
        <v>#N/A Requesting Data...2717117650</v>
        <stp/>
        <stp>BDP|1340430251865159018</stp>
        <tr r="C122" s="89"/>
      </tp>
      <tp t="s">
        <v>#N/A Requesting Data...1650538253</v>
        <stp/>
        <stp>BDP|6973296607750514137</stp>
        <tr r="V76" s="89"/>
      </tp>
      <tp t="s">
        <v>#N/A N/A</v>
        <stp/>
        <stp>BDP|4316184976870928759</stp>
        <tr r="AF43" s="1"/>
        <tr r="AF44" s="1"/>
      </tp>
      <tp t="s">
        <v>#N/A Requesting Data...2958680772</v>
        <stp/>
        <stp>BDP|3777685039867817484</stp>
        <tr r="E20" s="89"/>
      </tp>
      <tp t="s">
        <v>#N/A N/A</v>
        <stp/>
        <stp>BDH|6457072321336490708</stp>
        <tr r="AU29" s="338"/>
      </tp>
      <tp t="s">
        <v>#N/A Requesting Data...1142383486</v>
        <stp/>
        <stp>BDP|6124212647123164610</stp>
        <tr r="Z109" s="89"/>
        <tr r="AA109" s="89"/>
      </tp>
      <tp t="s">
        <v>#N/A Requesting Data...1761537470</v>
        <stp/>
        <stp>BDP|6362820535118116020</stp>
        <tr r="D75" s="89"/>
      </tp>
      <tp t="s">
        <v>#N/A Requesting Data...2917880962</v>
        <stp/>
        <stp>BDP|2987580469143878743</stp>
        <tr r="Z115" s="89"/>
        <tr r="AA115" s="89"/>
      </tp>
      <tp t="s">
        <v>#N/A Requesting Data...2872197702</v>
        <stp/>
        <stp>BDP|7460910680203620073</stp>
        <tr r="E24" s="2"/>
      </tp>
      <tp t="s">
        <v>#N/A N/A</v>
        <stp/>
        <stp>BDP|2426662074501571768</stp>
        <tr r="AI43" s="1"/>
        <tr r="AI44" s="1"/>
      </tp>
      <tp t="s">
        <v>#N/A Requesting Data...4263334926</v>
        <stp/>
        <stp>BDP|1785534484179509007</stp>
        <tr r="U37" s="338"/>
      </tp>
      <tp>
        <v>107.8</v>
        <stp/>
        <stp>BDP|14201652617253647190|22</stp>
        <stp>META US 07/17/26 C680 Equity</stp>
        <stp>bid</stp>
        <tr r="K233" s="89"/>
      </tp>
      <tp>
        <v>114.55</v>
        <stp/>
        <stp>BDP|10509480426370688750|22</stp>
        <stp>META US 07/17/26 C670 Equity</stp>
        <stp>bid</stp>
        <tr r="K7" s="89"/>
        <tr r="K26" s="89"/>
        <tr r="K170" s="89"/>
      </tp>
      <tp>
        <v>15.3</v>
        <stp/>
        <stp>BDP|479954285595231818|22</stp>
        <stp>GDX US 09/18/26 C115 Equity</stp>
        <stp>ask</stp>
        <tr r="L14" s="89"/>
        <tr r="Q10" s="2"/>
      </tp>
      <tp t="s">
        <v>USD</v>
        <stp/>
        <stp>BDP|397487976034915571|22</stp>
        <stp>TSM US 06/18/26 C380 Equity</stp>
        <stp>QUOTED_CURRENCY_REALTIME</stp>
        <tr r="G25" s="2"/>
      </tp>
      <tp>
        <v>258.41000000000003</v>
        <stp/>
        <stp>BDP|4350104393385922955|22</stp>
        <stp>AAPL Equity</stp>
        <stp>LAST PRICE</stp>
        <tr r="I11" s="338"/>
      </tp>
      <tp t="s">
        <v>#N/A Requesting Data...3215195804</v>
        <stp/>
        <stp>BDP|9823698439132005823</stp>
        <tr r="M12" s="252"/>
      </tp>
      <tp t="s">
        <v>#N/A Requesting Data...298862727</v>
        <stp/>
        <stp>BDP|3019690065241065465</stp>
        <tr r="AI48" s="338"/>
        <tr r="AI49" s="338"/>
      </tp>
      <tp t="s">
        <v>#N/A Requesting Data...1653562518</v>
        <stp/>
        <stp>BDP|7188757863485888551</stp>
        <tr r="G39" s="446"/>
      </tp>
      <tp t="s">
        <v>#N/A N/A</v>
        <stp/>
        <stp>BDP|7422247533576110683</stp>
        <tr r="AI56" s="1"/>
      </tp>
      <tp t="s">
        <v>#N/A N/A</v>
        <stp/>
        <stp>BDP|5816436142581157225</stp>
        <tr r="T49" s="89"/>
      </tp>
      <tp t="s">
        <v>#N/A Requesting Data...1308206269</v>
        <stp/>
        <stp>BDP|6357706968437215632</stp>
        <tr r="S51" s="338"/>
      </tp>
      <tp t="s">
        <v>#N/A Requesting Data...4145663113</v>
        <stp/>
        <stp>BDP|7978267068122812754</stp>
        <tr r="C6" s="2"/>
      </tp>
      <tp t="s">
        <v>#N/A N/A</v>
        <stp/>
        <stp>BDP|1481294716502130617</stp>
        <tr r="AB43" s="1"/>
        <tr r="AB44" s="1"/>
      </tp>
      <tp t="s">
        <v>#N/A Requesting Data...287200895</v>
        <stp/>
        <stp>BDP|1443585917713323038</stp>
        <tr r="L30" s="338"/>
        <tr r="J30" s="338"/>
      </tp>
      <tp t="s">
        <v>#N/A Requesting Data...2550488175</v>
        <stp/>
        <stp>BDP|4646626558147768607</stp>
        <tr r="T144" s="89"/>
      </tp>
      <tp t="s">
        <v>#N/A Requesting Data...282133336</v>
        <stp/>
        <stp>BDP|9958243614845156906</stp>
        <tr r="AK30" s="338"/>
        <tr r="AI30" s="338"/>
      </tp>
      <tp t="s">
        <v>#N/A Requesting Data...3152281661</v>
        <stp/>
        <stp>BDP|1754575979255457051</stp>
        <tr r="G14" s="446"/>
      </tp>
      <tp t="s">
        <v>#N/A N/A</v>
        <stp/>
        <stp>BDP|5130174576111125487</stp>
        <tr r="K53" s="1"/>
      </tp>
      <tp t="s">
        <v>#N/A Requesting Data...1459053068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N/A</v>
        <stp/>
        <stp>BDP|4373319319927249704</stp>
        <tr r="Q54" s="338"/>
      </tp>
      <tp t="s">
        <v>#N/A Requesting Data...3793135561</v>
        <stp/>
        <stp>BDP|6095484704072209604</stp>
        <tr r="AJ13" s="338"/>
        <tr r="AJ34" s="338"/>
      </tp>
      <tp t="s">
        <v>#N/A Requesting Data...1167581211</v>
        <stp/>
        <stp>BDP|6921540255739678909</stp>
        <tr r="AK32" s="338"/>
        <tr r="AK46" s="338"/>
        <tr r="AK50" s="338"/>
        <tr r="AK8" s="338"/>
      </tp>
      <tp t="s">
        <v>#N/A N/A</v>
        <stp/>
        <stp>BDP|6927167186841731801</stp>
        <tr r="AG45" s="1"/>
      </tp>
      <tp t="s">
        <v>#N/A Requesting Data...169885789</v>
        <stp/>
        <stp>BDP|5836174453674625345</stp>
        <tr r="V34" s="338"/>
      </tp>
      <tp t="s">
        <v>#N/A Requesting Data...4179565847</v>
        <stp/>
        <stp>BDP|6914181187250139988</stp>
        <tr r="AA5" s="2"/>
        <tr r="T223" s="89"/>
      </tp>
      <tp t="s">
        <v>#N/A Requesting Data...2648435049</v>
        <stp/>
        <stp>BDP|3930578222146831483</stp>
        <tr r="G43" s="446"/>
      </tp>
      <tp t="s">
        <v>#N/A N/A</v>
        <stp/>
        <stp>BDP|8403728728339567278</stp>
        <tr r="AC57" s="1"/>
      </tp>
      <tp t="s">
        <v>#N/A Requesting Data...1763343779</v>
        <stp/>
        <stp>BDP|9880395878588381367</stp>
        <tr r="AA188" s="89"/>
        <tr r="Z188" s="89"/>
      </tp>
      <tp t="s">
        <v>#N/A N/A</v>
        <stp/>
        <stp>BDH|7672511561496225489</stp>
        <tr r="AR29" s="338"/>
      </tp>
      <tp t="s">
        <v>#N/A Requesting Data...3517794439</v>
        <stp/>
        <stp>BDP|3166087990788095446</stp>
        <tr r="G21" s="446"/>
      </tp>
      <tp t="s">
        <v>#N/A Requesting Data...2599535662</v>
        <stp/>
        <stp>BDP|4996607430791175657</stp>
        <tr r="T122" s="89"/>
      </tp>
      <tp t="s">
        <v>#N/A Requesting Data...531786688</v>
        <stp/>
        <stp>BDP|3807948298497989200</stp>
        <tr r="P45" s="338"/>
      </tp>
      <tp t="s">
        <v>#N/A N/A</v>
        <stp/>
        <stp>BDP|4148348666006447154</stp>
        <tr r="AF23" s="1"/>
        <tr r="AF24" s="1"/>
      </tp>
      <tp t="s">
        <v>#N/A N/A</v>
        <stp/>
        <stp>BDP|9242806905375372266</stp>
        <tr r="R122" s="89"/>
        <tr r="R123" s="89"/>
      </tp>
      <tp t="s">
        <v>#N/A Requesting Data...2253719545</v>
        <stp/>
        <stp>BDP|3531676896459233342</stp>
        <tr r="G35" s="446"/>
      </tp>
      <tp t="s">
        <v>#N/A Requesting Data...3368199901</v>
        <stp/>
        <stp>BDP|9850960325197941300</stp>
        <tr r="AF16" s="338"/>
        <tr r="AF38" s="338"/>
        <tr r="AF40" s="338"/>
      </tp>
      <tp t="s">
        <v>#N/A N/A</v>
        <stp/>
        <stp>BDP|2192763400756291577</stp>
        <tr r="C204" s="89"/>
      </tp>
      <tp t="s">
        <v>#N/A Requesting Data...4233295965</v>
        <stp/>
        <stp>BDP|1831578601782415092</stp>
        <tr r="V18" s="338"/>
      </tp>
      <tp t="s">
        <v>#N/A Requesting Data...3104218156</v>
        <stp/>
        <stp>BDP|5023379335197141408</stp>
        <tr r="T21" s="2"/>
        <tr r="O197" s="89"/>
      </tp>
      <tp t="s">
        <v>#N/A Requesting Data...1206057697</v>
        <stp/>
        <stp>BDP|5315552559291956278</stp>
        <tr r="T56" s="89"/>
      </tp>
      <tp t="s">
        <v>#N/A Requesting Data...1333490684</v>
        <stp/>
        <stp>BDP|9650470625011320866</stp>
        <tr r="AA225" s="89"/>
        <tr r="Z225" s="89"/>
      </tp>
      <tp t="s">
        <v>#N/A Requesting Data...906757989</v>
        <stp/>
        <stp>BDP|9271742846914689876</stp>
        <tr r="S15" s="338"/>
        <tr r="S39" s="338"/>
      </tp>
      <tp t="s">
        <v>#N/A Requesting Data...984695989</v>
        <stp/>
        <stp>BDP|1183356610207551274</stp>
        <tr r="T25" s="2"/>
      </tp>
      <tp t="s">
        <v>#N/A Requesting Data...1292792613</v>
        <stp/>
        <stp>BDP|3672362430114067167</stp>
        <tr r="T14" s="338"/>
      </tp>
      <tp t="s">
        <v>#N/A Requesting Data...4156238724</v>
        <stp/>
        <stp>BDP|3597495719060392002</stp>
        <tr r="C237" s="89"/>
      </tp>
      <tp t="s">
        <v>#N/A N/A</v>
        <stp/>
        <stp>BDH|9880090891720448625</stp>
        <tr r="AS38" s="338"/>
        <tr r="AS39" s="338"/>
        <tr r="AS17" s="338"/>
        <tr r="AS52" s="338"/>
        <tr r="AS15" s="338"/>
        <tr r="AS44" s="338"/>
        <tr r="AS16" s="338"/>
      </tp>
      <tp t="s">
        <v>#N/A Requesting Data...3283888741</v>
        <stp/>
        <stp>BDP|2714917007269668409</stp>
        <tr r="M8" s="252"/>
      </tp>
      <tp t="s">
        <v>#N/A Requesting Data...2395571472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Data...1071073758</v>
        <stp/>
        <stp>BDP|8408000722589740564</stp>
        <tr r="T68" s="89"/>
      </tp>
      <tp t="s">
        <v>#N/A N/A</v>
        <stp/>
        <stp>BDP|2277819233027247866</stp>
        <tr r="Q51" s="338"/>
      </tp>
      <tp t="s">
        <v>#N/A Requesting Data...1182752416</v>
        <stp/>
        <stp>BDP|8885961869603230210</stp>
        <tr r="AK32" s="338"/>
        <tr r="AK46" s="338"/>
        <tr r="AK50" s="338"/>
        <tr r="AK8" s="338"/>
      </tp>
      <tp t="s">
        <v>#N/A Requesting Data...2686397724</v>
        <stp/>
        <stp>BDP|5018086030232967252</stp>
        <tr r="AA6" s="2"/>
      </tp>
      <tp t="s">
        <v>#N/A Requesting Data...2651749769</v>
        <stp/>
        <stp>BDP|5769981822101030995</stp>
        <tr r="T96" s="89"/>
      </tp>
      <tp t="s">
        <v>#N/A Requesting Data...3940163718</v>
        <stp/>
        <stp>BDP|8318036623599634512</stp>
        <tr r="D225" s="89"/>
      </tp>
      <tp t="s">
        <v>#N/A N/A</v>
        <stp/>
        <stp>BDP|1772751390731486839</stp>
        <tr r="AI42" s="1"/>
      </tp>
      <tp t="s">
        <v>#N/A Requesting Data...1411432993</v>
        <stp/>
        <stp>BDP|2700137841574069501</stp>
        <tr r="AR9" s="2"/>
      </tp>
      <tp t="s">
        <v>#N/A Requesting Data...2571885103</v>
        <stp/>
        <stp>BDP|7214956164048318650</stp>
        <tr r="U34" s="338"/>
      </tp>
      <tp>
        <v>740.35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-0.14394253492355347</v>
        <stp/>
        <stp>BDP|8795046347241444117|22</stp>
        <stp>AVGO US 06/18/26 C350 Equity</stp>
        <stp>theta_mid_rt</stp>
        <tr r="AN5" s="2"/>
      </tp>
      <tp t="s">
        <v>#N/A N/A</v>
        <stp/>
        <stp>BDP|1017464849172281472</stp>
        <tr r="E49" s="89"/>
      </tp>
      <tp t="s">
        <v>#N/A Requesting Data...2813776001</v>
        <stp/>
        <stp>BDP|4283425441594897730</stp>
        <tr r="AA169" s="89"/>
        <tr r="Z169" s="89"/>
      </tp>
      <tp t="s">
        <v>#N/A N/A</v>
        <stp/>
        <stp>BDH|4850733214754016151</stp>
        <tr r="AU48" s="338"/>
        <tr r="AU49" s="338"/>
      </tp>
      <tp t="s">
        <v>#N/A Requesting Data...2459147288</v>
        <stp/>
        <stp>BDP|4245799967772009077</stp>
        <tr r="D37" s="446"/>
      </tp>
      <tp t="s">
        <v>#N/A Requesting Data...438501126</v>
        <stp/>
        <stp>BDP|3546004289969099570</stp>
        <tr r="D81" s="89"/>
      </tp>
      <tp t="s">
        <v>#N/A Requesting Data...3838307630</v>
        <stp/>
        <stp>BDP|4758516714777806016</stp>
        <tr r="AR17" s="2"/>
      </tp>
      <tp t="s">
        <v>#N/A Requesting Data...3655314297</v>
        <stp/>
        <stp>BDP|2863781781368349292</stp>
        <tr r="AJ16" s="338"/>
        <tr r="AJ38" s="338"/>
        <tr r="AJ40" s="338"/>
      </tp>
      <tp t="s">
        <v>#N/A Requesting Data...1146733532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Data...4137331041</v>
        <stp/>
        <stp>BDP|4897361001360642018</stp>
        <tr r="T48" s="338"/>
      </tp>
      <tp t="s">
        <v>#N/A N/A</v>
        <stp/>
        <stp>BDH|2054104505330529480</stp>
        <tr r="AN12" s="338"/>
      </tp>
      <tp t="s">
        <v>#N/A N/A</v>
        <stp/>
        <stp>BDP|6577894425722203925</stp>
        <tr r="AI53" s="1"/>
      </tp>
      <tp t="s">
        <v>#N/A Requesting Data...2746086230</v>
        <stp/>
        <stp>BDP|5289094940154690244</stp>
        <tr r="S14" s="338"/>
      </tp>
      <tp t="s">
        <v>#N/A Requesting Data...327439504</v>
        <stp/>
        <stp>BDP|1707015801081904771</stp>
        <tr r="S11" s="338"/>
      </tp>
      <tp t="s">
        <v>#N/A N/A</v>
        <stp/>
        <stp>BDP|5947737455944304421</stp>
        <tr r="AB53" s="1"/>
      </tp>
      <tp t="s">
        <v>#N/A Requesting Data...2761683905</v>
        <stp/>
        <stp>BDP|1510584037002581204</stp>
        <tr r="T115" s="89"/>
      </tp>
      <tp t="s">
        <v>#N/A Requesting Data...1425784833</v>
        <stp/>
        <stp>BDP|6917157052941035414</stp>
        <tr r="AK54" s="338"/>
      </tp>
      <tp t="s">
        <v>#N/A Requesting Data...1252150515</v>
        <stp/>
        <stp>BDP|1092378379464484650</stp>
        <tr r="G9" s="446"/>
      </tp>
      <tp t="s">
        <v>#N/A Requesting Data...2492582777</v>
        <stp/>
        <stp>BDP|5346594685016575959</stp>
        <tr r="AI18" s="338"/>
        <tr r="AK18" s="338"/>
      </tp>
      <tp t="s">
        <v>#N/A Requesting Data...524679859</v>
        <stp/>
        <stp>BDP|5675170649634239369</stp>
        <tr r="E109" s="89"/>
      </tp>
      <tp t="s">
        <v>#N/A Requesting Data...1624456082</v>
        <stp/>
        <stp>BDP|7675645627431897518</stp>
        <tr r="C24" s="2"/>
      </tp>
      <tp t="s">
        <v>#N/A Requesting Data...3060606127</v>
        <stp/>
        <stp>BDP|3706549500372914371</stp>
        <tr r="E136" s="89"/>
      </tp>
      <tp t="s">
        <v>#N/A N/A</v>
        <stp/>
        <stp>BDP|5312075309057886586</stp>
        <tr r="AI55" s="1"/>
      </tp>
      <tp t="s">
        <v>#N/A Requesting Data...3702216276</v>
        <stp/>
        <stp>BDP|7107626834487292286</stp>
        <tr r="L11" s="252"/>
        <tr r="L11" s="252"/>
      </tp>
      <tp t="s">
        <v>#N/A Requesting Data...2974056831</v>
        <stp/>
        <stp>BDP|8336092558638833275</stp>
        <tr r="M18" s="252"/>
      </tp>
      <tp t="s">
        <v>#N/A Requesting Data...4007506651</v>
        <stp/>
        <stp>BDP|1287193847504467758</stp>
        <tr r="D153" s="89"/>
        <tr r="D154" s="89"/>
      </tp>
      <tp t="s">
        <v>#N/A Requesting Data...2863815915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s">
        <v>#N/A Requesting Data...2262419176</v>
        <stp/>
        <stp>BDP|1288906989993060491</stp>
        <tr r="X49" s="338"/>
      </tp>
      <tp t="s">
        <v>#N/A N/A</v>
        <stp/>
        <stp>BDP|4381938020330693849</stp>
        <tr r="AC45" s="1"/>
      </tp>
      <tp t="s">
        <v>#N/A Requesting Data...4249080038</v>
        <stp/>
        <stp>BDP|5938177747656903132</stp>
        <tr r="S55" s="338"/>
      </tp>
      <tp t="s">
        <v>#N/A Requesting Data...1820770512</v>
        <stp/>
        <stp>BDP|1855721819082945297</stp>
        <tr r="P52" s="338"/>
      </tp>
      <tp t="s">
        <v>#N/A N/A</v>
        <stp/>
        <stp>BDH|4190088215397905563</stp>
        <tr r="AU42" s="338"/>
      </tp>
      <tp t="s">
        <v>#N/A Requesting Data...268968537</v>
        <stp/>
        <stp>BDP|7226011316269547804</stp>
        <tr r="AA101" s="89"/>
        <tr r="Z101" s="89"/>
      </tp>
      <tp t="s">
        <v>#N/A Requesting Data...2422357987</v>
        <stp/>
        <stp>BDP|3900760639080469025</stp>
        <tr r="AA9" s="2"/>
        <tr r="T13" s="89"/>
      </tp>
      <tp t="s">
        <v>#N/A Requesting Data...1718382060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Data...4047752835</v>
        <stp/>
        <stp>BDP|9683098287681113793</stp>
        <tr r="D13" s="2"/>
        <tr r="C171" s="89"/>
        <tr r="C27" s="89"/>
      </tp>
      <tp t="s">
        <v>#N/A Requesting Data...3234512840</v>
        <stp/>
        <stp>BDP|6362624963838148922</stp>
        <tr r="AF32" s="1"/>
        <tr r="AF33" s="1"/>
        <tr r="AF34" s="1"/>
        <tr r="AF35" s="1"/>
        <tr r="AF8" s="338"/>
        <tr r="AF9" s="338"/>
      </tp>
      <tp t="s">
        <v>#N/A Requesting Data...849214325</v>
        <stp/>
        <stp>BDP|2907663611126652497</stp>
        <tr r="D136" s="89"/>
      </tp>
      <tp t="s">
        <v>#N/A Requesting Data...2662360106</v>
        <stp/>
        <stp>BDP|5447413907492272417</stp>
        <tr r="AG48" s="338"/>
        <tr r="AG49" s="338"/>
      </tp>
      <tp t="s">
        <v>#N/A N/A</v>
        <stp/>
        <stp>BDH|5724564077099353946</stp>
        <tr r="AP31" s="338"/>
        <tr r="AP32" s="338"/>
      </tp>
      <tp t="s">
        <v>#N/A Requesting Data...1352273371</v>
        <stp/>
        <stp>BDP|4445164765726738268</stp>
        <tr r="AA7" s="89"/>
        <tr r="AA26" s="89"/>
        <tr r="AA170" s="89"/>
        <tr r="Z7" s="89"/>
        <tr r="Z26" s="89"/>
        <tr r="Z170" s="89"/>
      </tp>
      <tp t="s">
        <v>#N/A Requesting Data...2594570942</v>
        <stp/>
        <stp>BDP|2614909402095251903</stp>
        <tr r="L12" s="252"/>
        <tr r="L12" s="252"/>
      </tp>
      <tp t="s">
        <v>#N/A Requesting Data...2473602194</v>
        <stp/>
        <stp>BDP|1776687918603536244</stp>
        <tr r="AD20" s="2"/>
        <tr r="V196" s="89"/>
      </tp>
      <tp t="s">
        <v>#N/A Requesting Data...610444443</v>
        <stp/>
        <stp>BDP|1763661788150711882</stp>
        <tr r="E233" s="89"/>
      </tp>
      <tp t="s">
        <v>#N/A Requesting Data...1311864740</v>
        <stp/>
        <stp>BDP|5476793879341768354</stp>
        <tr r="AK30" s="338"/>
      </tp>
      <tp t="s">
        <v>#N/A Requesting Data...636164590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N/A</v>
        <stp/>
        <stp>BDH|8956970759416960583</stp>
        <tr r="AR12" s="338"/>
      </tp>
      <tp t="s">
        <v>#N/A Requesting Data...922664262</v>
        <stp/>
        <stp>BDP|9356568301399407276</stp>
        <tr r="L29" s="338"/>
        <tr r="J29" s="338"/>
      </tp>
      <tp t="s">
        <v>#N/A Requesting Data...3490299217</v>
        <stp/>
        <stp>BDP|7057279456164256342</stp>
        <tr r="S32" s="338"/>
      </tp>
      <tp t="s">
        <v>#N/A N/A</v>
        <stp/>
        <stp>BDP|8901954355874847764</stp>
        <tr r="O205" s="89"/>
        <tr r="O213" s="89"/>
      </tp>
      <tp t="s">
        <v>#N/A Requesting Data...2257447471</v>
        <stp/>
        <stp>BDP|7250845338122873916</stp>
        <tr r="D15" s="2"/>
      </tp>
      <tp t="s">
        <v>#N/A N/A</v>
        <stp/>
        <stp>BDP|3706748941437066059</stp>
        <tr r="Q49" s="338"/>
      </tp>
      <tp t="s">
        <v>#N/A Requesting Data...2491278240</v>
        <stp/>
        <stp>BDP|5679496740627876502</stp>
        <tr r="N20" s="252"/>
        <tr r="N20" s="252"/>
      </tp>
      <tp t="s">
        <v>#N/A Requesting Data...2760189558</v>
        <stp/>
        <stp>BDP|7775425857631476016</stp>
        <tr r="X53" s="338"/>
      </tp>
      <tp t="s">
        <v>#N/A Requesting Data...3671760523</v>
        <stp/>
        <stp>BDP|6730519311327945299</stp>
        <tr r="AK11" s="338"/>
      </tp>
      <tp t="s">
        <v>#N/A Requesting Data...892646708</v>
        <stp/>
        <stp>BDP|7034052966182144450</stp>
        <tr r="G7" s="446"/>
      </tp>
      <tp t="s">
        <v>#N/A Requesting Data...1234556785</v>
        <stp/>
        <stp>BDP|5264049846531072744</stp>
        <tr r="AA95" s="89"/>
        <tr r="Z95" s="89"/>
      </tp>
      <tp t="s">
        <v>#N/A Requesting Data...708437313</v>
        <stp/>
        <stp>BDP|4375402103807111045</stp>
        <tr r="AR19" s="2"/>
      </tp>
      <tp t="s">
        <v>#N/A Requesting Data...3025776991</v>
        <stp/>
        <stp>BDP|7817792651205133748</stp>
        <tr r="U30" s="338"/>
      </tp>
      <tp t="s">
        <v>#N/A Requesting Data...2673655074</v>
        <stp/>
        <stp>BDP|1636158366620394139</stp>
        <tr r="V160" s="89"/>
      </tp>
      <tp t="s">
        <v>#N/A Requesting Data...4223234760</v>
        <stp/>
        <stp>BDP|7130911573469165773</stp>
        <tr r="AD5" s="2"/>
        <tr r="V22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241.8</v>
        <stp/>
        <stp>BDP|4344863504285541564|22</stp>
        <stp>AMZN Equity</stp>
        <stp>LAST_PRICE</stp>
        <tr r="I28" s="1"/>
        <tr r="I27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Data...3997604526</v>
        <stp/>
        <stp>BDP|9478381283761550308</stp>
        <tr r="AD24" s="2"/>
      </tp>
      <tp t="s">
        <v>#N/A Requesting Data...2378160866</v>
        <stp/>
        <stp>BDP|3454753217493992655</stp>
        <tr r="AB52" s="1"/>
        <tr r="F36" s="446"/>
      </tp>
      <tp t="s">
        <v>#N/A N/A</v>
        <stp/>
        <stp>BDP|8148908707662517398</stp>
        <tr r="AG29" s="1"/>
        <tr r="AG30" s="1"/>
        <tr r="AG31" s="1"/>
      </tp>
      <tp t="s">
        <v>#N/A Requesting Data...2997395314</v>
        <stp/>
        <stp>BDP|1189172247476298290</stp>
        <tr r="O7" s="252"/>
      </tp>
      <tp t="s">
        <v>#N/A Requesting Data...1626875237</v>
        <stp/>
        <stp>BDP|6955622269271151797</stp>
        <tr r="T4" s="2"/>
      </tp>
      <tp t="s">
        <v>#N/A N/A</v>
        <stp/>
        <stp>BDH|6238893454398179346</stp>
        <tr r="AN36" s="338"/>
      </tp>
      <tp t="e">
        <v>#N/A</v>
        <stp/>
        <stp>BDH|6300508665442857747</stp>
        <tr r="J20" s="252"/>
      </tp>
      <tp t="s">
        <v>#N/A Requesting Data...4072410985</v>
        <stp/>
        <stp>BDP|9320852679964664222</stp>
        <tr r="F22" s="2"/>
      </tp>
      <tp t="s">
        <v>#N/A Requesting Data...1353015518</v>
        <stp/>
        <stp>BDP|2073373381748750195</stp>
        <tr r="F25" s="446"/>
      </tp>
      <tp t="s">
        <v>#N/A Requesting Data...2274126951</v>
        <stp/>
        <stp>BDP|4464504539911184345</stp>
        <tr r="E22" s="2"/>
      </tp>
      <tp t="s">
        <v>#N/A N/A</v>
        <stp/>
        <stp>BDH|3480303438693406008</stp>
        <tr r="AP44" s="338"/>
        <tr r="AP48" s="338"/>
        <tr r="AP47" s="338"/>
        <tr r="AU53" s="338"/>
        <tr r="AU10" s="338"/>
      </tp>
      <tp t="s">
        <v>#N/A N/A</v>
        <stp/>
        <stp>BDP|5508729427063936303</stp>
        <tr r="AB50" s="1"/>
        <tr r="AB51" s="1"/>
      </tp>
      <tp t="s">
        <v>#N/A Requesting Data...3026066073</v>
        <stp/>
        <stp>BDP|1626262929107928698</stp>
        <tr r="O224" s="89"/>
      </tp>
      <tp t="s">
        <v>#N/A N/A</v>
        <stp/>
        <stp>BDP|7426051978057192711</stp>
        <tr r="K12" s="1"/>
      </tp>
      <tp t="s">
        <v>#N/A Requesting Data...2759243478</v>
        <stp/>
        <stp>BDP|5045073666933003089</stp>
        <tr r="V9" s="338"/>
      </tp>
      <tp t="s">
        <v>#N/A N/A</v>
        <stp/>
        <stp>BDH|2285081773051539453</stp>
        <tr r="AU12" s="338"/>
      </tp>
      <tp t="s">
        <v>#N/A Requesting Data...1786955209</v>
        <stp/>
        <stp>BDP|7131418634293998332</stp>
        <tr r="T15" s="2"/>
      </tp>
      <tp t="s">
        <v>#N/A Requesting Data...3543902231</v>
        <stp/>
        <stp>BDP|5247577618786009732</stp>
        <tr r="D197" s="89"/>
      </tp>
      <tp t="s">
        <v>#N/A N/A</v>
        <stp/>
        <stp>BDP|3833608477975887782</stp>
        <tr r="AC11" s="2"/>
      </tp>
      <tp t="s">
        <v>#N/A Requesting Data...460903085</v>
        <stp/>
        <stp>BDP|3872713712930116557</stp>
        <tr r="V186" s="89"/>
      </tp>
      <tp t="s">
        <v>#N/A Requesting Data...3705818371</v>
        <stp/>
        <stp>BDP|5526635939431875188</stp>
        <tr r="AI29" s="338"/>
      </tp>
      <tp t="s">
        <v>#N/A Requesting Data...967602637</v>
        <stp/>
        <stp>BDP|5959149956824211564</stp>
        <tr r="G38" s="446"/>
      </tp>
      <tp t="s">
        <v>#N/A Requesting Data...2903132733</v>
        <stp/>
        <stp>BDP|5381969730908949709</stp>
        <tr r="AD4" s="2"/>
      </tp>
      <tp t="s">
        <v>#N/A Requesting Data...2653586492</v>
        <stp/>
        <stp>BDP|6497794236170667202</stp>
        <tr r="O82" s="89"/>
      </tp>
      <tp t="s">
        <v>#N/A Requesting Data...1295164322</v>
        <stp/>
        <stp>BDP|8739029094357904654</stp>
        <tr r="O20" s="89"/>
      </tp>
      <tp t="s">
        <v>#N/A N/A</v>
        <stp/>
        <stp>BDP|5376386408366731097</stp>
        <tr r="AA50" s="89"/>
        <tr r="Z50" s="89"/>
      </tp>
      <tp t="s">
        <v>#N/A Requesting Data...1820180546</v>
        <stp/>
        <stp>BDP|3572723856414756549</stp>
        <tr r="C222" s="89"/>
      </tp>
      <tp t="s">
        <v>#N/A Requesting Data...1418118302</v>
        <stp/>
        <stp>BDP|8781859390611325836</stp>
        <tr r="X12" s="338"/>
      </tp>
      <tp t="s">
        <v>#N/A Requesting Data...1337168861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5" s="2"/>
        <tr r="AB223" s="89"/>
        <tr r="AB225" s="89"/>
        <tr r="AB222" s="89"/>
        <tr r="AB224" s="89"/>
      </tp>
      <tp t="s">
        <v>#N/A N/A</v>
        <stp/>
        <stp>BDP|1324694372333290388</stp>
        <tr r="T212" s="89"/>
      </tp>
      <tp t="s">
        <v>#N/A N/A</v>
        <stp/>
        <stp>BDP|2925650370332906175</stp>
        <tr r="AI41" s="1"/>
      </tp>
      <tp t="s">
        <v>#N/A Requesting Data...2345553253</v>
        <stp/>
        <stp>BDP|3960122539301296028</stp>
        <tr r="O170" s="89"/>
        <tr r="O26" s="89"/>
        <tr r="O7" s="89"/>
      </tp>
      <tp t="s">
        <v>#N/A Requesting Data...3843104905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Data...3974145569</v>
        <stp/>
        <stp>BDP|2469275853951470473</stp>
        <tr r="F20" s="2"/>
      </tp>
      <tp t="s">
        <v>#N/A N/A</v>
        <stp/>
        <stp>BDP|8026979944376338335</stp>
        <tr r="E203" s="89"/>
      </tp>
      <tp t="s">
        <v>#N/A Requesting Data...2674941211</v>
        <stp/>
        <stp>BDP|4552037620785435316</stp>
        <tr r="P33" s="338"/>
      </tp>
      <tp t="s">
        <v>#N/A N/A</v>
        <stp/>
        <stp>BDP|4649895345359151185</stp>
        <tr r="C39" s="89"/>
      </tp>
      <tp t="s">
        <v>#N/A Requesting Data...2094390650</v>
        <stp/>
        <stp>BDP|1912350260220949454</stp>
        <tr r="AJ29" s="338"/>
        <tr r="AJ30" s="338"/>
      </tp>
      <tp t="s">
        <v>#N/A Requesting Data...2214735777</v>
        <stp/>
        <stp>BDP|5137251643354744701</stp>
        <tr r="L36" s="338"/>
        <tr r="H36" s="338"/>
      </tp>
      <tp t="s">
        <v>#N/A Requesting Data...1601634147</v>
        <stp/>
        <stp>BDP|6283111272633911397</stp>
        <tr r="AJ14" s="338"/>
        <tr r="AJ35" s="338"/>
      </tp>
      <tp t="s">
        <v>#N/A Requesting Data...1135402336</v>
        <stp/>
        <stp>BDP|7112967104169217777</stp>
        <tr r="P30" s="338"/>
      </tp>
      <tp t="s">
        <v>#N/A Requesting Data...1334908952</v>
        <stp/>
        <stp>BDP|7207851431765010907</stp>
        <tr r="C235" s="89"/>
      </tp>
      <tp t="s">
        <v>#N/A Requesting Data...671432166</v>
        <stp/>
        <stp>BDP|5682063267492381124</stp>
        <tr r="S12" s="338"/>
      </tp>
      <tp t="s">
        <v>#N/A N/A</v>
        <stp/>
        <stp>BDP|2973693674086229503</stp>
        <tr r="Q52" s="338"/>
      </tp>
      <tp t="s">
        <v>#N/A Requesting Data...2367998606</v>
        <stp/>
        <stp>BDP|1018734111515407205</stp>
        <tr r="F18" s="252"/>
      </tp>
      <tp t="s">
        <v>#N/A Requesting Data...2120133267</v>
        <stp/>
        <stp>BDP|4028930726656593970</stp>
        <tr r="AJ16" s="338"/>
        <tr r="AJ38" s="338"/>
        <tr r="AJ40" s="338"/>
      </tp>
      <tp t="s">
        <v>#N/A Requesting Data...3901888791</v>
        <stp/>
        <stp>BDP|9163195119900175972</stp>
        <tr r="C188" s="89"/>
      </tp>
      <tp t="s">
        <v>#N/A Requesting Data...2408840842</v>
        <stp/>
        <stp>BDP|1494500509740882420</stp>
        <tr r="D96" s="89"/>
      </tp>
      <tp t="s">
        <v>#N/A N/A</v>
        <stp/>
        <stp>BDP|2393448154535556617</stp>
        <tr r="Q36" s="338"/>
      </tp>
      <tp>
        <v>0.51136374473571777</v>
        <stp/>
        <stp>BDP|15412285494780661870|22</stp>
        <stp>1OG6C 26000 Index</stp>
        <stp>DELTA_MID_RT</stp>
        <tr r="W153" s="89"/>
        <tr r="W154" s="89"/>
      </tp>
      <tp t="s">
        <v>#N/A Requesting Data...1338613402</v>
        <stp/>
        <stp>BDP|3485044105441809296</stp>
        <tr r="L12" s="338"/>
        <tr r="J12" s="338"/>
      </tp>
      <tp t="s">
        <v>#N/A Requesting Data...3890161163</v>
        <stp/>
        <stp>BDP|6637641837380428351</stp>
        <tr r="D89" s="89"/>
      </tp>
      <tp t="s">
        <v>#N/A Requesting Data...3757175489</v>
        <stp/>
        <stp>BDP|2723076874625349028</stp>
        <tr r="M7" s="252"/>
      </tp>
      <tp t="s">
        <v>#N/A Requesting Data...3078549709</v>
        <stp/>
        <stp>BDP|4386065153847319607</stp>
        <tr r="C11" s="2"/>
      </tp>
      <tp t="s">
        <v>#N/A Requesting Data...2474925624</v>
        <stp/>
        <stp>BDP|1377734860226121644</stp>
        <tr r="C234" s="89"/>
      </tp>
      <tp>
        <v>101.6</v>
        <stp/>
        <stp>BDP|13854311910545458041|22</stp>
        <stp>META US 07/17/26 C690 Equity</stp>
        <stp>bid</stp>
        <tr r="K8" s="89"/>
      </tp>
      <tp>
        <v>21.35</v>
        <stp/>
        <stp>BDP|18330625039410541292|22</stp>
        <stp>AMZN US 07/17/26 C250 Equity</stp>
        <stp>ask</stp>
        <tr r="L234" s="89"/>
      </tp>
      <tp>
        <v>39.299999999999997</v>
        <stp/>
        <stp>BDP|14709653448625040347|22</stp>
        <stp>TSM US 07/17/26 C340 Equity</stp>
        <stp>ask</stp>
        <tr r="L19" s="89"/>
      </tp>
      <tp>
        <v>19.079999999999998</v>
        <stp/>
        <stp>BDP|13708122924811862625|22</stp>
        <stp>TSM US 06/18/26 C380 Equity</stp>
        <stp>mid</stp>
        <tr r="L25" s="2"/>
      </tp>
      <tp>
        <v>198.595</v>
        <stp/>
        <stp>BDP|17027429052585223577|22</stp>
        <stp>RSP EQUITY</stp>
        <stp>LAST_PRICE</stp>
        <tr r="I5" s="1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Requesting Data...1964806027</v>
        <stp/>
        <stp>BDP|5033376349836196559</stp>
        <tr r="X29" s="338"/>
      </tp>
      <tp t="s">
        <v>#N/A Requesting Data...2940105272</v>
        <stp/>
        <stp>BDP|3552512649496298558</stp>
        <tr r="M14" s="252"/>
      </tp>
      <tp t="s">
        <v>#N/A Requesting Data...2566537310</v>
        <stp/>
        <stp>BDP|6512582705651116331</stp>
        <tr r="D16" s="2"/>
        <tr r="C62" s="89"/>
      </tp>
      <tp t="s">
        <v>#N/A Requesting Data...2407900684</v>
        <stp/>
        <stp>BDP|8548403483194970146</stp>
        <tr r="V55" s="89"/>
      </tp>
      <tp t="s">
        <v>#N/A Requesting Data...2228019466</v>
        <stp/>
        <stp>BDP|3243861311373893853</stp>
        <tr r="E10" s="2"/>
      </tp>
      <tp t="s">
        <v>#N/A Requesting Data...1040721288</v>
        <stp/>
        <stp>BDP|9570666606426496899</stp>
        <tr r="T9" s="2"/>
        <tr r="O13" s="89"/>
      </tp>
      <tp t="s">
        <v>#N/A N/A</v>
        <stp/>
        <stp>BDP|5889104764011396273</stp>
        <tr r="AI48" s="1"/>
        <tr r="AI49" s="1"/>
      </tp>
      <tp t="s">
        <v>#N/A Requesting Data...4221048256</v>
        <stp/>
        <stp>BDP|5256432133392845134</stp>
        <tr r="C101" s="89"/>
      </tp>
      <tp t="s">
        <v>#N/A Requesting Data...1127805338</v>
        <stp/>
        <stp>BDP|7551465529835272566</stp>
        <tr r="N9" s="252"/>
        <tr r="N9" s="252"/>
      </tp>
      <tp t="s">
        <v>#N/A Requesting Data...628679188</v>
        <stp/>
        <stp>BDP|1897815793981176051</stp>
        <tr r="AR15" s="2"/>
      </tp>
      <tp t="s">
        <v>#N/A N/A</v>
        <stp/>
        <stp>BDH|5958883389923152775</stp>
        <tr r="AP30" s="338"/>
        <tr r="AP29" s="338"/>
      </tp>
      <tp t="s">
        <v>#N/A Requesting Data...3281087522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Data...3351532847</v>
        <stp/>
        <stp>BDP|7601159166158268985</stp>
        <tr r="S16" s="252"/>
      </tp>
      <tp t="s">
        <v>#N/A Requesting Data...1735437158</v>
        <stp/>
        <stp>BDP|3235511292777879969</stp>
        <tr r="X11" s="338"/>
      </tp>
      <tp t="s">
        <v>#N/A Requesting Data...527701842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Data...3851710953</v>
        <stp/>
        <stp>BDP|1748256233439783899</stp>
        <tr r="T15" s="338"/>
        <tr r="T39" s="338"/>
      </tp>
      <tp t="s">
        <v>#N/A Requesting Data...1027249162</v>
        <stp/>
        <stp>BDP|7660636101386198693</stp>
        <tr r="P15" s="338"/>
        <tr r="P39" s="338"/>
      </tp>
      <tp t="s">
        <v>#N/A Requesting Data...1353069277</v>
        <stp/>
        <stp>BDP|8463094131499939398</stp>
        <tr r="X18" s="338"/>
      </tp>
      <tp t="s">
        <v>#N/A Requesting Data...1232333913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Data...2496626756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Data...3462614648</v>
        <stp/>
        <stp>BDP|6241899226908646569</stp>
        <tr r="D42" s="446"/>
      </tp>
      <tp t="s">
        <v>#N/A Requesting Data...1412488538</v>
        <stp/>
        <stp>BDP|9471140668958223775</stp>
        <tr r="V40" s="89"/>
      </tp>
      <tp t="s">
        <v>#N/A Requesting Data...1616805382</v>
        <stp/>
        <stp>BDP|2974198673022627786</stp>
        <tr r="AK48" s="338"/>
        <tr r="AK49" s="338"/>
      </tp>
      <tp t="s">
        <v>#N/A Requesting Data...3472125453</v>
        <stp/>
        <stp>BDP|5183368778820171035</stp>
        <tr r="F45" s="446"/>
      </tp>
      <tp t="s">
        <v>#N/A Requesting Data...2545335542</v>
        <stp/>
        <stp>BDP|5678783394829319341</stp>
        <tr r="F25" s="2"/>
      </tp>
      <tp t="s">
        <v>#N/A N/A</v>
        <stp/>
        <stp>BDP|9864943450097342325</stp>
        <tr r="Q47" s="338"/>
      </tp>
      <tp t="s">
        <v>#N/A N/A</v>
        <stp/>
        <stp>BDP|5223714776062803600</stp>
        <tr r="AC13" s="1"/>
      </tp>
      <tp t="s">
        <v>#N/A Requesting Data...1541378697</v>
        <stp/>
        <stp>BDP|3142121838040986004</stp>
        <tr r="T40" s="89"/>
      </tp>
      <tp t="s">
        <v>#N/A N/A</v>
        <stp/>
        <stp>BDP|3632340523775049631</stp>
        <tr r="D39" s="89"/>
      </tp>
      <tp t="s">
        <v>#N/A Requesting Data...1688879450</v>
        <stp/>
        <stp>BDP|7603021556517835487</stp>
        <tr r="AH52" s="338"/>
        <tr r="AH53" s="338"/>
        <tr r="AH54" s="338"/>
      </tp>
      <tp t="s">
        <v>#N/A Requesting Data...2446767025</v>
        <stp/>
        <stp>BDP|4388333855843269056</stp>
        <tr r="P10" s="252"/>
      </tp>
      <tp t="s">
        <v>#N/A Requesting Data...3513625890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Data...3537379318</v>
        <stp/>
        <stp>BDP|2790133807587110508</stp>
        <tr r="O10" s="252"/>
      </tp>
      <tp t="s">
        <v>#N/A Requesting Data...3632541170</v>
        <stp/>
        <stp>BDP|7513670475916134150</stp>
        <tr r="AG18" s="338"/>
      </tp>
      <tp t="s">
        <v>#N/A N/A</v>
        <stp/>
        <stp>BDP|9633924773914414208</stp>
        <tr r="AC4" s="2"/>
      </tp>
      <tp t="s">
        <v>#N/A Requesting Data...726572965</v>
        <stp/>
        <stp>BDP|9843491038236897916</stp>
        <tr r="C20" s="89"/>
      </tp>
      <tp t="s">
        <v>#N/A Requesting Data...2738840262</v>
        <stp/>
        <stp>BDP|5511577372427690166</stp>
        <tr r="F8" s="2"/>
      </tp>
      <tp t="s">
        <v>#N/A N/A</v>
        <stp/>
        <stp>BDP|9739406253298596110</stp>
        <tr r="AI23" s="1"/>
        <tr r="AI24" s="1"/>
      </tp>
      <tp t="s">
        <v>#N/A N/A</v>
        <stp/>
        <stp>BDP|1821230040030393694</stp>
        <tr r="AQ16" s="2"/>
        <tr r="AQ17" s="2"/>
        <tr r="AQ15" s="2"/>
        <tr r="AQ14" s="2"/>
        <tr r="AB62" s="89"/>
        <tr r="AB63" s="89"/>
      </tp>
      <tp t="s">
        <v>#N/A Requesting Data...3487516562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5" s="2"/>
        <tr r="AQ24" s="2"/>
        <tr r="AB19" s="89"/>
        <tr r="AB20" s="89"/>
      </tp>
      <tp t="s">
        <v>#N/A Requesting Data...3009732312</v>
        <stp/>
        <stp>BDP|8707806237397902583</stp>
        <tr r="S11" s="252"/>
      </tp>
      <tp t="s">
        <v>#N/A N/A</v>
        <stp/>
        <stp>BDP|2620741033323734402</stp>
        <tr r="T203" s="89"/>
      </tp>
      <tp t="s">
        <v>#N/A Requesting Data...3139865663</v>
        <stp/>
        <stp>BDP|9939228331380883944</stp>
        <tr r="G11" s="446"/>
      </tp>
      <tp t="s">
        <v>#N/A Requesting Data...3523808036</v>
        <stp/>
        <stp>BDP|7072033161838356860</stp>
        <tr r="O75" s="89"/>
      </tp>
      <tp t="s">
        <v>#N/A Requesting Data...773199777</v>
        <stp/>
        <stp>BDP|2267087599569280367</stp>
        <tr r="P34" s="338"/>
      </tp>
      <tp t="s">
        <v>#N/A Requesting Data...2153364478</v>
        <stp/>
        <stp>BDP|2620429521461757456</stp>
        <tr r="AK42" s="338"/>
      </tp>
      <tp t="s">
        <v>#N/A Requesting Data...4143791581</v>
        <stp/>
        <stp>BDP|7066346967523510010</stp>
        <tr r="U9" s="338"/>
      </tp>
      <tp t="s">
        <v>#N/A N/A</v>
        <stp/>
        <stp>BDP|6497440232258298876</stp>
        <tr r="AF13" s="1"/>
      </tp>
      <tp t="s">
        <v>#N/A Requesting Data...689845255</v>
        <stp/>
        <stp>BDP|4309165367065469727</stp>
        <tr r="E21" s="2"/>
      </tp>
      <tp t="s">
        <v>#N/A N/A</v>
        <stp/>
        <stp>BDH|9970014848989475502</stp>
        <tr r="AS29" s="338"/>
      </tp>
      <tp t="s">
        <v>#N/A N/A</v>
        <stp/>
        <stp>BDH|6863572979712554765</stp>
        <tr r="AM35" s="338"/>
        <tr r="AM14" s="338"/>
      </tp>
      <tp>
        <v>76.3</v>
        <stp/>
        <stp>BDP|11372581848729563069|22</stp>
        <stp>META US 04/17/26 C690 Equity</stp>
        <stp>mid</stp>
        <tr r="L12" s="2"/>
      </tp>
      <tp>
        <v>4.8499999999999996</v>
        <stp/>
        <stp>BDP|118569511771704697|22</stp>
        <stp>INTC US 07/17/26 C60 Equity</stp>
        <stp>ask</stp>
        <tr r="Q19" s="2"/>
        <tr r="L195" s="89"/>
      </tp>
      <tp t="s">
        <v>#N/A Requesting Data...2454397281</v>
        <stp/>
        <stp>BDP|6219652639352291374</stp>
        <tr r="D55" s="89"/>
      </tp>
      <tp t="s">
        <v>#N/A Requesting Data...1171844942</v>
        <stp/>
        <stp>BDP|7964758820092579227</stp>
        <tr r="AJ52" s="338"/>
        <tr r="AJ53" s="338"/>
        <tr r="AJ54" s="338"/>
      </tp>
      <tp t="s">
        <v>#N/A Requesting Data...3621780833</v>
        <stp/>
        <stp>BDP|7860310106547363177</stp>
        <tr r="AA180" s="89"/>
        <tr r="Z180" s="89"/>
      </tp>
      <tp t="s">
        <v>#N/A N/A</v>
        <stp/>
        <stp>BDP|6976223375119574839</stp>
        <tr r="K54" s="1"/>
      </tp>
      <tp t="s">
        <v>#N/A Requesting Data...3131872687</v>
        <stp/>
        <stp>BDP|9060205111721083990</stp>
        <tr r="AI48" s="338"/>
        <tr r="AI49" s="338"/>
        <tr r="AK48" s="338"/>
        <tr r="AK49" s="338"/>
      </tp>
      <tp t="s">
        <v>#N/A Requesting Data...709329447</v>
        <stp/>
        <stp>BDP|8644058243408809607</stp>
        <tr r="V49" s="338"/>
      </tp>
      <tp t="s">
        <v>#N/A Requesting Data...1741348649</v>
        <stp/>
        <stp>BDP|2721287269476965276</stp>
        <tr r="V35" s="338"/>
      </tp>
      <tp t="s">
        <v>#N/A Requesting Data...3112636493</v>
        <stp/>
        <stp>BDP|1927755561564288678</stp>
        <tr r="G45" s="446"/>
      </tp>
      <tp t="s">
        <v>#N/A Requesting Data...2074577067</v>
        <stp/>
        <stp>BDP|3284843281913962260</stp>
        <tr r="C5" s="2"/>
      </tp>
      <tp t="s">
        <v>#N/A Requesting Data...1128193549</v>
        <stp/>
        <stp>BDP|5871188314703840456</stp>
        <tr r="L11" s="338"/>
        <tr r="J11" s="338"/>
      </tp>
      <tp t="s">
        <v>#N/A Requesting Data...862707449</v>
        <stp/>
        <stp>BDP|5728718823292467081</stp>
        <tr r="L12" s="1"/>
        <tr r="L13" s="1"/>
        <tr r="L14" s="1"/>
        <tr r="L15" s="1"/>
        <tr r="L18" s="1"/>
        <tr r="L19" s="1"/>
        <tr r="L23" s="1"/>
        <tr r="L25" s="1"/>
        <tr r="L27" s="1"/>
        <tr r="L29" s="1"/>
        <tr r="L30" s="1"/>
        <tr r="L32" s="1"/>
        <tr r="L33" s="1"/>
        <tr r="L34" s="1"/>
        <tr r="L36" s="1"/>
        <tr r="L38" s="1"/>
        <tr r="L41" s="1"/>
        <tr r="L42" s="1"/>
        <tr r="L43" s="1"/>
        <tr r="L46" s="1"/>
        <tr r="L48" s="1"/>
        <tr r="L50" s="1"/>
        <tr r="L52" s="1"/>
        <tr r="L53" s="1"/>
        <tr r="L54" s="1"/>
        <tr r="L55" s="1"/>
        <tr r="L56" s="1"/>
        <tr r="L57" s="1"/>
        <tr r="L35" s="1"/>
        <tr r="L31" s="1"/>
        <tr r="L16" s="1"/>
        <tr r="L51" s="1"/>
        <tr r="L44" s="1"/>
        <tr r="L39" s="1"/>
        <tr r="L24" s="1"/>
        <tr r="L26" s="1"/>
        <tr r="L49" s="1"/>
        <tr r="L21" s="1"/>
        <tr r="L20" s="1"/>
        <tr r="L17" s="1"/>
        <tr r="L40" s="1"/>
        <tr r="L22" s="1"/>
        <tr r="L28" s="1"/>
        <tr r="L47" s="1"/>
        <tr r="N203" s="89"/>
        <tr r="N204" s="89"/>
        <tr r="N205" s="89"/>
        <tr r="N211" s="89"/>
        <tr r="N212" s="89"/>
        <tr r="N213" s="89"/>
        <tr r="S8" s="2"/>
        <tr r="S7" s="2"/>
        <tr r="N39" s="89"/>
        <tr r="N49" s="89"/>
        <tr r="N50" s="89"/>
        <tr r="S18" s="2"/>
        <tr r="N33" s="89"/>
        <tr r="N34" s="89"/>
        <tr r="S25" s="2"/>
        <tr r="S23" s="2"/>
        <tr r="S10" s="2"/>
        <tr r="S9" s="2"/>
        <tr r="N14" s="89"/>
        <tr r="N13" s="89"/>
        <tr r="S22" s="2"/>
        <tr r="N81" s="89"/>
        <tr r="S4" s="2"/>
        <tr r="S5" s="2"/>
        <tr r="S11" s="2"/>
        <tr r="S12" s="2"/>
        <tr r="S14" s="2"/>
        <tr r="S15" s="2"/>
        <tr r="S16" s="2"/>
        <tr r="S17" s="2"/>
        <tr r="S19" s="2"/>
        <tr r="S20" s="2"/>
        <tr r="S21" s="2"/>
        <tr r="S24" s="2"/>
        <tr r="S6" s="2"/>
        <tr r="S13" s="2"/>
        <tr r="N7" s="89"/>
        <tr r="N8" s="89"/>
        <tr r="N19" s="89"/>
        <tr r="N20" s="89"/>
        <tr r="N26" s="89"/>
        <tr r="N27" s="89"/>
        <tr r="N55" s="89"/>
        <tr r="N56" s="89"/>
        <tr r="N62" s="89"/>
        <tr r="N63" s="89"/>
        <tr r="N169" s="89"/>
        <tr r="N170" s="89"/>
        <tr r="N171" s="89"/>
        <tr r="N180" s="89"/>
        <tr r="N186" s="89"/>
        <tr r="N187" s="89"/>
        <tr r="N188" s="89"/>
        <tr r="N222" s="89"/>
        <tr r="N223" s="89"/>
        <tr r="N224" s="89"/>
        <tr r="N225" s="89"/>
        <tr r="N233" s="89"/>
        <tr r="N235" s="89"/>
        <tr r="N40" s="89"/>
        <tr r="N75" s="89"/>
        <tr r="N153" s="89"/>
        <tr r="N154" s="89"/>
        <tr r="N195" s="89"/>
        <tr r="N196" s="89"/>
        <tr r="N197" s="89"/>
        <tr r="N234" s="89"/>
        <tr r="N236" s="89"/>
        <tr r="N237" s="89"/>
        <tr r="N101" s="89"/>
        <tr r="N102" s="89"/>
        <tr r="N160" s="89"/>
        <tr r="N76" s="89"/>
        <tr r="N82" s="89"/>
        <tr r="N95" s="89"/>
      </tp>
      <tp t="s">
        <v>#N/A Requesting Data...693350498</v>
        <stp/>
        <stp>BDP|5145625159843494775</stp>
        <tr r="P10" s="338"/>
      </tp>
      <tp t="s">
        <v>#N/A Requesting Data...2361667355</v>
        <stp/>
        <stp>BDP|5676239072204174683</stp>
        <tr r="AA233" s="89"/>
        <tr r="Z233" s="89"/>
      </tp>
      <tp t="s">
        <v>#N/A Requesting Data...1002358763</v>
        <stp/>
        <stp>BDP|7783221949776141531</stp>
        <tr r="O8" s="89"/>
      </tp>
      <tp t="s">
        <v>#N/A Requesting Data...434375440</v>
        <stp/>
        <stp>BDP|4413248519100279551</stp>
        <tr r="AD6" s="2"/>
      </tp>
      <tp t="s">
        <v>#N/A Requesting Data...2519324894</v>
        <stp/>
        <stp>BDP|9919677548080032985</stp>
        <tr r="G44" s="446"/>
      </tp>
      <tp t="s">
        <v>#N/A Requesting Data...3827646519</v>
        <stp/>
        <stp>BDP|3371693940045698635</stp>
        <tr r="V123" s="89"/>
      </tp>
      <tp t="s">
        <v>#N/A Requesting Data...2621109165</v>
        <stp/>
        <stp>BDP|8428913731466273690</stp>
        <tr r="L8" s="252"/>
        <tr r="L8" s="252"/>
      </tp>
      <tp t="s">
        <v>#N/A Requesting Data...2425353939</v>
        <stp/>
        <stp>BDP|6223131064210098392</stp>
        <tr r="V14" s="338"/>
      </tp>
      <tp t="s">
        <v>#N/A N/A</v>
        <stp/>
        <stp>BDP|3289149679383755445</stp>
        <tr r="AC42" s="1"/>
      </tp>
      <tp t="s">
        <v>#N/A N/A</v>
        <stp/>
        <stp>BDP|5711442923249525894</stp>
        <tr r="C50" s="89"/>
      </tp>
      <tp t="s">
        <v>#N/A Requesting Data...1678511535</v>
        <stp/>
        <stp>BDP|3910223521378009966</stp>
        <tr r="N11" s="252"/>
        <tr r="N11" s="252"/>
      </tp>
      <tp t="s">
        <v>#N/A Requesting Data...3509243693</v>
        <stp/>
        <stp>BDP|5024341343609931931</stp>
        <tr r="AJ41" s="338"/>
        <tr r="AJ42" s="338"/>
      </tp>
      <tp t="s">
        <v>#N/A Requesting Data...1695074448</v>
        <stp/>
        <stp>BDP|2109542547769740886</stp>
        <tr r="AI29" s="338"/>
        <tr r="AK29" s="338"/>
      </tp>
      <tp t="s">
        <v>#N/A Requesting Data...682180717</v>
        <stp/>
        <stp>BDP|3213171497998766175</stp>
        <tr r="E69" s="89"/>
      </tp>
      <tp t="s">
        <v>#N/A N/A</v>
        <stp/>
        <stp>BDP|6172070853435387447</stp>
        <tr r="AB46" s="1"/>
        <tr r="AB47" s="1"/>
      </tp>
      <tp t="s">
        <v>#N/A Requesting Data...2267235005</v>
        <stp/>
        <stp>BDP|4570633414290062103</stp>
        <tr r="E9" s="2"/>
      </tp>
      <tp t="s">
        <v>#N/A Requesting Data...408575835</v>
        <stp/>
        <stp>BDP|4636653477250550732</stp>
        <tr r="G31" s="446"/>
      </tp>
      <tp t="s">
        <v>#N/A N/A</v>
        <stp/>
        <stp>BDP|5714451203842663158</stp>
        <tr r="K8" s="1"/>
      </tp>
      <tp t="s">
        <v>#N/A Requesting Data...3169739858</v>
        <stp/>
        <stp>BDP|4880433377190901556</stp>
        <tr r="E115" s="89"/>
      </tp>
      <tp t="s">
        <v>#N/A N/A</v>
        <stp/>
        <stp>BDH|6170570427582833181</stp>
        <tr r="AN11" s="338"/>
        <tr r="AN33" s="338"/>
        <tr r="AN10" s="338"/>
      </tp>
      <tp t="s">
        <v>#N/A N/A</v>
        <stp/>
        <stp>BDH|4361553540430548720</stp>
        <tr r="AU9" s="338"/>
      </tp>
      <tp t="s">
        <v>#N/A Requesting Data...434604361</v>
        <stp/>
        <stp>BDP|4772481059877400045</stp>
        <tr r="D7" s="2"/>
        <tr r="C33" s="89"/>
      </tp>
      <tp t="s">
        <v>#N/A Requesting Data...3256019306</v>
        <stp/>
        <stp>BDP|3519061147724655148</stp>
        <tr r="AJ31" s="338"/>
        <tr r="AJ32" s="338"/>
      </tp>
      <tp t="s">
        <v>#N/A N/A</v>
        <stp/>
        <stp>BDH|3853563075455893651</stp>
        <tr r="AS45" s="338"/>
      </tp>
      <tp t="s">
        <v>#N/A N/A</v>
        <stp/>
        <stp>BDP|1861574508736334034</stp>
        <tr r="AA204" s="89"/>
        <tr r="Z204" s="89"/>
      </tp>
      <tp t="s">
        <v>#N/A N/A</v>
        <stp/>
        <stp>BDP|2630581548609766860</stp>
        <tr r="S40" s="89"/>
      </tp>
      <tp t="s">
        <v>#N/A Requesting Data...2444073909</v>
        <stp/>
        <stp>BDP|9125333988758543887</stp>
        <tr r="AJ17" s="338"/>
        <tr r="AJ18" s="338"/>
      </tp>
      <tp t="s">
        <v>#N/A Requesting Data...1906897641</v>
        <stp/>
        <stp>BDP|7134890756011396990</stp>
        <tr r="L45" s="338"/>
        <tr r="J45" s="338"/>
      </tp>
      <tp t="s">
        <v>#N/A N/A</v>
        <stp/>
        <stp>BDP|7828293524842926786</stp>
        <tr r="AI45" s="1"/>
      </tp>
      <tp t="s">
        <v>#N/A Requesting Data...1448817623</v>
        <stp/>
        <stp>BDP|2307633905712170406</stp>
        <tr r="P46" s="338"/>
      </tp>
      <tp t="s">
        <v>#N/A N/A</v>
        <stp/>
        <stp>BDP|3773131274556681138</stp>
        <tr r="E205" s="89"/>
        <tr r="E213" s="89"/>
      </tp>
      <tp t="s">
        <v>#N/A N/A</v>
        <stp/>
        <stp>BDP|3237933881053644330</stp>
        <tr r="Q18" s="338"/>
      </tp>
      <tp t="s">
        <v>#N/A N/A</v>
        <stp/>
        <stp>BDH|5901500811295587685</stp>
        <tr r="AR34" s="338"/>
        <tr r="AR37" s="338"/>
        <tr r="AR36" s="338"/>
        <tr r="AM51" s="338"/>
        <tr r="AR35" s="338"/>
        <tr r="AM50" s="338"/>
      </tp>
      <tp>
        <v>3.8</v>
        <stp/>
        <stp>BDP|16278285412802013296|22</stp>
        <stp>MSFT US 02/20/26 P410 Equity</stp>
        <stp>ask</stp>
        <tr r="L205" s="89"/>
        <tr r="L213" s="89"/>
      </tp>
      <tp t="s">
        <v>#N/A Real Time</v>
        <stp/>
        <stp>BDP|7002617886444187304|22</stp>
        <stp>RUWZ5 Index</stp>
        <stp>LAST_PRICE</stp>
        <tr r="S144" s="89"/>
        <tr r="S145" s="89"/>
      </tp>
      <tp t="s">
        <v>#N/A Requesting Data...910411293</v>
        <stp/>
        <stp>BDP|2288489672854050620</stp>
        <tr r="E12" s="2"/>
      </tp>
      <tp t="s">
        <v>#N/A N/A</v>
        <stp/>
        <stp>BDP|4669365388388290407</stp>
        <tr r="K15" s="1"/>
        <tr r="K5" s="1"/>
      </tp>
      <tp t="s">
        <v>#N/A Requesting Data...3921163650</v>
        <stp/>
        <stp>BDP|1294995983457020437</stp>
        <tr r="E222" s="89"/>
      </tp>
      <tp t="s">
        <v>#N/A Requesting Data...3797504854</v>
        <stp/>
        <stp>BDP|2591422732557732191</stp>
        <tr r="L13" s="338"/>
        <tr r="H13" s="338"/>
        <tr r="L34" s="338"/>
        <tr r="H34" s="338"/>
      </tp>
      <tp t="s">
        <v>#N/A N/A</v>
        <stp/>
        <stp>BDP|3208325823773954213</stp>
        <tr r="K13" s="1"/>
      </tp>
      <tp t="s">
        <v>#N/A N/A</v>
        <stp/>
        <stp>BDH|9161563891876868051</stp>
        <tr r="AS13" s="338"/>
      </tp>
      <tp t="s">
        <v>#N/A Requesting Data...2232439328</v>
        <stp/>
        <stp>BDP|7919916036548158668</stp>
        <tr r="AI9" s="338"/>
        <tr r="AK9" s="338"/>
      </tp>
      <tp t="s">
        <v>#N/A Requesting Data...1872808745</v>
        <stp/>
        <stp>BDP|5970596063913968630</stp>
        <tr r="AG30" s="338"/>
      </tp>
      <tp t="s">
        <v>#N/A N/A</v>
        <stp/>
        <stp>BDP|6103121895225663895</stp>
        <tr r="D14" s="89"/>
      </tp>
      <tp t="s">
        <v>#N/A Requesting Data...3919882451</v>
        <stp/>
        <stp>BDP|7170630364126625297</stp>
        <tr r="S52" s="338"/>
      </tp>
      <tp t="s">
        <v>#N/A N/A</v>
        <stp/>
        <stp>BDP|7115677759757668004</stp>
        <tr r="AC53" s="1"/>
      </tp>
      <tp t="s">
        <v>#N/A Requesting Data...2891373383</v>
        <stp/>
        <stp>BDP|3754293213215371607</stp>
        <tr r="AB19" s="1"/>
        <tr r="AB20" s="1"/>
        <tr r="AB21" s="1"/>
        <tr r="AB22" s="1"/>
        <tr r="F5" s="446"/>
        <tr r="F6" s="446"/>
      </tp>
      <tp t="s">
        <v>#N/A N/A</v>
        <stp/>
        <stp>BDP|7831808276762786972</stp>
        <tr r="Q53" s="338"/>
      </tp>
      <tp t="s">
        <v>#N/A N/A</v>
        <stp/>
        <stp>BDH|1660584114302445401</stp>
        <tr r="AU50" s="338"/>
        <tr r="AU46" s="338"/>
        <tr r="AU8" s="338"/>
        <tr r="AU32" s="338"/>
      </tp>
      <tp t="s">
        <v>#N/A Requesting Data...624661452</v>
        <stp/>
        <stp>BDP|2213180314153111209</stp>
        <tr r="AF15" s="1"/>
        <tr r="AF16" s="1"/>
        <tr r="AF17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Data...533303549</v>
        <stp/>
        <stp>BDP|6716369783157547983</stp>
        <tr r="V234" s="89"/>
      </tp>
      <tp t="s">
        <v>#N/A N/A</v>
        <stp/>
        <stp>BDP|9588206623063881918</stp>
        <tr r="AF50" s="1"/>
        <tr r="AF51" s="1"/>
      </tp>
      <tp t="s">
        <v>#N/A N/A</v>
        <stp/>
        <stp>BDP|7360582975363056511</stp>
        <tr r="AA211" s="89"/>
        <tr r="Z211" s="89"/>
      </tp>
      <tp t="s">
        <v>#N/A Requesting Data...713571860</v>
        <stp/>
        <stp>BDP|9390709548618762108</stp>
        <tr r="N6" s="252"/>
        <tr r="N6" s="252"/>
      </tp>
      <tp t="s">
        <v>#N/A Requesting Data...3960569273</v>
        <stp/>
        <stp>BDP|7796453577674837314</stp>
        <tr r="U44" s="338"/>
      </tp>
      <tp t="s">
        <v>#N/A Requesting Data...825385033</v>
        <stp/>
        <stp>BDP|7961266924697349349</stp>
        <tr r="X36" s="338"/>
      </tp>
      <tp t="s">
        <v>#N/A Requesting Data...3156980199</v>
        <stp/>
        <stp>BDP|7659781264157478228</stp>
        <tr r="D95" s="89"/>
      </tp>
      <tp t="s">
        <v>#N/A Requesting Data...1061809806</v>
        <stp/>
        <stp>BDP|7777047645317887721</stp>
        <tr r="V145" s="89"/>
      </tp>
      <tp t="s">
        <v>#N/A Requesting Data...2828376755</v>
        <stp/>
        <stp>BDP|2793585885519216544</stp>
        <tr r="L19" s="252"/>
        <tr r="L19" s="252"/>
      </tp>
      <tp t="s">
        <v>#N/A Requesting Data...3953743362</v>
        <stp/>
        <stp>BDP|8230930209200509213</stp>
        <tr r="X30" s="338"/>
      </tp>
      <tp t="s">
        <v>#N/A N/A</v>
        <stp/>
        <stp>BDP|4504254438877448117</stp>
        <tr r="D203" s="89"/>
      </tp>
      <tp t="s">
        <v>#N/A Requesting Data...909511431</v>
        <stp/>
        <stp>BDP|2987243114927275566</stp>
        <tr r="E63" s="89"/>
      </tp>
      <tp t="s">
        <v>#N/A Requesting Data...2600884438</v>
        <stp/>
        <stp>BDP|9739316558495716945</stp>
        <tr r="T11" s="2"/>
      </tp>
      <tp t="s">
        <v>#N/A Requesting Data...1114286150</v>
        <stp/>
        <stp>BDP|3565353060351549485</stp>
        <tr r="F7" s="2"/>
      </tp>
      <tp t="s">
        <v>#N/A Requesting Data...3743612976</v>
        <stp/>
        <stp>BDP|6169555274102368514</stp>
        <tr r="S10" s="338"/>
      </tp>
      <tp t="s">
        <v>#N/A N/A</v>
        <stp/>
        <stp>BDP|9238565426064700974</stp>
        <tr r="Q10" s="338"/>
      </tp>
      <tp t="s">
        <v>#N/A Requesting Data...1725233680</v>
        <stp/>
        <stp>BDP|2465258476870377467</stp>
        <tr r="Z122" s="89"/>
        <tr r="AA122" s="89"/>
      </tp>
      <tp t="s">
        <v>#N/A Requesting Data...829843851</v>
        <stp/>
        <stp>BDP|8020332285295353568</stp>
        <tr r="P32" s="338"/>
      </tp>
      <tp t="s">
        <v>#N/A N/A</v>
        <stp/>
        <stp>BDP|1891482215573037468</stp>
        <tr r="T204" s="89"/>
      </tp>
      <tp t="s">
        <v>#N/A N/A</v>
        <stp/>
        <stp>BDP|3712593953265415595</stp>
        <tr r="K23" s="1"/>
      </tp>
      <tp t="s">
        <v>#N/A Requesting Data...457969195</v>
        <stp/>
        <stp>BDP|1486674387064710827</stp>
        <tr r="AJ55" s="338"/>
        <tr r="AK14" s="338"/>
        <tr r="AK55" s="338"/>
        <tr r="AH55" s="338"/>
        <tr r="AI14" s="338"/>
        <tr r="AI55" s="338"/>
      </tp>
      <tp t="s">
        <v>#N/A Requesting Data...3572344015</v>
        <stp/>
        <stp>BDP|5888175656914033689</stp>
        <tr r="AA24" s="2"/>
      </tp>
      <tp t="s">
        <v>#N/A Requesting Data...2883522452</v>
        <stp/>
        <stp>BDP|1111234221652305017</stp>
        <tr r="AD11" s="2"/>
      </tp>
      <tp t="s">
        <v>#N/A Requesting Data...1736741732</v>
        <stp/>
        <stp>BDP|6109913190467097261</stp>
        <tr r="AF36" s="1"/>
        <tr r="AG32" s="338"/>
        <tr r="AG46" s="338"/>
        <tr r="AG50" s="338"/>
        <tr r="AG8" s="338"/>
      </tp>
      <tp t="s">
        <v>#N/A Requesting Data...849879176</v>
        <stp/>
        <stp>BDP|5764387578793708167</stp>
        <tr r="M20" s="252"/>
      </tp>
      <tp t="s">
        <v>#N/A N/A</v>
        <stp/>
        <stp>BDP|6515604110606525460</stp>
        <tr r="AC56" s="1"/>
      </tp>
      <tp t="s">
        <v>#N/A Requesting Data...3670768726</v>
        <stp/>
        <stp>BDP|2834421045940985100</stp>
        <tr r="E186" s="89"/>
      </tp>
      <tp t="s">
        <v>#N/A Requesting Data...1872297572</v>
        <stp/>
        <stp>BDP|6555173421444373279</stp>
        <tr r="AI13" s="338"/>
      </tp>
      <tp t="s">
        <v>#N/A Requesting Data...2940881328</v>
        <stp/>
        <stp>BDP|9226344490726854691</stp>
        <tr r="E101" s="89"/>
      </tp>
      <tp t="s">
        <v>#N/A N/A</v>
        <stp/>
        <stp>BDP|6281575064076017068</stp>
        <tr r="AC14" s="1"/>
      </tp>
      <tp t="s">
        <v>#N/A Requesting Data...1143700016</v>
        <stp/>
        <stp>BDP|6247087616267870331</stp>
        <tr r="AH29" s="338"/>
        <tr r="AH30" s="338"/>
      </tp>
      <tp t="s">
        <v>#N/A Requesting Data...2942295431</v>
        <stp/>
        <stp>BDP|4307029492407618910</stp>
        <tr r="AK45" s="338"/>
      </tp>
      <tp t="s">
        <v>#N/A Requesting Data...588906705</v>
        <stp/>
        <stp>BDP|8245865345547421013</stp>
        <tr r="AC32" s="1"/>
        <tr r="AC33" s="1"/>
        <tr r="AC34" s="1"/>
        <tr r="AC35" s="1"/>
        <tr r="D30" s="446"/>
      </tp>
      <tp t="s">
        <v>#N/A N/A</v>
        <stp/>
        <stp>BDP|4601602557361779536</stp>
        <tr r="E23" s="2"/>
      </tp>
      <tp t="s">
        <v>#N/A N/A</v>
        <stp/>
        <stp>BDH|5384350011514201009</stp>
        <tr r="AM34" s="338"/>
        <tr r="AM13" s="338"/>
      </tp>
      <tp>
        <v>77.424999999999997</v>
        <stp/>
        <stp>BDP|8491242153513196784|22</stp>
        <stp>SHEL Equity</stp>
        <stp>LAST PRICE</stp>
        <tr r="I30" s="338"/>
      </tp>
      <tp>
        <v>116.2</v>
        <stp/>
        <stp>BDP|18176311034118889492|22</stp>
        <stp>META US 07/17/26 C670 Equity</stp>
        <stp>ask</stp>
        <tr r="L7" s="89"/>
        <tr r="L26" s="89"/>
        <tr r="L170" s="89"/>
      </tp>
      <tp t="s">
        <v>#N/A Real Time</v>
        <stp/>
        <stp>BDP|176778424576207183|22</stp>
        <stp>4OK5C 21650 Index</stp>
        <stp>QUOTED_CURRENCY_REALTIME</stp>
        <tr r="F116" s="89"/>
      </tp>
      <tp>
        <v>432.33600000000001</v>
        <stp/>
        <stp>BDP|9988051122657863096|22</stp>
        <stp>MSFT US Equity</stp>
        <stp>LAST_PRICE</stp>
        <tr r="S203" s="89"/>
        <tr r="S204" s="89"/>
        <tr r="S205" s="89"/>
        <tr r="S211" s="89"/>
        <tr r="S212" s="89"/>
        <tr r="S235" s="89"/>
        <tr r="Z18" s="2"/>
        <tr r="S213" s="89"/>
      </tp>
      <tp>
        <v>23.7</v>
        <stp/>
        <stp>BDP|13077608409888620624|22</stp>
        <stp>NVDA US 07/17/26 C195 Equity</stp>
        <stp>bid</stp>
        <tr r="K237" s="89"/>
      </tp>
      <tp>
        <v>-0.1111963614821434</v>
        <stp/>
        <stp>BDP|12098786877158670568|22</stp>
        <stp>TSM US 06/18/26 C340 Equity</stp>
        <stp>theta_mid_rt</stp>
        <tr r="AN24" s="2"/>
      </tp>
      <tp t="s">
        <v>USD</v>
        <stp/>
        <stp>BDP|15742101950255539597|22</stp>
        <stp>MSFT US 02/20/26 P410 Equity</stp>
        <stp>QUOTED_CURRENCY_REALTIME</stp>
        <tr r="F205" s="89"/>
        <tr r="F213" s="89"/>
      </tp>
      <tp>
        <v>8.1999999999999993</v>
        <stp/>
        <stp>BDP|15563065055018194263|22</stp>
        <stp>INTC US 07/17/26 C50 Equity</stp>
        <stp>ask</stp>
        <tr r="Q20" s="2"/>
        <tr r="L196" s="89"/>
      </tp>
      <tp>
        <v>432.33600000000001</v>
        <stp/>
        <stp>BDP|1720488993946020104|22</stp>
        <stp>MSFT Equity</stp>
        <stp>LAST PRICE</stp>
        <tr r="G8" s="338"/>
        <tr r="G9" s="338"/>
      </tp>
      <tp t="s">
        <v>#N/A N/A</v>
        <stp/>
        <stp>BDP|12642213475526475226|22</stp>
        <stp>QQQ US 01/21/26 P616 Equity</stp>
        <stp>bid</stp>
        <tr r="K76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#N/A N/A</v>
        <stp/>
        <stp>BDP|37914852814694011</stp>
        <tr r="AD23" s="2"/>
      </tp>
      <tp t="s">
        <v>USD</v>
        <stp/>
        <stp>BDP|15807974610555755775|22</stp>
        <stp>MRVL US 03/20/26 P85 Equity</stp>
        <stp>QUOTED_CURRENCY_REALTIME</stp>
        <tr r="G14" s="2"/>
      </tp>
      <tp>
        <v>9552.58</v>
        <stp/>
        <stp>BDP|8345363860153837789|22</stp>
        <stp>HSCEI Index</stp>
        <stp>LAST_PRICE</stp>
        <tr r="H19" s="252"/>
        <tr r="H19" s="252"/>
      </tp>
      <tp>
        <v>2.65</v>
        <stp/>
        <stp>BDP|16635244585526588457|22</stp>
        <stp>MRVL US 03/20/26 P70 Equity</stp>
        <stp>mid</stp>
        <tr r="L17" s="2"/>
      </tp>
      <tp>
        <v>17.3</v>
        <stp/>
        <stp>BDP|11549499930516457816|22</stp>
        <stp>AVGO US 06/18/26 C410 Equity</stp>
        <stp>bid</stp>
        <tr r="K222" s="89"/>
      </tp>
      <tp>
        <v>9.2200000000000006</v>
        <stp/>
        <stp>BDP|16199323523634865039|22</stp>
        <stp>MRVL US 03/20/26 P85 Equity</stp>
        <stp>mid</stp>
        <tr r="L14" s="2"/>
      </tp>
      <tp>
        <v>35.15</v>
        <stp/>
        <stp>BDP|17652529992752880187|22</stp>
        <stp>AVGO US 06/18/26 C350 Equity</stp>
        <stp>bid</stp>
        <tr r="P5" s="2"/>
        <tr r="K223" s="89"/>
      </tp>
      <tp t="s">
        <v>USD</v>
        <stp/>
        <stp>BDP|15044284398524356946|22</stp>
        <stp>GOOG US 07/17/26 C350 Equity</stp>
        <stp>QUOTED_CURRENCY_REALTIME</stp>
        <tr r="F236" s="89"/>
      </tp>
      <tp>
        <v>0.27</v>
        <stp/>
        <stp>BDP|15901604230708554053|22</stp>
        <stp>ASHR US 02/20/26 C35 Equity</stp>
        <stp>mid</stp>
        <tr r="L4" s="2"/>
      </tp>
      <tp>
        <v>118.41</v>
        <stp/>
        <stp>BDP|9714868770676517625|22</stp>
        <stp>DELL US Equity</stp>
        <stp>LAST_PRICE</stp>
        <tr r="S49" s="89"/>
        <tr r="S50" s="89"/>
      </tp>
      <tp t="s">
        <v>USD</v>
        <stp/>
        <stp>BDP|14649358559893085324|22</stp>
        <stp>AVGO US 06/18/26 C350 Equity</stp>
        <stp>QUOTED_CURRENCY_REALTIME</stp>
        <tr r="G5" s="2"/>
        <tr r="F223" s="89"/>
      </tp>
      <tp>
        <v>2.76</v>
        <stp/>
        <stp>BDP|15925931344332195569|22</stp>
        <stp>MRVL US 03/20/26 P70 Equity</stp>
        <stp>ask</stp>
        <tr r="Q17" s="2"/>
        <tr r="L63" s="89"/>
      </tp>
      <tp>
        <v>9.1</v>
        <stp/>
        <stp>BDP|10246542437065037496|22</stp>
        <stp>MRVL US 03/20/26 P85 Equity</stp>
        <stp>bid</stp>
        <tr r="P14" s="2"/>
      </tp>
      <tp t="s">
        <v>#N/A Real Time</v>
        <stp/>
        <stp>BDP|10445519633806217931|22</stp>
        <stp>QQQ US 01/15/26 P623 Equity</stp>
        <stp>bid</stp>
        <tr r="K68" s="89"/>
      </tp>
      <tp>
        <v>0.52</v>
        <stp/>
        <stp>BDP|10106172909594712695|22</stp>
        <stp>QQQ US 01/30/26 P620 Equity</stp>
        <stp>bid</stp>
        <tr r="P23" s="2"/>
      </tp>
      <tp t="s">
        <v>USD</v>
        <stp/>
        <stp>BDP|15517053885309908143|22</stp>
        <stp>NVDA US 07/17/26 C195 Equity</stp>
        <stp>QUOTED_CURRENCY_REALTIME</stp>
        <tr r="F237" s="89"/>
      </tp>
      <tp t="s">
        <v>USD</v>
        <stp/>
        <stp>BDP|16138004719282524725|22</stp>
        <stp>MSFT US 02/20/26 C450 Equity</stp>
        <stp>QUOTED_CURRENCY_REALTIME</stp>
        <tr r="F203" s="89"/>
      </tp>
      <tp>
        <v>6.95</v>
        <stp/>
        <stp>BDP|10691487052039370592|22</stp>
        <stp>MSFT US 02/20/26 C445 Equity</stp>
        <stp>ask</stp>
        <tr r="L211" s="89"/>
      </tp>
      <tp>
        <v>18.100000000000001</v>
        <stp/>
        <stp>BDP|982929759879592273|22</stp>
        <stp>TSM US 06/18/26 C380 Equity</stp>
        <stp>bid</stp>
        <tr r="P25" s="2"/>
      </tp>
      <tp>
        <v>6.25</v>
        <stp/>
        <stp>BDP|12289700020985263311|22</stp>
        <stp>MRVL US 03/20/26 P80 Equity</stp>
        <stp>bid</stp>
        <tr r="P16" s="2"/>
        <tr r="K62" s="89"/>
      </tp>
      <tp>
        <v>711.29250000000002</v>
        <stp/>
        <stp>BDP|12318182968788510555|22</stp>
        <stp>NDEUCHF Index</stp>
        <stp>LAST_PRICE</stp>
        <tr r="H16" s="252"/>
        <tr r="H16" s="252"/>
      </tp>
      <tp>
        <v>338.875</v>
        <stp/>
        <stp>BDP|2010687940946133293|22</stp>
        <stp>GOOG US Equity</stp>
        <stp>LAST_PRICE</stp>
        <tr r="S236" s="89"/>
      </tp>
      <tp>
        <v>0.68</v>
        <stp/>
        <stp>BDP|11111265580234639760|22</stp>
        <stp>DELL US 02/06/26 P110 Equity</stp>
        <stp>bid</stp>
        <tr r="K50" s="89"/>
      </tp>
      <tp>
        <v>432.33600000000001</v>
        <stp/>
        <stp>BDP|1912830234697829517|22</stp>
        <stp>MSFT Equity</stp>
        <stp>LAST_PRICE</stp>
        <tr r="I32" s="1"/>
        <tr r="I33" s="1"/>
        <tr r="I34" s="1"/>
        <tr r="I35" s="1"/>
      </tp>
      <tp>
        <v>0.01</v>
        <stp/>
        <stp>BDP|13025211079997579337|22</stp>
        <stp>QQQ US 01/23/26 P615 Equity</stp>
        <stp>ask</stp>
        <tr r="L75" s="89"/>
      </tp>
      <tp>
        <v>17.45</v>
        <stp/>
        <stp>BDP|10919516749140731717|22</stp>
        <stp>GDX US 09/18/26 C105 Equity</stp>
        <stp>bid</stp>
        <tr r="K13" s="89"/>
        <tr r="P9" s="2"/>
      </tp>
      <tp>
        <v>0.17</v>
        <stp/>
        <stp>BDP|14325170417620805040|22</stp>
        <stp>QQQ US 01/29/26 P628 Equity</stp>
        <stp>bid</stp>
        <tr r="P22" s="2"/>
        <tr r="K81" s="89"/>
      </tp>
      <tp>
        <v>105.46</v>
        <stp/>
        <stp>BDP|11511261369815685982|22</stp>
        <stp>QQQE EQUITY</stp>
        <stp>LAST_PRICE</stp>
        <tr r="I7" s="1"/>
      </tp>
      <tp t="s">
        <v>USD</v>
        <stp/>
        <stp>BDP|13882225679450827566|22</stp>
        <stp>MSFT US 02/20/26 C435 Equity</stp>
        <stp>QUOTED_CURRENCY_REALTIME</stp>
        <tr r="F204" s="89"/>
      </tp>
      <tp>
        <v>83.17</v>
        <stp/>
        <stp>BDP|8263106965958046051|22</stp>
        <stp>NFLX US Equity</stp>
        <stp>LAST_PRICE</stp>
        <tr r="S187" s="89"/>
        <tr r="S188" s="89"/>
        <tr r="S186" s="89"/>
      </tp>
      <tp>
        <v>8.35</v>
        <stp/>
        <stp>BDP|12374218908081165086|22</stp>
        <stp>NFLX US 03/20/26 P90 Equity</stp>
        <stp>ask</stp>
        <tr r="L187" s="89"/>
      </tp>
      <tp>
        <v>-0.33667081594467163</v>
        <stp/>
        <stp>BDP|6852050318923921669|22</stp>
        <stp>NFLX US 03/20/26 P80 Equity</stp>
        <stp>DELTA_MID_RT</stp>
        <tr r="W188" s="89"/>
      </tp>
      <tp t="s">
        <v>#N/A N/A</v>
        <stp/>
        <stp>BDP|47883857911709246</stp>
        <tr r="AV9" s="2"/>
        <tr r="R14" s="89"/>
        <tr r="R13" s="89"/>
        <tr r="AV10" s="2"/>
      </tp>
      <tp t="s">
        <v>#N/A Requesting Data...2131379501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4.25</v>
        <stp/>
        <stp>BDP|14841963169371507253|22</stp>
        <stp>MRVL US 03/20/26 P75 Equity</stp>
        <stp>mid</stp>
        <tr r="L15" s="2"/>
      </tp>
      <tp>
        <v>258.41000000000003</v>
        <stp/>
        <stp>BDP|13852632459561529635|22</stp>
        <stp>AAPL EQUITY</stp>
        <stp>LAST_PRICE</stp>
        <tr r="C6" s="1"/>
      </tp>
      <tp>
        <v>38498.379999999997</v>
        <stp/>
        <stp>BDP|4029547894834693880|22</stp>
        <stp>TXIN0UNU Index</stp>
        <stp>LAST_PRICE</stp>
        <tr r="H10" s="252"/>
        <tr r="H10" s="252"/>
      </tp>
      <tp t="s">
        <v>USD</v>
        <stp/>
        <stp>BDP|3263925161699445113|22</stp>
        <stp>NVDA US 02/06/26 C197.5 Equity</stp>
        <stp>QUOTED_CURRENCY_REALTIME</stp>
        <tr r="G7" s="2"/>
        <tr r="F33" s="89"/>
      </tp>
      <tp>
        <v>1.77</v>
        <stp/>
        <stp>BDP|15215339532765560763|22</stp>
        <stp>DELL US 02/06/26 P115 Equity</stp>
        <stp>bid</stp>
        <tr r="K49" s="89"/>
      </tp>
      <tp>
        <v>543.35</v>
        <stp/>
        <stp>BDP|9828940858298145952|22</stp>
        <stp>MA Equity</stp>
        <stp>LAST PRICE</stp>
        <tr r="G16" s="338"/>
        <tr r="G38" s="338"/>
        <tr r="G40" s="338"/>
      </tp>
      <tp>
        <v>157.35</v>
        <stp/>
        <stp>BDP|7581686725725045071|22</stp>
        <stp>BIDU Equity</stp>
        <stp>LAST_PRICE</stp>
        <tr r="I13" s="1"/>
      </tp>
      <tp>
        <v>-0.21060480177402496</v>
        <stp/>
        <stp>BDP|3838306440182995341|22</stp>
        <stp>META US 07/17/26 C700 Equity</stp>
        <stp>theta_mid_rt</stp>
        <tr r="AN13" s="2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BDP|12492213811966261198|22</stp>
        <stp>DELL US 02/06/26 P110 Equity</stp>
        <stp>QUOTED_CURRENCY_REALTIME</stp>
        <tr r="F50" s="89"/>
      </tp>
      <tp t="s">
        <v>USD</v>
        <stp/>
        <stp>BDP|13270901624241508025|22</stp>
        <stp>AMAT US 01/23/26 P280 Equity</stp>
        <stp>QUOTED_CURRENCY_REALTIME</stp>
        <tr r="F56" s="89"/>
      </tp>
      <tp>
        <v>4.4000000000000004</v>
        <stp/>
        <stp>BDP|17311283871303777118|22</stp>
        <stp>MRVL US 03/20/26 P75 Equity</stp>
        <stp>ask</stp>
        <tr r="Q15" s="2"/>
      </tp>
      <tp>
        <v>0.03</v>
        <stp/>
        <stp>BDP|11546932509834899026|22</stp>
        <stp>AMAT US 01/23/26 P290 Equity</stp>
        <stp>ask</stp>
        <tr r="L55" s="89"/>
      </tp>
      <tp>
        <v>17.600000000000001</v>
        <stp/>
        <stp>BDP|13407383351402000483|22</stp>
        <stp>AVGO US 06/18/26 C410 Equity</stp>
        <stp>ask</stp>
        <tr r="L222" s="89"/>
      </tp>
      <tp>
        <v>192.565</v>
        <stp/>
        <stp>BDP|2630581548609766860|22</stp>
        <stp>NVDA US Equity</stp>
        <stp>LAST_PRICE</stp>
        <tr r="S237" s="89"/>
        <tr r="S34" s="89"/>
        <tr r="Z6" s="2"/>
        <tr r="S33" s="89"/>
        <tr r="Z8" s="2"/>
        <tr r="Z7" s="2"/>
        <tr r="S39" s="89"/>
      </tp>
      <tp t="s">
        <v>USD</v>
        <stp/>
        <stp>BDP|16004856901519448852|22</stp>
        <stp>INTC US 07/17/26 C60 Equity</stp>
        <stp>QUOTED_CURRENCY_REALTIME</stp>
        <tr r="G19" s="2"/>
        <tr r="F195" s="89"/>
      </tp>
      <tp>
        <v>338.47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476.63</v>
        <stp/>
        <stp>BDP|16804995271076659285|22</stp>
        <stp>BRK/B Equity</stp>
        <stp>LAST PRICE</stp>
        <tr r="I18" s="338"/>
      </tp>
      <tp>
        <v>9.35</v>
        <stp/>
        <stp>BDP|13966874951199659074|22</stp>
        <stp>MRVL US 03/20/26 P85 Equity</stp>
        <stp>ask</stp>
        <tr r="Q14" s="2"/>
      </tp>
      <tp>
        <v>35.5</v>
        <stp/>
        <stp>BDP|16021407028720881249|22</stp>
        <stp>AVGO US 06/18/26 C350 Equity</stp>
        <stp>ask</stp>
        <tr r="Q5" s="2"/>
        <tr r="L223" s="89"/>
      </tp>
      <tp>
        <v>174.73</v>
        <stp/>
        <stp>BDP|6290765801174780597|22</stp>
        <stp>WDAY Equity</stp>
        <stp>LAST PRICE</stp>
        <tr r="L10" s="446"/>
      </tp>
      <tp>
        <v>0.78</v>
        <stp/>
        <stp>BDP|12042499060543611620|22</stp>
        <stp>NVDA US 02/13/26 C210 Equity</stp>
        <stp>bid</stp>
        <tr r="K40" s="89"/>
      </tp>
      <tp>
        <v>3.25</v>
        <stp/>
        <stp>BDP|15563000227893054160|22</stp>
        <stp>NVDA US 02/06/26 C195 Equity</stp>
        <stp>bid</stp>
        <tr r="K39" s="89"/>
      </tp>
      <tp>
        <v>6950.56</v>
        <stp/>
        <stp>BDP|2596990609892593565|22</stp>
        <stp>SPX Index</stp>
        <stp>LAST_PRICE</stp>
        <tr r="S160" s="89"/>
      </tp>
      <tp t="s">
        <v>#N/A Real Time</v>
        <stp/>
        <stp>BDP|17731858862065377261|22</stp>
        <stp>QQQ US 01/15/26 P623 Equity</stp>
        <stp>ask</stp>
        <tr r="L68" s="89"/>
      </tp>
      <tp>
        <v>8057.59</v>
        <stp/>
        <stp>BDP|17372378885504057467|22</stp>
        <stp>CSIN0301 Index</stp>
        <stp>LAST_PRICE</stp>
        <tr r="H7" s="252"/>
        <tr r="H7" s="252"/>
      </tp>
      <tp>
        <v>7.65</v>
        <stp/>
        <stp>BDP|13492411471909401383|22</stp>
        <stp>INTC US 07/17/26 C50 Equity</stp>
        <stp>mid</stp>
        <tr r="L20" s="2"/>
      </tp>
      <tp>
        <v>23.85</v>
        <stp/>
        <stp>BDP|11464015968203804117|22</stp>
        <stp>NVDA US 07/17/26 C195 Equity</stp>
        <stp>ask</stp>
        <tr r="L237" s="89"/>
      </tp>
      <tp>
        <v>12.9</v>
        <stp/>
        <stp>BDP|15214879456180859876|22</stp>
        <stp>MSFT US 07/17/26 C500 Equity</stp>
        <stp>ask</stp>
        <tr r="Q18" s="2"/>
      </tp>
      <tp>
        <v>15.55</v>
        <stp/>
        <stp>BDP|10572433094613538553|22</stp>
        <stp>NVDA US 05/15/26 C200 Equity</stp>
        <stp>mid</stp>
        <tr r="L6" s="2"/>
      </tp>
      <tp>
        <v>241.8</v>
        <stp/>
        <stp>BDP|12911088506019095722|22</stp>
        <stp>AMZN EQUITY</stp>
        <stp>LAST_PRICE</stp>
        <tr r="C5" s="1"/>
      </tp>
      <tp t="s">
        <v>USD</v>
        <stp/>
        <stp>BDP|11036012457682524302|22</stp>
        <stp>NVDA US 02/06/26 C195 Equity</stp>
        <stp>QUOTED_CURRENCY_REALTIME</stp>
        <tr r="F39" s="89"/>
      </tp>
      <tp t="s">
        <v>USD</v>
        <stp/>
        <stp>BDP|11114719998807946412|22</stp>
        <stp>NVDA US 02/13/26 C210 Equity</stp>
        <stp>QUOTED_CURRENCY_REALTIME</stp>
        <tr r="F40" s="89"/>
      </tp>
      <tp t="s">
        <v>USD</v>
        <stp/>
        <stp>BDP|9340133311689882262|22</stp>
        <stp>NVDA US 02/13/26 C202.5 Equity</stp>
        <stp>QUOTED_CURRENCY_REALTIME</stp>
        <tr r="G8" s="2"/>
        <tr r="F34" s="89"/>
      </tp>
      <tp>
        <v>15.6</v>
        <stp/>
        <stp>BDP|15097796525407453303|22</stp>
        <stp>NVDA US 05/15/26 C200 Equity</stp>
        <stp>ask</stp>
        <tr r="Q6" s="2"/>
      </tp>
      <tp>
        <v>5.1898</v>
        <stp/>
        <stp>BDP|10515480241315630363|22</stp>
        <stp>brl Curncy</stp>
        <stp>LAST_PRICE</stp>
        <tr r="AC3" s="1"/>
      </tp>
      <tp>
        <v>0.02</v>
        <stp/>
        <stp>BDP|17449657277951760835|22</stp>
        <stp>QQQ US 01/29/26 P625 Equity</stp>
        <stp>bid</stp>
        <tr r="K82" s="89"/>
      </tp>
      <tp>
        <v>6.8</v>
        <stp/>
        <stp>BDP|17796047069567767238|22</stp>
        <stp>MSFT US 02/20/26 C445 Equity</stp>
        <stp>bid</stp>
        <tr r="K211" s="89"/>
      </tp>
      <tp>
        <v>2.41</v>
        <stp/>
        <stp>BDP|11810525163719928784|22</stp>
        <stp>NFLX US 03/20/26 P80 Equity</stp>
        <stp>ask</stp>
        <tr r="L188" s="89"/>
      </tp>
      <tp>
        <v>192.565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37.35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Data...1252040156</v>
        <stp/>
        <stp>BDP|751520279507684047</stp>
        <tr r="X40" s="338"/>
      </tp>
      <tp t="s">
        <v>#N/A Requesting Data...4261147755</v>
        <stp/>
        <stp>BDP|196285167087372652</stp>
        <tr r="O19" s="89"/>
      </tp>
      <tp t="s">
        <v>#N/A Requesting Data...990494445</v>
        <stp/>
        <stp>BDP|711948671629350257</stp>
        <tr r="E19" s="89"/>
      </tp>
      <tp t="s">
        <v>#N/A Requesting Data...4124499333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>
        <v>0.56642699241638184</v>
        <stp/>
        <stp>BDP|1582912119927825825|22</stp>
        <stp>NVDA US 07/17/26 C195 Equity</stp>
        <stp>DELTA_MID_RT</stp>
        <tr r="W237" s="89"/>
      </tp>
      <tp>
        <v>189.54</v>
        <stp/>
        <stp>BDP|15031025441735979532|22</stp>
        <stp>RDDT Equity</stp>
        <stp>LAST PRICE</stp>
        <tr r="L11" s="446"/>
      </tp>
      <tp>
        <v>21.85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Data...2834831002</v>
        <stp/>
        <stp>BDP|608595985359488024</stp>
        <tr r="AH13" s="338"/>
        <tr r="AH34" s="338"/>
        <tr r="AJ13" s="338"/>
        <tr r="AJ34" s="338"/>
      </tp>
      <tp t="s">
        <v>#N/A Requesting Data...1380509178</v>
        <stp/>
        <stp>BDP|707708639631714132</stp>
        <tr r="E234" s="89"/>
      </tp>
      <tp t="s">
        <v>#N/A Requesting Data...979223534</v>
        <stp/>
        <stp>BDP|179535275676098042</stp>
        <tr r="C75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Data...3758166707</v>
        <stp/>
        <stp>BDP|686234847331911027</stp>
        <tr r="G17" s="446"/>
      </tp>
      <tp t="s">
        <v>#N/A Requesting Data...3013351233</v>
        <stp/>
        <stp>BDP|845945561529258153</stp>
        <tr r="X37" s="338"/>
      </tp>
      <tp t="s">
        <v>#N/A Requesting Data...1541780216</v>
        <stp/>
        <stp>BDP|719080694298469649</stp>
        <tr r="F12" s="2"/>
      </tp>
      <tp t="s">
        <v>#N/A Requesting Data...3855044736</v>
        <stp/>
        <stp>BDP|408762416568436914</stp>
        <tr r="T116" s="89"/>
      </tp>
      <tp t="s">
        <v>#N/A Requesting Data...2330557429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5841.1</v>
        <stp/>
        <stp>BDP|7715274099356745424|22</stp>
        <stp>HSTECH Index</stp>
        <stp>LAST_PRICE</stp>
        <tr r="H14" s="252"/>
        <tr r="H14" s="252"/>
      </tp>
      <tp>
        <v>694.65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Data...2603509228</v>
        <stp/>
        <stp>BDP|780556548910196765</stp>
        <tr r="L52" s="338"/>
        <tr r="H52" s="338"/>
        <tr r="L53" s="338"/>
        <tr r="H53" s="338"/>
        <tr r="L54" s="338"/>
        <tr r="H54" s="338"/>
      </tp>
      <tp t="s">
        <v>#N/A Requesting Data...2188683185</v>
        <stp/>
        <stp>BDP|729521579226123201</stp>
        <tr r="C236" s="89"/>
      </tp>
      <tp t="s">
        <v>#N/A N/A</v>
        <stp/>
        <stp>BDP|703780504329627859</stp>
        <tr r="AI29" s="1"/>
        <tr r="AI30" s="1"/>
        <tr r="AI31" s="1"/>
      </tp>
      <tp t="s">
        <v>#N/A Requesting Data...820779365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Data...4125956263</v>
        <stp/>
        <stp>BDP|294565388632351941</stp>
        <tr r="V75" s="89"/>
      </tp>
      <tp t="s">
        <v>#N/A Requesting Data...1576875665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169.1</v>
        <stp/>
        <stp>BDP|7132801475716187902|22</stp>
        <stp>ORCL EQUITY</stp>
        <stp>LAST_PRICE</stp>
        <tr r="C10" s="1"/>
      </tp>
      <tp>
        <v>0.35888233780860901</v>
        <stp/>
        <stp>BDP|3921340733218828052|22</stp>
        <stp>MSFT US 02/20/26 C445 Equity</stp>
        <stp>DELTA_MID_RT</stp>
        <tr r="W211" s="89"/>
      </tp>
      <tp t="s">
        <v>#N/A Requesting Data...1521638718</v>
        <stp/>
        <stp>BDP|930699410161740793</stp>
        <tr r="D24" s="2"/>
      </tp>
      <tp t="s">
        <v>#N/A Requesting Data...2565630109</v>
        <stp/>
        <stp>BDP|517543108217561323</stp>
        <tr r="P53" s="338"/>
      </tp>
      <tp t="s">
        <v>#N/A Requesting Data...1605311929</v>
        <stp/>
        <stp>BDP|244764414260319781</stp>
        <tr r="O18" s="252"/>
      </tp>
      <tp t="s">
        <v>#N/A Requesting Data...1763566943</v>
        <stp/>
        <stp>BDP|896518566545118787</stp>
        <tr r="AA102" s="89"/>
        <tr r="Z102" s="89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8" s="1"/>
      </tp>
      <tp t="s">
        <v>#N/A Requesting Data...2744818815</v>
        <stp/>
        <stp>BDP|999131207671054040</stp>
        <tr r="P55" s="338"/>
      </tp>
      <tp t="s">
        <v>#N/A N/A</v>
        <stp/>
        <stp>BDP|798980087638306908</stp>
        <tr r="K4" s="1"/>
      </tp>
      <tp t="s">
        <v>#N/A Requesting Data...4176946903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0.12182334810495377</v>
        <stp/>
        <stp>BDP|3119816362787157926|22</stp>
        <stp>NVDA US 02/13/26 C210 Equity</stp>
        <stp>DELTA_MID_RT</stp>
        <tr r="W40" s="89"/>
      </tp>
      <tp>
        <v>198.595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Data...3633250535</v>
        <stp/>
        <stp>BDP|661100657203862412</stp>
        <tr r="C40" s="89"/>
      </tp>
      <tp t="s">
        <v>#N/A N/A</v>
        <stp/>
        <stp>BDP|400489739133855744</stp>
        <tr r="AF37" s="1"/>
      </tp>
      <tp t="s">
        <v>#N/A Requesting Data...2424859799</v>
        <stp/>
        <stp>BDP|103387833183780070</stp>
        <tr r="Z108" s="89"/>
        <tr r="AA108" s="89"/>
      </tp>
      <tp>
        <v>86.22</v>
        <stp/>
        <stp>BDP|6244681688337820540|22</stp>
        <stp>KBWB EQUITY</stp>
        <stp>LAST_PRICE</stp>
        <tr r="I1" s="1"/>
      </tp>
      <tp>
        <v>-0.15260209143161774</v>
        <stp/>
        <stp>BDP|6165044578768178450|22</stp>
        <stp>DELL US 02/06/26 P110 Equity</stp>
        <stp>DELTA_MID_RT</stp>
        <tr r="W50" s="89"/>
      </tp>
      <tp>
        <v>16.984999999999999</v>
        <stp/>
        <stp>BDP|11593899381746563402|22</stp>
        <stp>RIOT Equity</stp>
        <stp>LAST_PRICE</stp>
        <tr r="I54" s="1"/>
      </tp>
      <tp>
        <v>20.05</v>
        <stp/>
        <stp>BDP|7303697284640564666|22</stp>
        <stp>TSM US 06/18/26 C380 Equity</stp>
        <stp>ask</stp>
        <tr r="Q25" s="2"/>
      </tp>
      <tp>
        <v>23.7</v>
        <stp/>
        <stp>BDP|3151677417243031834|22</stp>
        <stp>TSM US 07/17/26 C380 Equity</stp>
        <stp>ask</stp>
        <tr r="L20" s="89"/>
      </tp>
      <tp t="s">
        <v>#N/A N/A</v>
        <stp/>
        <stp>BDP|450712038053400567</stp>
        <tr r="AG12" s="1"/>
      </tp>
      <tp>
        <v>629.82000000000005</v>
        <stp/>
        <stp>BDP|13846945124532688911|22</stp>
        <stp>QQQ Equity</stp>
        <stp>LAST_PRICE</stp>
        <tr r="I18" s="1"/>
      </tp>
      <tp t="s">
        <v>#N/A Requesting Data...1138684091</v>
        <stp/>
        <stp>BDP|908193390539320353</stp>
        <tr r="AA62" s="89"/>
        <tr r="Z62" s="89"/>
      </tp>
      <tp t="s">
        <v>#N/A N/A</v>
        <stp/>
        <stp>BDH|591106963746880385</stp>
        <tr r="AS42" s="338"/>
      </tp>
      <tp t="s">
        <v>#N/A Requesting Data...3378834807</v>
        <stp/>
        <stp>BDP|990393331705558743</stp>
        <tr r="T8" s="2"/>
        <tr r="O34" s="89"/>
      </tp>
      <tp t="s">
        <v>#N/A Requesting Data...3012532322</v>
        <stp/>
        <stp>BDP|310378113498032857</stp>
        <tr r="AB36" s="1"/>
        <tr r="F9" s="446"/>
      </tp>
      <tp>
        <v>0.42860513925552368</v>
        <stp/>
        <stp>BDP|2773479736639591037|22</stp>
        <stp>NVDA US 02/06/26 C195 Equity</stp>
        <stp>DELTA_MID_RT</stp>
        <tr r="W39" s="89"/>
      </tp>
      <tp>
        <v>-0.20738953351974487</v>
        <stp/>
        <stp>BDP|5551973401497312809|22</stp>
        <stp>AVGO US 06/18/26 P270 Equity</stp>
        <stp>DELTA_MID_RT</stp>
        <tr r="W225" s="89"/>
      </tp>
      <tp>
        <v>6.9523999999999999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Data...2864774263</v>
        <stp/>
        <stp>BDP|630836919334916088</stp>
        <tr r="X10" s="338"/>
      </tp>
      <tp t="s">
        <v>#N/A N/A</v>
        <stp/>
        <stp>BDP|894652130481491978</stp>
        <tr r="AC12" s="2"/>
        <tr r="AC13" s="2"/>
      </tp>
      <tp t="s">
        <v>#N/A Requesting Data...1723509746</v>
        <stp/>
        <stp>BDP|270487313100359854</stp>
        <tr r="V17" s="338"/>
      </tp>
      <tp t="s">
        <v>#N/A Requesting Data...2920774069</v>
        <stp/>
        <stp>BDP|255515909950592887</stp>
        <tr r="AD18" s="2"/>
      </tp>
      <tp>
        <v>694.65</v>
        <stp/>
        <stp>BDP|13189918054944550299|22</stp>
        <stp>SPY Equity</stp>
        <stp>LAST_PRICE</stp>
        <tr r="X3" s="1"/>
      </tp>
      <tp>
        <v>-0.31908029317855835</v>
        <stp/>
        <stp>BDP|6782369029995673063|22</stp>
        <stp>MSFT US 02/20/26 P420 Equity</stp>
        <stp>DELTA_MID_RT</stp>
        <tr r="W212" s="89"/>
      </tp>
      <tp>
        <v>-7.0989906787872314E-2</v>
        <stp/>
        <stp>BDP|3178362372691625299|22</stp>
        <stp>MRVL US 03/20/26 P80 Equity</stp>
        <stp>theta_mid_rt</stp>
        <tr r="AN16" s="2"/>
      </tp>
      <tp t="s">
        <v>#N/A Real Time</v>
        <stp/>
        <stp>BDP|5899528920965095514|22</stp>
        <stp>QQQ US 01/15/26 P622 Equity</stp>
        <stp>QUOTED_CURRENCY_REALTIME</stp>
        <tr r="F69" s="89"/>
      </tp>
      <tp>
        <v>360.94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N/A</v>
        <stp/>
        <stp>BDH|739200794976788182</stp>
        <tr r="AN42" s="338"/>
        <tr r="AN41" s="338"/>
      </tp>
      <tp t="s">
        <v>#N/A N/A</v>
        <stp/>
        <stp>BDP|719089596741783407</stp>
        <tr r="R49" s="89"/>
        <tr r="R50" s="89"/>
      </tp>
      <tp t="s">
        <v>#N/A Requesting Data...2307360820</v>
        <stp/>
        <stp>BDP|127253274771311898</stp>
        <tr r="AF25" s="1"/>
        <tr r="AF26" s="1"/>
        <tr r="AG11" s="338"/>
      </tp>
      <tp t="s">
        <v>#N/A Requesting Data...4009575978</v>
        <stp/>
        <stp>BDP|824832122673497597</stp>
        <tr r="E40" s="89"/>
      </tp>
      <tp t="s">
        <v>#N/A Requesting Data...2463693824</v>
        <stp/>
        <stp>BDP|827675090525898604</stp>
        <tr r="AF41" s="338"/>
        <tr r="AF42" s="338"/>
      </tp>
      <tp t="s">
        <v>#N/A N/A</v>
        <stp/>
        <stp>BDP|884706678934880897</stp>
        <tr r="Q12" s="338"/>
      </tp>
      <tp t="s">
        <v>#N/A Requesting Data...2627678341</v>
        <stp/>
        <stp>BDP|782705090920373269</stp>
        <tr r="D129" s="89"/>
      </tp>
      <tp t="s">
        <v>#N/A Requesting Data...1772182253</v>
        <stp/>
        <stp>BDP|404252579678701218</stp>
        <tr r="T14" s="2"/>
      </tp>
      <tp t="s">
        <v>#N/A Requesting Data...789289408</v>
        <stp/>
        <stp>BDP|747191926384069867</stp>
        <tr r="L15" s="252"/>
        <tr r="L15" s="252"/>
      </tp>
      <tp t="s">
        <v>#N/A Requesting Data...3331675330</v>
        <stp/>
        <stp>BDP|250232642990829947</stp>
        <tr r="D10" s="2"/>
        <tr r="C14" s="89"/>
      </tp>
      <tp t="s">
        <v>#N/A Requesting Data...2228217338</v>
        <stp/>
        <stp>BDP|176347289857022339</stp>
        <tr r="S17" s="252"/>
      </tp>
      <tp t="s">
        <v>#N/A N/A</v>
        <stp/>
        <stp>BDP|176462091734903668</stp>
        <tr r="O204" s="89"/>
      </tp>
      <tp t="s">
        <v>#N/A Requesting Data...785094613</v>
        <stp/>
        <stp>BDP|278537766618564487</stp>
        <tr r="U17" s="338"/>
      </tp>
      <tp t="s">
        <v>#N/A N/A</v>
        <stp/>
        <stp>BDP|987924063845804559</stp>
        <tr r="E4" s="1"/>
      </tp>
      <tp t="s">
        <v>#N/A Requesting Data...2685014769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740.35</v>
        <stp/>
        <stp>BDP|3305523752982270676|22</stp>
        <stp>META EQUITY</stp>
        <stp>LAST_PRICE</stp>
        <tr r="C9" s="1"/>
      </tp>
      <tp>
        <v>-4.4060000218451023E-3</v>
        <stp/>
        <stp>BDP|4448489992068111945|22</stp>
        <stp>AMAT US 01/23/26 P290 Equity</stp>
        <stp>DELTA_MID_RT</stp>
        <tr r="W55" s="89"/>
      </tp>
      <tp>
        <v>198.595</v>
        <stp/>
        <stp>BDP|10381440186149181728|22</stp>
        <stp>RSP Equity</stp>
        <stp>LAST_PRICE</stp>
        <tr r="I16" s="1"/>
        <tr r="I15" s="1"/>
        <tr r="I17" s="1"/>
      </tp>
      <tp t="s">
        <v>#N/A N/A</v>
        <stp/>
        <stp>BDP|887987616640012698</stp>
        <tr r="AB12" s="1"/>
      </tp>
      <tp t="s">
        <v>#N/A Requesting Data...3646369242</v>
        <stp/>
        <stp>BDP|364330932177526925</stp>
        <tr r="S37" s="338"/>
      </tp>
      <tp t="s">
        <v>#N/A N/A</v>
        <stp/>
        <stp>BDP|308105164449948089</stp>
        <tr r="K38" s="1"/>
      </tp>
      <tp>
        <v>33.97</v>
        <stp/>
        <stp>BDP|18329643987132492211|22</stp>
        <stp>ASHR Equity</stp>
        <stp>LAST_PRICE</stp>
        <tr r="H6" s="252"/>
        <tr r="H6" s="252"/>
        <tr r="I14" s="1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Data...1274935990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Data...965776120</v>
        <stp/>
        <stp>BDP|321567796020124549</stp>
        <tr r="F43" s="446"/>
      </tp>
      <tp t="s">
        <v>#N/A Requesting Data...1527577523</v>
        <stp/>
        <stp>BDP|748281786590893378</stp>
        <tr r="AA160" s="89"/>
        <tr r="Z160" s="89"/>
      </tp>
      <tp>
        <v>0.48904958367347717</v>
        <stp/>
        <stp>BDP|3069894195613271321|22</stp>
        <stp>MSFT US 02/20/26 C435 Equity</stp>
        <stp>DELTA_MID_RT</stp>
        <tr r="W204" s="89"/>
      </tp>
      <tp t="s">
        <v>#N/A Real Time</v>
        <stp/>
        <stp>BDP|1731871426539960425|22</stp>
        <stp>QQQ US 01/15/26 P623 Equity</stp>
        <stp>QUOTED_CURRENCY_REALTIME</stp>
        <tr r="F68" s="89"/>
      </tp>
      <tp>
        <v>43.335000000000001</v>
        <stp/>
        <stp>BDP|16955313478604069014|22</stp>
        <stp>XLU Equity</stp>
        <stp>LAST PRICE</stp>
        <tr r="I42" s="338"/>
      </tp>
      <tp t="s">
        <v>#N/A N/A</v>
        <stp/>
        <stp>BDH|781736500857974832</stp>
        <tr r="AM32" s="338"/>
        <tr r="AM31" s="338"/>
      </tp>
      <tp t="s">
        <v>#N/A Requesting Data...1466658633</v>
        <stp/>
        <stp>BDP|938081193165986446</stp>
        <tr r="U46" s="338"/>
      </tp>
      <tp>
        <v>107.51</v>
        <stp/>
        <stp>BDP|12455594618882884319|22</stp>
        <stp>GDX Equity</stp>
        <stp>LAST_PRICE</stp>
        <tr r="I19" s="1"/>
        <tr r="I20" s="1"/>
        <tr r="I21" s="1"/>
        <tr r="I22" s="1"/>
      </tp>
      <tp t="s">
        <v>#N/A Requesting Data...2065861836</v>
        <stp/>
        <stp>BDP|345620769730348823</stp>
        <tr r="G20" s="446"/>
      </tp>
      <tp t="s">
        <v>#N/A Requesting Data...3440409168</v>
        <stp/>
        <stp>BDP|493910466490440711</stp>
        <tr r="T17" s="2"/>
        <tr r="O63" s="89"/>
      </tp>
      <tp t="s">
        <v>#N/A N/A</v>
        <stp/>
        <stp>BDP|771655587750732627</stp>
        <tr r="AI27" s="1"/>
        <tr r="AI28" s="1"/>
      </tp>
      <tp t="s">
        <v>USD</v>
        <stp/>
        <stp>BDP|5876029209403858680|22</stp>
        <stp>TSM US 06/18/26 C340 Equity</stp>
        <stp>QUOTED_CURRENCY_REALTIME</stp>
        <tr r="G24" s="2"/>
      </tp>
      <tp>
        <v>-2.7517000213265419E-2</v>
        <stp/>
        <stp>BDP|1593024835823764098|22</stp>
        <stp>AMAT US 01/23/26 P280 Equity</stp>
        <stp>DELTA_MID_RT</stp>
        <tr r="W56" s="89"/>
      </tp>
      <tp>
        <v>92.355000000000004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N/A</v>
        <stp/>
        <stp>BDP|410104351027872819</stp>
        <tr r="AB37" s="1"/>
      </tp>
      <tp t="s">
        <v>#N/A Requesting Data...829213681</v>
        <stp/>
        <stp>BDP|764078797243992127</stp>
        <tr r="D56" s="89"/>
      </tp>
      <tp t="s">
        <v>#N/A Requesting Data...3341694507</v>
        <stp/>
        <stp>BDP|237201852408926413</stp>
        <tr r="U35" s="338"/>
      </tp>
      <tp t="s">
        <v>#N/A Requesting Data...1901726560</v>
        <stp/>
        <stp>BDP|410647168382881996</stp>
        <tr r="V54" s="338"/>
      </tp>
      <tp t="s">
        <v>#N/A Requesting Data...2011378850</v>
        <stp/>
        <stp>BDP|981114986491900309</stp>
        <tr r="F8" s="252"/>
      </tp>
      <tp t="s">
        <v>#N/A Requesting Data...934321903</v>
        <stp/>
        <stp>BDP|158907810677526447</stp>
        <tr r="D21" s="2"/>
        <tr r="C197" s="89"/>
      </tp>
      <tp t="s">
        <v>#N/A Requesting Data...3998023835</v>
        <stp/>
        <stp>BDP|612746655750406928</stp>
        <tr r="S16" s="338"/>
        <tr r="S38" s="338"/>
      </tp>
      <tp t="s">
        <v>#N/A N/A</v>
        <stp/>
        <stp>BDP|150228317830515823</stp>
        <tr r="AA23" s="2"/>
      </tp>
      <tp t="s">
        <v>#N/A Real Time</v>
        <stp/>
        <stp>BDP|9931751547643048436|22</stp>
        <stp>4OK5C 21300 Index</stp>
        <stp>bid</stp>
        <tr r="K115" s="89"/>
      </tp>
      <tp>
        <v>331.02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81.305000000000007</v>
        <stp/>
        <stp>BDP|15428137786848034213|22</stp>
        <stp>MRVL Equity</stp>
        <stp>LAST PRICE</stp>
        <tr r="G37" s="338"/>
      </tp>
      <tp>
        <v>0.03</v>
        <stp/>
        <stp>BDP|4453665174864423963|22</stp>
        <stp>QQQ US 01/29/26 P625 Equity</stp>
        <stp>ask</stp>
        <tr r="L82" s="89"/>
      </tp>
      <tp>
        <v>40.784999999999997</v>
        <stp/>
        <stp>BDP|15189910301226923788|22</stp>
        <stp>FXI Equity</stp>
        <stp>LAST_PRICE</stp>
        <tr r="H9" s="252"/>
        <tr r="H9" s="252"/>
      </tp>
      <tp>
        <v>81.305000000000007</v>
        <stp/>
        <stp>BDP|14735743812855208855|22</stp>
        <stp>MRVL Equity</stp>
        <stp>LAST_PRICE</stp>
        <tr r="I53" s="1"/>
      </tp>
      <tp>
        <v>3.3</v>
        <stp/>
        <stp>BDP|2655392201055061554|22</stp>
        <stp>INTC US 07/17/26 P40 Equity</stp>
        <stp>ask</stp>
        <tr r="Q21" s="2"/>
        <tr r="L197" s="89"/>
      </tp>
      <tp>
        <v>19.600000000000001</v>
        <stp/>
        <stp>BDP|2947614605786602114|22</stp>
        <stp>GDX US 09/18/26 C105 Equity</stp>
        <stp>ask</stp>
        <tr r="L13" s="89"/>
        <tr r="Q9" s="2"/>
      </tp>
      <tp>
        <v>192.565</v>
        <stp/>
        <stp>BDP|18083567340910719726|22</stp>
        <stp>NVDA Equity</stp>
        <stp>LAST PRICE</stp>
        <tr r="G14" s="338"/>
        <tr r="G35" s="338"/>
      </tp>
      <tp>
        <v>6.42</v>
        <stp/>
        <stp>BDP|1603579272794795324|22</stp>
        <stp>MRVL US 03/20/26 P80 Equity</stp>
        <stp>mid</stp>
        <tr r="L16" s="2"/>
      </tp>
      <tp t="s">
        <v>#N/A Real Time</v>
        <stp/>
        <stp>BDP|8340553546063687451|22</stp>
        <stp>4OK5C 21650 Index</stp>
        <stp>DELTA_MID_RT</stp>
        <tr r="W116" s="89"/>
      </tp>
      <tp>
        <v>4.63</v>
        <stp/>
        <stp>BDP|3366296364494691481|22</stp>
        <stp>INTC US 07/17/26 C60 Equity</stp>
        <stp>mid</stp>
        <tr r="L19" s="2"/>
      </tp>
      <tp>
        <v>192.565</v>
        <stp/>
        <stp>BDP|10556089213855348182|22</stp>
        <stp>NVDA Equity</stp>
        <stp>LAST_PRICE</stp>
        <tr r="I52" s="1"/>
      </tp>
      <tp t="s">
        <v>USD</v>
        <stp/>
        <stp>BDP|4232577079069091557|22</stp>
        <stp>GDX US 09/18/26 C105 Equity</stp>
        <stp>QUOTED_CURRENCY_REALTIME</stp>
        <tr r="G9" s="2"/>
        <tr r="F13" s="89"/>
      </tp>
      <tp>
        <v>105.46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53.564999999999998</v>
        <stp/>
        <stp>BDP|11210988692762470107|22</stp>
        <stp>XLF Equity</stp>
        <stp>LAST_PRICE</stp>
        <tr r="I55" s="1"/>
      </tp>
      <tp>
        <v>258.41000000000003</v>
        <stp/>
        <stp>BDP|17831911536214693857|22</stp>
        <stp>AAPL Equity</stp>
        <stp>LAST_PRICE</stp>
        <tr r="I25" s="1"/>
        <tr r="I26" s="1"/>
      </tp>
      <tp>
        <v>0.68489223718643188</v>
        <stp/>
        <stp>BDP|3733466537451667433|22</stp>
        <stp>META US 07/17/26 C690 Equity</stp>
        <stp>DELTA_MID_RT</stp>
        <tr r="W8" s="89"/>
      </tp>
      <tp>
        <v>0.53</v>
        <stp/>
        <stp>BDP|4951142799807149941|22</stp>
        <stp>QQQ US 01/30/26 P620 Equity</stp>
        <stp>mid</stp>
        <tr r="L23" s="2"/>
      </tp>
      <tp t="s">
        <v>#N/A Real Time</v>
        <stp/>
        <stp>BDP|7909497283026172618|22</stp>
        <stp>4OK5C 21300 Index</stp>
        <stp>DELTA_MID_RT</stp>
        <tr r="W115" s="89"/>
      </tp>
      <tp>
        <v>48.65</v>
        <stp/>
        <stp>BDP|10275830506276374754|22</stp>
        <stp>INTC Equity</stp>
        <stp>LAST_PRICE</stp>
        <tr r="I50" s="1"/>
        <tr r="I51" s="1"/>
      </tp>
      <tp>
        <v>-1.2205834500491619E-2</v>
        <stp/>
        <stp>BDP|5598166511208398697|22</stp>
        <stp>ASHR US 02/20/26 C35 Equity</stp>
        <stp>theta_mid_rt</stp>
        <tr r="AN4" s="2"/>
      </tp>
      <tp>
        <v>174.46</v>
        <stp/>
        <stp>BDP|16076910053857732698|22</stp>
        <stp>BABA Equity</stp>
        <stp>LAST_PRICE</stp>
        <tr r="I12" s="1"/>
      </tp>
      <tp>
        <v>3.15</v>
        <stp/>
        <stp>BDP|2917703585590040909|22</stp>
        <stp>INTC US 07/17/26 P40 Equity</stp>
        <stp>mid</stp>
        <tr r="L21" s="2"/>
      </tp>
      <tp>
        <v>2.99</v>
        <stp/>
        <stp>BDP|6431933654204043778|22</stp>
        <stp>INTC US 07/17/26 P40 Equity</stp>
        <stp>bid</stp>
        <tr r="P21" s="2"/>
        <tr r="K197" s="89"/>
      </tp>
      <tp t="s">
        <v>#N/A Real Time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72.58</v>
        <stp/>
        <stp>BDP|16675559367525942243|22</stp>
        <stp>TTE Equity</stp>
        <stp>LAST PRICE</stp>
        <tr r="I29" s="338"/>
      </tp>
      <tp>
        <v>0.56418055295944214</v>
        <stp/>
        <stp>BDP|16687792746206833445|22</stp>
        <stp>TSM US 06/18/26 C340 Equity</stp>
        <stp>DELTA_MID_RT</stp>
        <tr r="AF24" s="2"/>
      </tp>
      <tp>
        <v>4157.9840000000004</v>
        <stp/>
        <stp>BDP|8077747707676540560|22</stp>
        <stp>SHCOMP Index</stp>
        <stp>LAST_PRICE</stp>
        <tr r="H20" s="252"/>
        <tr r="H20" s="252"/>
      </tp>
      <tp t="s">
        <v>#N/A Real Time</v>
        <stp/>
        <stp>BDP|9553145545070053911|22</stp>
        <stp>QQQ US 01/15/26 P622 Equity</stp>
        <stp>bid</stp>
        <tr r="K69" s="89"/>
      </tp>
      <tp>
        <v>101.3</v>
        <stp/>
        <stp>BDP|11576966289528241643|22</stp>
        <stp>HOOD Equity</stp>
        <stp>LAST PRICE</stp>
        <tr r="L5" s="446"/>
        <tr r="L6" s="446"/>
      </tp>
      <tp>
        <v>0.57193177938461304</v>
        <stp/>
        <stp>BDP|15150595801257451367|22</stp>
        <stp>TSM US 07/17/26 C340 Equity</stp>
        <stp>DELTA_MID_RT</stp>
        <tr r="W19" s="89"/>
      </tp>
      <tp>
        <v>381.04500000000002</v>
        <stp/>
        <stp>BDP|13530810646219131800|22</stp>
        <stp>LITE Equity</stp>
        <stp>LAST_PRICE</stp>
        <tr r="I41" s="1"/>
      </tp>
      <tp t="s">
        <v>#N/A N/A</v>
        <stp/>
        <stp>BDP|4848892117196030665|22</stp>
        <stp>QQQ US 01/21/26 P616 Equity</stp>
        <stp>ask</stp>
        <tr r="L76" s="89"/>
      </tp>
      <tp t="s">
        <v>#N/A Real Time</v>
        <stp/>
        <stp>BDP|9694420881586169364|22</stp>
        <stp>RFSWZ4C3 2360 Index</stp>
        <stp>QUOTED_CURRENCY_REALTIME</stp>
        <tr r="F122" s="89"/>
      </tp>
      <tp>
        <v>261.20999999999998</v>
        <stp/>
        <stp>BDP|13659659385475398852|22</stp>
        <stp>ACN Equity</stp>
        <stp>LAST PRICE</stp>
        <tr r="L8" s="446"/>
      </tp>
      <tp>
        <v>6.6</v>
        <stp/>
        <stp>BDP|8734482328934403813|22</stp>
        <stp>MRVL US 03/20/26 P80 Equity</stp>
        <stp>ask</stp>
        <tr r="Q16" s="2"/>
        <tr r="L62" s="89"/>
      </tp>
      <tp>
        <v>2.35</v>
        <stp/>
        <stp>BDP|8993060904794494053|22</stp>
        <stp>NFLX US 03/20/26 P80 Equity</stp>
        <stp>bid</stp>
        <tr r="K188" s="89"/>
      </tp>
      <tp>
        <v>14.88</v>
        <stp/>
        <stp>BDP|5153940913904664797|22</stp>
        <stp>GDX US 09/18/26 C115 Equity</stp>
        <stp>mid</stp>
        <tr r="L10" s="2"/>
      </tp>
      <tp>
        <v>331.02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-9.7929000854492188E-2</v>
        <stp/>
        <stp>BDP|13660853806395269308|22</stp>
        <stp>QQQ US 01/21/26 P616 Equity</stp>
        <stp>DELTA_MID_RT</stp>
        <tr r="W76" s="89"/>
      </tp>
      <tp>
        <v>7.1</v>
        <stp/>
        <stp>BDP|9317551536395983431|22</stp>
        <stp>INTC US 07/17/26 C50 Equity</stp>
        <stp>bid</stp>
        <tr r="P20" s="2"/>
        <tr r="K196" s="89"/>
      </tp>
      <tp>
        <v>0.18</v>
        <stp/>
        <stp>BDP|5895266963917453344|22</stp>
        <stp>QQQ US 01/29/26 P628 Equity</stp>
        <stp>ask</stp>
        <tr r="Q22" s="2"/>
        <tr r="L81" s="89"/>
      </tp>
      <tp>
        <v>94.13</v>
        <stp/>
        <stp>BDP|3517880411788471110|22</stp>
        <stp>COPX EQUITY</stp>
        <stp>LAST_PRICE</stp>
        <tr r="I9" s="1"/>
      </tp>
      <tp>
        <v>4.4000000000000004</v>
        <stp/>
        <stp>BDP|8500678922565396001|22</stp>
        <stp>INTC US 07/17/26 C60 Equity</stp>
        <stp>bid</stp>
        <tr r="P19" s="2"/>
        <tr r="K195" s="89"/>
      </tp>
      <tp>
        <v>0.72491014003753662</v>
        <stp/>
        <stp>BDP|1115882164603689622|22</stp>
        <stp>META US 07/17/26 C670 Equity</stp>
        <stp>DELTA_MID_RT</stp>
        <tr r="W7" s="89"/>
        <tr r="W26" s="89"/>
        <tr r="W170" s="89"/>
      </tp>
      <tp>
        <v>18.52</v>
        <stp/>
        <stp>BDP|9235179415749059917|22</stp>
        <stp>GDX US 09/18/26 C105 Equity</stp>
        <stp>mid</stp>
        <tr r="L9" s="2"/>
      </tp>
      <tp>
        <v>5109.46</v>
        <stp/>
        <stp>BDP|13402169581729532440|22</stp>
        <stp>BKNG Equity</stp>
        <stp>LAST PRICE</stp>
        <tr r="G12" s="338"/>
      </tp>
      <tp>
        <v>-2.3465665057301521E-2</v>
        <stp/>
        <stp>BDP|15890717745630617830|22</stp>
        <stp>QQQ US 01/29/26 P625 Equity</stp>
        <stp>DELTA_MID_RT</stp>
        <tr r="W82" s="89"/>
      </tp>
      <tp>
        <v>0.38238629698753357</v>
        <stp/>
        <stp>BDP|17478839230977938286|22</stp>
        <stp>TSM US 06/18/26 C380 Equity</stp>
        <stp>DELTA_MID_RT</stp>
        <tr r="AF25" s="2"/>
      </tp>
      <tp>
        <v>0.48741212487220764</v>
        <stp/>
        <stp>BDP|4089992193290453877|22</stp>
        <stp>LITE US 03/20/26 C420 Equity</stp>
        <stp>DELTA_MID_RT</stp>
        <tr r="AF11" s="2"/>
      </tp>
      <tp>
        <v>7.8</v>
        <stp/>
        <stp>BDP|4874141046161399317|22</stp>
        <stp>NFLX US 03/20/26 P90 Equity</stp>
        <stp>bid</stp>
        <tr r="K187" s="89"/>
      </tp>
      <tp t="s">
        <v>USD</v>
        <stp/>
        <stp>BDP|6580497242376158383|22</stp>
        <stp>GDX US 09/18/26 C115 Equity</stp>
        <stp>QUOTED_CURRENCY_REALTIME</stp>
        <tr r="G10" s="2"/>
        <tr r="F14" s="89"/>
      </tp>
      <tp>
        <v>0.53</v>
        <stp/>
        <stp>BDP|9546820502805748786|22</stp>
        <stp>QQQ US 01/30/26 P620 Equity</stp>
        <stp>ask</stp>
        <tr r="Q23" s="2"/>
      </tp>
      <tp>
        <v>214.10499999999999</v>
        <stp/>
        <stp>BDP|18434337130911834676|22</stp>
        <stp>CRM Equity</stp>
        <stp>LAST PRICE</stp>
        <tr r="G31" s="338"/>
        <tr r="G32" s="338"/>
        <tr r="L9" s="446"/>
      </tp>
      <tp>
        <v>339.5</v>
        <stp/>
        <stp>BDP|13113113388917834281|22</stp>
        <stp>TSM Equity</stp>
        <stp>LAST_PRICE</stp>
        <tr r="I48" s="1"/>
        <tr r="I49" s="1"/>
      </tp>
      <tp t="s">
        <v>#N/A Real Time</v>
        <stp/>
        <stp>BDP|16744070427508501583|22</stp>
        <stp>QQQ US 01/15/26 P622 Equity</stp>
        <stp>DELTA_MID_RT</stp>
        <tr r="W69" s="89"/>
      </tp>
      <tp>
        <v>338.875</v>
        <stp/>
        <stp>BDP|16760158171648826820|22</stp>
        <stp>GOOG Equity</stp>
        <stp>LAST_PRICE</stp>
        <tr r="I23" s="1"/>
        <tr r="I24" s="1"/>
      </tp>
      <tp>
        <v>0.23</v>
        <stp/>
        <stp>BDP|9704315770915911503|22</stp>
        <stp>ASHR US 02/20/26 C35 Equity</stp>
        <stp>bid</stp>
        <tr r="P4" s="2"/>
      </tp>
      <tp>
        <v>14.45</v>
        <stp/>
        <stp>BDP|7029302373160148016|22</stp>
        <stp>GDX US 09/18/26 C115 Equity</stp>
        <stp>bid</stp>
        <tr r="K14" s="89"/>
        <tr r="P10" s="2"/>
      </tp>
      <tp t="s">
        <v>#N/A Real Time</v>
        <stp/>
        <stp>BDP|3703572431849033805|22</stp>
        <stp>3OF5C    22500 Index</stp>
        <stp>DELTA_MID_RT</stp>
        <tr r="W109" s="89"/>
      </tp>
      <tp>
        <v>23.14</v>
        <stp/>
        <stp>BDP|12167170999494993919|22</stp>
        <stp>KHC Equity</stp>
        <stp>LAST_PRICE</stp>
        <tr r="I56" s="1"/>
      </tp>
      <tp>
        <v>5799</v>
        <stp/>
        <stp>BDP|18259571086573127790|22</stp>
        <stp>HCTA Index</stp>
        <stp>LAST PRICE</stp>
        <tr r="L12" s="446"/>
      </tp>
      <tp>
        <v>2.5499999999999998</v>
        <stp/>
        <stp>BDP|5295851568697877083|22</stp>
        <stp>MRVL US 03/20/26 P70 Equity</stp>
        <stp>bid</stp>
        <tr r="P17" s="2"/>
        <tr r="K63" s="89"/>
      </tp>
      <tp t="s">
        <v>#N/A N/A</v>
        <stp/>
        <stp>BDP|6711845542581076228|22</stp>
        <stp>QQQ US 01/23/26 P615 Equity</stp>
        <stp>bid</stp>
        <tr r="K75" s="89"/>
      </tp>
      <tp>
        <v>0.3</v>
        <stp/>
        <stp>BDP|8465872380432047250|22</stp>
        <stp>ASHR US 02/20/26 C35 Equity</stp>
        <stp>ask</stp>
        <tr r="Q4" s="2"/>
      </tp>
      <tp>
        <v>339.5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0.40712881088256836</v>
        <stp/>
        <stp>BDP|18231477560940764707|22</stp>
        <stp>TSM US 07/17/26 C380 Equity</stp>
        <stp>DELTA_MID_RT</stp>
        <tr r="W20" s="89"/>
      </tp>
      <tp>
        <v>4753.87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P&amp;L'!$B$12:$B$57</c:f>
              <c:strCache>
                <c:ptCount val="46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RSP</c:v>
                </c:pt>
                <c:pt idx="4">
                  <c:v>RSP</c:v>
                </c:pt>
                <c:pt idx="5">
                  <c:v>RSP</c:v>
                </c:pt>
                <c:pt idx="6">
                  <c:v>QQQ</c:v>
                </c:pt>
                <c:pt idx="7">
                  <c:v>GDX</c:v>
                </c:pt>
                <c:pt idx="8">
                  <c:v>GDX</c:v>
                </c:pt>
                <c:pt idx="9">
                  <c:v>GDX</c:v>
                </c:pt>
                <c:pt idx="10">
                  <c:v>GDX</c:v>
                </c:pt>
                <c:pt idx="11">
                  <c:v>GOOG</c:v>
                </c:pt>
                <c:pt idx="12">
                  <c:v>GOOG</c:v>
                </c:pt>
                <c:pt idx="13">
                  <c:v>AAPL</c:v>
                </c:pt>
                <c:pt idx="14">
                  <c:v>AAPL</c:v>
                </c:pt>
                <c:pt idx="15">
                  <c:v>AMZN</c:v>
                </c:pt>
                <c:pt idx="16">
                  <c:v>AMZN</c:v>
                </c:pt>
                <c:pt idx="17">
                  <c:v>META</c:v>
                </c:pt>
                <c:pt idx="18">
                  <c:v>META</c:v>
                </c:pt>
                <c:pt idx="19">
                  <c:v>META</c:v>
                </c:pt>
                <c:pt idx="20">
                  <c:v>MSFT</c:v>
                </c:pt>
                <c:pt idx="21">
                  <c:v>MSFT</c:v>
                </c:pt>
                <c:pt idx="22">
                  <c:v>MSFT</c:v>
                </c:pt>
                <c:pt idx="23">
                  <c:v>MSFT</c:v>
                </c:pt>
                <c:pt idx="24">
                  <c:v>IGV</c:v>
                </c:pt>
                <c:pt idx="25">
                  <c:v>000660 KP</c:v>
                </c:pt>
                <c:pt idx="26">
                  <c:v>EWY</c:v>
                </c:pt>
                <c:pt idx="27">
                  <c:v>EWY</c:v>
                </c:pt>
                <c:pt idx="28">
                  <c:v>EWY</c:v>
                </c:pt>
                <c:pt idx="29">
                  <c:v>LITE</c:v>
                </c:pt>
                <c:pt idx="30">
                  <c:v>CSCO</c:v>
                </c:pt>
                <c:pt idx="31">
                  <c:v>AKAM</c:v>
                </c:pt>
                <c:pt idx="32">
                  <c:v>AKAM</c:v>
                </c:pt>
                <c:pt idx="33">
                  <c:v>300502 CH</c:v>
                </c:pt>
                <c:pt idx="34">
                  <c:v>AVGO</c:v>
                </c:pt>
                <c:pt idx="35">
                  <c:v>AVGO</c:v>
                </c:pt>
                <c:pt idx="36">
                  <c:v>TSM</c:v>
                </c:pt>
                <c:pt idx="37">
                  <c:v>TSM</c:v>
                </c:pt>
                <c:pt idx="38">
                  <c:v>INTC</c:v>
                </c:pt>
                <c:pt idx="39">
                  <c:v>INTC</c:v>
                </c:pt>
                <c:pt idx="40">
                  <c:v>NVDA</c:v>
                </c:pt>
                <c:pt idx="41">
                  <c:v>MRVL</c:v>
                </c:pt>
                <c:pt idx="42">
                  <c:v>RIOT</c:v>
                </c:pt>
                <c:pt idx="43">
                  <c:v>XLF</c:v>
                </c:pt>
                <c:pt idx="44">
                  <c:v>KHC</c:v>
                </c:pt>
                <c:pt idx="45">
                  <c:v>XLP</c:v>
                </c:pt>
              </c:strCache>
            </c:strRef>
          </c:cat>
          <c:val>
            <c:numRef>
              <c:f>'Master P&amp;L'!$J$12:$J$57</c:f>
              <c:numCache>
                <c:formatCode>0.00%</c:formatCode>
                <c:ptCount val="46"/>
                <c:pt idx="0">
                  <c:v>-6.8313787999544351E-3</c:v>
                </c:pt>
                <c:pt idx="1">
                  <c:v>-2.0295554005200778E-3</c:v>
                </c:pt>
                <c:pt idx="2">
                  <c:v>9.2097445038621384E-3</c:v>
                </c:pt>
                <c:pt idx="3">
                  <c:v>1.689700393422866E-3</c:v>
                </c:pt>
                <c:pt idx="4">
                  <c:v>5.0354251012145745E-3</c:v>
                </c:pt>
                <c:pt idx="5">
                  <c:v>2.4481348745646336E-3</c:v>
                </c:pt>
                <c:pt idx="6">
                  <c:v>-5.3693818893907341E-3</c:v>
                </c:pt>
                <c:pt idx="7">
                  <c:v>-4.1458630527817286E-2</c:v>
                </c:pt>
                <c:pt idx="8">
                  <c:v>-4.2312488865134501E-2</c:v>
                </c:pt>
                <c:pt idx="9">
                  <c:v>9.3023255814062011E-5</c:v>
                </c:pt>
                <c:pt idx="10">
                  <c:v>1.8606381989028087E-4</c:v>
                </c:pt>
                <c:pt idx="11">
                  <c:v>7.7167836326870187E-3</c:v>
                </c:pt>
                <c:pt idx="12">
                  <c:v>2.6365205803071001E-2</c:v>
                </c:pt>
                <c:pt idx="13">
                  <c:v>7.6821088753704636E-3</c:v>
                </c:pt>
                <c:pt idx="14">
                  <c:v>8.4686231657822297E-3</c:v>
                </c:pt>
                <c:pt idx="15">
                  <c:v>-4.9792189621825633E-3</c:v>
                </c:pt>
                <c:pt idx="16">
                  <c:v>8.7609511889863434E-3</c:v>
                </c:pt>
                <c:pt idx="17">
                  <c:v>0.10709853004949688</c:v>
                </c:pt>
                <c:pt idx="18">
                  <c:v>1.4456015346670403E-2</c:v>
                </c:pt>
                <c:pt idx="19">
                  <c:v>1.9064005505849968E-2</c:v>
                </c:pt>
                <c:pt idx="20">
                  <c:v>-0.10234827564728111</c:v>
                </c:pt>
                <c:pt idx="21">
                  <c:v>1.4036550621916444E-3</c:v>
                </c:pt>
                <c:pt idx="22">
                  <c:v>-3.685617536980923E-2</c:v>
                </c:pt>
                <c:pt idx="23">
                  <c:v>-3.496428571428567E-2</c:v>
                </c:pt>
                <c:pt idx="24">
                  <c:v>-4.8377125193199366E-2</c:v>
                </c:pt>
                <c:pt idx="25">
                  <c:v>2.378121284185486E-2</c:v>
                </c:pt>
                <c:pt idx="26">
                  <c:v>-8.0041414463204452E-3</c:v>
                </c:pt>
                <c:pt idx="27">
                  <c:v>2.1528746001804322E-2</c:v>
                </c:pt>
                <c:pt idx="28">
                  <c:v>4.2328468918810813E-3</c:v>
                </c:pt>
                <c:pt idx="29">
                  <c:v>-1.0272727272727211E-2</c:v>
                </c:pt>
                <c:pt idx="30">
                  <c:v>-6.3323201621073855E-3</c:v>
                </c:pt>
                <c:pt idx="31">
                  <c:v>-2.6836434867776648E-2</c:v>
                </c:pt>
                <c:pt idx="32">
                  <c:v>3.3323235383218019E-3</c:v>
                </c:pt>
                <c:pt idx="33">
                  <c:v>-1.2721027859052825E-4</c:v>
                </c:pt>
                <c:pt idx="34">
                  <c:v>-6.6618653222902946E-3</c:v>
                </c:pt>
                <c:pt idx="35">
                  <c:v>1.7708909795240757E-2</c:v>
                </c:pt>
                <c:pt idx="36">
                  <c:v>-8.1799591002045258E-3</c:v>
                </c:pt>
                <c:pt idx="37">
                  <c:v>2.2344013490725123E-2</c:v>
                </c:pt>
                <c:pt idx="38">
                  <c:v>-2.6650266502665776E-3</c:v>
                </c:pt>
                <c:pt idx="39">
                  <c:v>1.2486992715921019E-2</c:v>
                </c:pt>
                <c:pt idx="40">
                  <c:v>5.4563492063490759E-3</c:v>
                </c:pt>
                <c:pt idx="41">
                  <c:v>-2.7684764410428109E-2</c:v>
                </c:pt>
                <c:pt idx="42">
                  <c:v>-3.2193732193732227E-2</c:v>
                </c:pt>
                <c:pt idx="43">
                  <c:v>1.085110398188327E-2</c:v>
                </c:pt>
                <c:pt idx="44">
                  <c:v>-2.1561017680035155E-3</c:v>
                </c:pt>
                <c:pt idx="45">
                  <c:v>-1.5184645286686616E-3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190500</xdr:colOff>
      <xdr:row>9</xdr:row>
      <xdr:rowOff>83344</xdr:rowOff>
    </xdr:from>
    <xdr:to>
      <xdr:col>37</xdr:col>
      <xdr:colOff>107156</xdr:colOff>
      <xdr:row>44</xdr:row>
      <xdr:rowOff>127567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6EC34A-8E8D-61B2-8972-CD4F7002B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585656" y="1928813"/>
          <a:ext cx="4786313" cy="7521348"/>
        </a:xfrm>
        <a:prstGeom prst="rect">
          <a:avLst/>
        </a:prstGeom>
      </xdr:spPr>
    </xdr:pic>
    <xdr:clientData/>
  </xdr:twoCellAnchor>
  <xdr:twoCellAnchor editAs="oneCell">
    <xdr:from>
      <xdr:col>20</xdr:col>
      <xdr:colOff>726281</xdr:colOff>
      <xdr:row>11</xdr:row>
      <xdr:rowOff>23812</xdr:rowOff>
    </xdr:from>
    <xdr:to>
      <xdr:col>29</xdr:col>
      <xdr:colOff>149829</xdr:colOff>
      <xdr:row>42</xdr:row>
      <xdr:rowOff>130968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1DE855-7604-BC13-5D9B-39BB699E0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78000" y="2274093"/>
          <a:ext cx="4066985" cy="6774656"/>
        </a:xfrm>
        <a:prstGeom prst="rect">
          <a:avLst/>
        </a:prstGeom>
      </xdr:spPr>
    </xdr:pic>
    <xdr:clientData/>
  </xdr:twoCellAnchor>
  <xdr:twoCellAnchor editAs="oneCell">
    <xdr:from>
      <xdr:col>19</xdr:col>
      <xdr:colOff>214313</xdr:colOff>
      <xdr:row>10</xdr:row>
      <xdr:rowOff>107156</xdr:rowOff>
    </xdr:from>
    <xdr:to>
      <xdr:col>27</xdr:col>
      <xdr:colOff>11906</xdr:colOff>
      <xdr:row>45</xdr:row>
      <xdr:rowOff>101863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87D347-6160-290C-4293-D1AD178B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323094" y="2155031"/>
          <a:ext cx="4202906" cy="7471832"/>
        </a:xfrm>
        <a:prstGeom prst="rect">
          <a:avLst/>
        </a:prstGeom>
      </xdr:spPr>
    </xdr:pic>
    <xdr:clientData/>
  </xdr:twoCellAnchor>
  <xdr:twoCellAnchor editAs="oneCell">
    <xdr:from>
      <xdr:col>12</xdr:col>
      <xdr:colOff>166687</xdr:colOff>
      <xdr:row>11</xdr:row>
      <xdr:rowOff>119063</xdr:rowOff>
    </xdr:from>
    <xdr:to>
      <xdr:col>18</xdr:col>
      <xdr:colOff>576890</xdr:colOff>
      <xdr:row>49</xdr:row>
      <xdr:rowOff>117419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1971028-88F2-C889-77F7-108D164E8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77250" y="2369344"/>
          <a:ext cx="4422609" cy="808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2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1.73245729167" createdVersion="8" refreshedVersion="8" minRefreshableVersion="3" recordCount="46" xr:uid="{C35D4399-4CEF-409A-AF8E-A02DC4C552E4}">
  <cacheSource type="worksheet">
    <worksheetSource name="Tabelad"/>
  </cacheSource>
  <cacheFields count="34">
    <cacheField name="Ticker" numFmtId="172">
      <sharedItems containsBlank="1" count="187">
        <s v="BABA"/>
        <s v="BIDU"/>
        <s v="ASHR"/>
        <s v="RSP"/>
        <s v="QQQ"/>
        <s v="GDX"/>
        <s v="GOOG"/>
        <s v="AAPL"/>
        <s v="AMZN"/>
        <s v="META"/>
        <s v="MSFT"/>
        <s v="IGV"/>
        <s v="000660 KP"/>
        <s v="EWY"/>
        <s v="LITE"/>
        <s v="CSCO"/>
        <s v="AKAM"/>
        <s v="300502 CH"/>
        <s v="AVGO"/>
        <s v="TSM"/>
        <s v="INTC"/>
        <s v="NVDA"/>
        <s v="MRVL"/>
        <s v="RIOT"/>
        <s v="XLF"/>
        <s v="KHC"/>
        <s v="XLP"/>
        <s v="NET" u="1"/>
        <s v="AMD" u="1"/>
        <s v="SNDK" u="1"/>
        <s v="1OH6" u="1"/>
        <s v="COPX" u="1"/>
        <s v="000660 KS" u="1"/>
        <s v="KMH6" u="1"/>
        <s v="AMAT" u="1"/>
        <s v="GDX " u="1"/>
        <s v="QQQE" u="1"/>
        <s v="NFLX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BW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9900" maxValue="45750"/>
    </cacheField>
    <cacheField name="Price Today" numFmtId="43">
      <sharedItems containsSemiMixedTypes="0" containsString="0" containsNumber="1" minValue="16.583400000000001" maxValue="861000"/>
    </cacheField>
    <cacheField name="% Chg" numFmtId="10">
      <sharedItems containsSemiMixedTypes="0" containsString="0" containsNumber="1" minValue="-0.11136141851628845" maxValue="0.10237315508501199"/>
    </cacheField>
    <cacheField name="Price Yest" numFmtId="43">
      <sharedItems containsSemiMixedTypes="0" containsString="0" containsNumber="1" minValue="17.55" maxValue="841000"/>
    </cacheField>
    <cacheField name="FX" numFmtId="168">
      <sharedItems containsSemiMixedTypes="0" containsString="0" containsNumber="1" minValue="1" maxValue="1434.45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5925133.5" maxValue="5538523.7599999998"/>
    </cacheField>
    <cacheField name="D1 Exp %" numFmtId="198">
      <sharedItems containsSemiMixedTypes="0" containsString="0" containsNumber="1" minValue="-2.4727578070147423E-3" maxValue="2.3114125389540408E-3"/>
    </cacheField>
    <cacheField name="D1 P&amp;L bps" numFmtId="170">
      <sharedItems containsSemiMixedTypes="0" containsString="0" containsNumber="1" minValue="-0.67151076838641188" maxValue="0.43580070220783101"/>
    </cacheField>
    <cacheField name="Options Exp USD (delta adj)" numFmtId="166">
      <sharedItems containsString="0" containsBlank="1" containsNumber="1" minValue="-6940850.4200577736" maxValue="11646650.552830767"/>
    </cacheField>
    <cacheField name="Option Exp %" numFmtId="10">
      <sharedItems containsString="0" containsBlank="1" containsNumber="1" minValue="-2.8966506937808932E-3" maxValue="4.8605396114846768E-3"/>
    </cacheField>
    <cacheField name="Options P&amp;L bps" numFmtId="170">
      <sharedItems containsString="0" containsBlank="1" containsNumber="1" minValue="-1.5278586265576921" maxValue="2.0343452219294704"/>
    </cacheField>
    <cacheField name="Exp" numFmtId="166">
      <sharedItems containsSemiMixedTypes="0" containsString="0" containsNumber="1" minValue="-6940850.4200577736" maxValue="12554508.666830767"/>
    </cacheField>
    <cacheField name="Exp %" numFmtId="173">
      <sharedItems containsSemiMixedTypes="0" containsString="0" containsNumber="1" minValue="-2.8966506937808932E-3" maxValue="5.2394193850889637E-3"/>
    </cacheField>
    <cacheField name="P&amp;L bps" numFmtId="170">
      <sharedItems containsSemiMixedTypes="0" containsString="0" containsNumber="1" minValue="-2.199369394944104" maxValue="2.0343452219294704"/>
    </cacheField>
    <cacheField name="xx" numFmtId="166">
      <sharedItems containsSemiMixedTypes="0" containsString="0" containsNumber="1" minValue="975.12070402474251" maxValue="43347.518108469907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10465" maxValue="16829.57381606102"/>
    </cacheField>
    <cacheField name="Beta Adj" numFmtId="170">
      <sharedItems containsSemiMixedTypes="0" containsString="0" containsNumber="1" minValue="-0.28755607626121144" maxValue="1.2845348370156759"/>
    </cacheField>
    <cacheField name="Expo Beta Adj" numFmtId="10">
      <sharedItems containsSemiMixedTypes="0" containsString="0" containsNumber="1" minValue="-2.8995761403719975E-3" maxValue="7.7574993286638012E-3"/>
    </cacheField>
    <cacheField name="Vol 10d" numFmtId="43">
      <sharedItems containsSemiMixedTypes="0" containsString="0" containsNumber="1" minValue="8.3349888800213883" maxValue="145.1181996784226"/>
    </cacheField>
    <cacheField name="Beta Adj2" numFmtId="43">
      <sharedItems containsSemiMixedTypes="0" containsString="0" containsNumber="1" minValue="0.36503863334655762" maxValue="2.0717568397521973"/>
    </cacheField>
    <cacheField name="Daily P&amp;L" numFmtId="166">
      <sharedItems containsSemiMixedTypes="0" containsString="0" containsNumber="1" minValue="-150823.67343355069" maxValue="97882.365981781346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2.9260209999999998E-2" maxValue="1.2774819999999999E-2"/>
    </cacheField>
    <cacheField name="Column4" numFmtId="170">
      <sharedItems containsMixedTypes="1" containsNumber="1" minValue="-6.169409644749934E-2" maxValue="0.13537473783530793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m/>
    <s v="USD"/>
    <s v="Long"/>
    <m/>
    <n v="3378"/>
    <n v="174.28"/>
    <n v="-7.8560856199475504E-3"/>
    <n v="175.66"/>
    <n v="1"/>
    <n v="1"/>
    <n v="588717.84"/>
    <n v="2.4569178652073507E-4"/>
    <n v="-1.9454594066939022E-2"/>
    <n v="0"/>
    <n v="0"/>
    <n v="0"/>
    <n v="588717.84"/>
    <n v="2.4569178652073507E-4"/>
    <n v="-1.9454594066939022E-2"/>
    <n v="4124.6800080330504"/>
    <m/>
    <n v="1182.3"/>
    <n v="6.9272776474749193E-2"/>
    <n v="2.1044193456204135E-4"/>
    <n v="45.111985194606703"/>
    <n v="0.85652816295623779"/>
    <n v="-4369.5700508049786"/>
    <m/>
    <s v="20/02/2026"/>
    <e v="#VALUE!"/>
    <e v="#VALUE!"/>
    <s v="12/06/2025"/>
  </r>
  <r>
    <x v="1"/>
    <x v="0"/>
    <m/>
    <s v="USD"/>
    <s v="Long"/>
    <m/>
    <n v="3510"/>
    <n v="156.77000000000001"/>
    <n v="-5.7081245639625244E-3"/>
    <n v="157.66999999999999"/>
    <n v="1"/>
    <n v="1"/>
    <n v="550262.70000000007"/>
    <n v="2.2964316117670785E-4"/>
    <n v="-1.3183571158961013E-2"/>
    <n v="0"/>
    <n v="0"/>
    <n v="0"/>
    <n v="550262.70000000007"/>
    <n v="2.2964316117670785E-4"/>
    <n v="-1.3183571158961013E-2"/>
    <n v="4585.3749556675375"/>
    <m/>
    <n v="1228.5000000000002"/>
    <n v="6.9663925852513353E-2"/>
    <n v="2.3796933983462714E-4"/>
    <n v="48.537165571524419"/>
    <n v="1.0362570285797119"/>
    <n v="-2961.0763144499838"/>
    <m/>
    <s v="26/02/2026"/>
    <e v="#VALUE!"/>
    <e v="#VALUE!"/>
    <s v="#N/A Field Not Applicable"/>
  </r>
  <r>
    <x v="2"/>
    <x v="0"/>
    <m/>
    <s v="USD"/>
    <s v="Long"/>
    <m/>
    <n v="21000"/>
    <n v="33.905000000000001"/>
    <n v="7.2786690433750412E-3"/>
    <n v="33.659999999999997"/>
    <n v="1"/>
    <n v="1"/>
    <n v="712005"/>
    <n v="2.9714367151111981E-4"/>
    <n v="2.1471818174377141E-2"/>
    <n v="918299.85781013966"/>
    <n v="3.8323746504286368E-4"/>
    <n v="2.4798398799585057E-2"/>
    <n v="1630304.8578101397"/>
    <n v="6.8038113655398348E-4"/>
    <n v="4.6270216973962199E-2"/>
    <n v="21201.864969768467"/>
    <m/>
    <n v="16829.57381606102"/>
    <n v="4.077413793454697E-2"/>
    <n v="7.7631189788258297E-4"/>
    <n v="9.5885404797813525"/>
    <n v="1.1409956216812134"/>
    <n v="4822.6456593370795"/>
    <m/>
    <s v="#N/A N/A"/>
    <n v="1.2774819999999999E-2"/>
    <n v="8.6917465508725575E-2"/>
    <s v="19/12/2025"/>
  </r>
  <r>
    <x v="3"/>
    <x v="1"/>
    <m/>
    <s v="USD"/>
    <s v="Short"/>
    <m/>
    <n v="-13000"/>
    <n v="198.16499999999999"/>
    <n v="-4.7916876828402177E-4"/>
    <n v="198.26"/>
    <n v="1"/>
    <n v="1"/>
    <n v="-2576145"/>
    <n v="-1.0751120900064097E-3"/>
    <n v="5.1540710292235104E-3"/>
    <n v="0"/>
    <n v="0"/>
    <n v="0"/>
    <n v="-2576145"/>
    <n v="-1.0751120900064097E-3"/>
    <n v="5.1540710292235104E-3"/>
    <n v="3627.5287351449547"/>
    <m/>
    <n v="-4550"/>
    <n v="-9.1818974357764344E-2"/>
    <n v="-1.0712050944109784E-3"/>
    <n v="13.664655093921144"/>
    <n v="0.99636596441268921"/>
    <n v="1157.6224274598858"/>
    <m/>
    <s v="#N/A N/A"/>
    <e v="#VALUE!"/>
    <e v="#VALUE!"/>
    <s v="22/12/2025"/>
  </r>
  <r>
    <x v="3"/>
    <x v="1"/>
    <m/>
    <s v="USD"/>
    <s v="Short"/>
    <m/>
    <n v="-29900"/>
    <n v="198.16499999999999"/>
    <n v="2.8593117408906021E-3"/>
    <n v="197.6"/>
    <n v="1"/>
    <n v="1"/>
    <n v="-5925133.5"/>
    <n v="-2.4727578070147423E-3"/>
    <n v="-7.0502266341852679E-2"/>
    <m/>
    <m/>
    <m/>
    <n v="-5925133.5"/>
    <n v="-2.4727578070147423E-3"/>
    <n v="-7.0502266341852679E-2"/>
    <n v="3627.5287351449547"/>
    <m/>
    <n v="-10465"/>
    <n v="-0.21118364102285797"/>
    <n v="-2.4637717171452503E-3"/>
    <n v="13.664655093921144"/>
    <n v="0.99636596441268921"/>
    <n v="-15835.056257727718"/>
    <m/>
    <s v="#N/A N/A"/>
    <e v="#VALUE!"/>
    <e v="#VALUE!"/>
    <s v="22/12/2025"/>
  </r>
  <r>
    <x v="3"/>
    <x v="1"/>
    <m/>
    <s v="USD"/>
    <s v="Long"/>
    <m/>
    <n v="20000"/>
    <n v="198.16499999999999"/>
    <n v="2.7762354247640175E-4"/>
    <n v="198.11"/>
    <n v="1"/>
    <n v="1"/>
    <n v="3963300"/>
    <n v="1.654018600009861E-3"/>
    <n v="4.5906705523430791E-3"/>
    <m/>
    <m/>
    <m/>
    <n v="3963300"/>
    <n v="1.654018600009861E-3"/>
    <n v="4.5906705523430791E-3"/>
    <n v="3627.5287351449547"/>
    <m/>
    <n v="6999.9999999999991"/>
    <n v="0.14125996055040665"/>
    <n v="1.6480078375553512E-3"/>
    <n v="13.664655093921144"/>
    <n v="0.99636596441268921"/>
    <n v="1031.0807046197485"/>
    <m/>
    <s v="#N/A N/A"/>
    <e v="#VALUE!"/>
    <e v="#VALUE!"/>
    <s v="22/12/2025"/>
  </r>
  <r>
    <x v="4"/>
    <x v="1"/>
    <m/>
    <s v="USD"/>
    <s v="Short"/>
    <m/>
    <m/>
    <n v="626.32000000000005"/>
    <n v="-1.0896686775528241E-2"/>
    <n v="633.22"/>
    <n v="1"/>
    <n v="1"/>
    <n v="0"/>
    <n v="0"/>
    <n v="0"/>
    <n v="-6940850.4200577736"/>
    <n v="-2.8966506937808932E-3"/>
    <n v="-0.10798509140174892"/>
    <n v="-6940850.4200577736"/>
    <n v="-2.8966506937808932E-3"/>
    <n v="-0.10798509140174892"/>
    <n v="1147.7347550772765"/>
    <m/>
    <n v="-3878.6844536662097"/>
    <n v="-0.28755607626121144"/>
    <n v="-2.8995761403719975E-3"/>
    <n v="15.883507217689404"/>
    <n v="1.0010099411010742"/>
    <n v="0"/>
    <m/>
    <s v="#N/A N/A"/>
    <n v="-1.0580570000000001E-3"/>
    <n v="3.0648215431097307E-2"/>
    <s v="22/12/2025"/>
  </r>
  <r>
    <x v="5"/>
    <x v="2"/>
    <m/>
    <s v="USD"/>
    <m/>
    <m/>
    <n v="14010"/>
    <n v="105.77"/>
    <n v="-5.6972182596290999E-2"/>
    <n v="112.16"/>
    <n v="1"/>
    <n v="1"/>
    <n v="1481837.7"/>
    <n v="6.1842079024949719E-4"/>
    <n v="-0.37361339223733459"/>
    <n v="1040868.8727438431"/>
    <n v="4.3438964390523391E-4"/>
    <n v="-2.5248688037897038E-2"/>
    <n v="2522706.5727438433"/>
    <n v="1.0528104341547312E-3"/>
    <n v="-0.39886208027523162"/>
    <n v="6796.3433090668432"/>
    <m/>
    <n v="8347.8046748638099"/>
    <n v="0.22470452215156878"/>
    <n v="1.0434128869468229E-3"/>
    <n v="34.149284978464642"/>
    <n v="0.9910738468170166"/>
    <n v="-83914.878083949239"/>
    <m/>
    <s v="#N/A N/A"/>
    <n v="1.0788150000000002E-2"/>
    <n v="0.11357876885226366"/>
    <s v="22/12/2025"/>
  </r>
  <r>
    <x v="5"/>
    <x v="2"/>
    <m/>
    <s v="USD"/>
    <m/>
    <m/>
    <n v="10000"/>
    <n v="105.77"/>
    <n v="-5.7812221628362859E-2"/>
    <n v="112.26"/>
    <n v="1"/>
    <n v="1"/>
    <n v="1057700"/>
    <n v="4.4141384029228924E-4"/>
    <n v="-0.27084956258834841"/>
    <m/>
    <m/>
    <m/>
    <n v="1057700"/>
    <n v="4.4141384029228924E-4"/>
    <n v="-0.27084956258834841"/>
    <n v="6796.3433090668432"/>
    <m/>
    <n v="3499.9999999999995"/>
    <n v="9.4212293909874151E-2"/>
    <n v="4.3747371273675131E-4"/>
    <n v="34.149284978464642"/>
    <n v="0.9910738468170166"/>
    <n v="-60833.761572589137"/>
    <m/>
    <s v="#N/A N/A"/>
    <n v="1.0788150000000002E-2"/>
    <n v="4.7620387211492601E-2"/>
    <s v="22/12/2025"/>
  </r>
  <r>
    <x v="5"/>
    <x v="2"/>
    <m/>
    <s v="USD"/>
    <m/>
    <m/>
    <n v="2500"/>
    <n v="105.77"/>
    <n v="-1.6093023255813965E-2"/>
    <n v="107.5"/>
    <n v="1"/>
    <n v="1"/>
    <n v="264425"/>
    <n v="1.1035346007307231E-4"/>
    <n v="-1.8049681944446963E-2"/>
    <m/>
    <m/>
    <m/>
    <n v="264425"/>
    <n v="1.1035346007307231E-4"/>
    <n v="-1.8049681944446963E-2"/>
    <n v="6796.3433090668432"/>
    <m/>
    <n v="874.99999999999989"/>
    <n v="2.3553073477468538E-2"/>
    <n v="1.0936842818418783E-4"/>
    <n v="34.149284978464642"/>
    <n v="0.9910738468170166"/>
    <n v="-4054.0218613474308"/>
    <m/>
    <s v="#N/A N/A"/>
    <n v="1.0788150000000002E-2"/>
    <n v="1.190509680287315E-2"/>
    <s v="22/12/2025"/>
  </r>
  <r>
    <x v="5"/>
    <x v="2"/>
    <m/>
    <s v="USD"/>
    <m/>
    <m/>
    <n v="3345"/>
    <n v="105.77"/>
    <n v="-1.6001488510559159E-2"/>
    <n v="107.49"/>
    <n v="1"/>
    <n v="1"/>
    <n v="353800.64999999997"/>
    <n v="1.4765292957777073E-4"/>
    <n v="-2.4010876323510021E-2"/>
    <m/>
    <m/>
    <m/>
    <n v="353800.64999999997"/>
    <n v="1.4765292957777073E-4"/>
    <n v="-2.4010876323510021E-2"/>
    <n v="6796.3433090668432"/>
    <m/>
    <n v="1170.7499999999998"/>
    <n v="3.1514012312852897E-2"/>
    <n v="1.463349569104433E-4"/>
    <n v="34.149284978464642"/>
    <n v="0.9910738468170166"/>
    <n v="-5392.9270236014418"/>
    <m/>
    <s v="#N/A N/A"/>
    <n v="1.0788150000000002E-2"/>
    <n v="1.5929019522244275E-2"/>
    <s v="22/12/2025"/>
  </r>
  <r>
    <x v="6"/>
    <x v="3"/>
    <m/>
    <s v="USD"/>
    <s v="Long"/>
    <m/>
    <n v="8750"/>
    <n v="335.12299999999999"/>
    <n v="-3.4405852265968484E-3"/>
    <n v="336.28"/>
    <n v="1"/>
    <n v="1"/>
    <n v="2932326.25"/>
    <n v="1.2237585241584451E-3"/>
    <n v="-4.2249819094818897E-2"/>
    <n v="0"/>
    <n v="0"/>
    <n v="0"/>
    <n v="2932326.25"/>
    <n v="1.2237585241584451E-3"/>
    <n v="-4.2249819094818897E-2"/>
    <n v="2145.0310238330403"/>
    <m/>
    <n v="3062.4999999999995"/>
    <n v="0.16567163291648829"/>
    <n v="1.2642538551413175E-3"/>
    <n v="21.660695916187215"/>
    <n v="1.0330909490585327"/>
    <n v="-9489.4575303619258"/>
    <m/>
    <s v="04/02/2026"/>
    <n v="1.1062209999999999E-2"/>
    <n v="0.13537473783530793"/>
    <s v="08/12/2025"/>
  </r>
  <r>
    <x v="6"/>
    <x v="3"/>
    <m/>
    <s v="USD"/>
    <s v="Long"/>
    <m/>
    <n v="5750"/>
    <n v="335.12299999999999"/>
    <n v="1.500136293424581E-2"/>
    <n v="330.17"/>
    <n v="1"/>
    <n v="1"/>
    <n v="1926957.25"/>
    <n v="8.0418417301840678E-4"/>
    <n v="0.11885559060285771"/>
    <m/>
    <m/>
    <m/>
    <n v="1926957.25"/>
    <n v="8.0418417301840678E-4"/>
    <n v="0.11885559060285771"/>
    <n v="2145.0310238330403"/>
    <m/>
    <n v="2012.5"/>
    <n v="0.10886993020226372"/>
    <n v="8.3079539052143719E-4"/>
    <n v="21.660695916187215"/>
    <n v="1.0330909490585327"/>
    <n v="26695.382452186965"/>
    <m/>
    <s v="04/02/2026"/>
    <n v="1.1062209999999999E-2"/>
    <n v="8.896054200605949E-2"/>
    <s v="08/12/2025"/>
  </r>
  <r>
    <x v="7"/>
    <x v="3"/>
    <m/>
    <s v="USD"/>
    <s v="Long"/>
    <m/>
    <n v="10800"/>
    <n v="258.10000000000002"/>
    <n v="6.4732491031040951E-3"/>
    <n v="256.44"/>
    <n v="1"/>
    <n v="1"/>
    <n v="2787480.0000000005"/>
    <n v="1.1633093046591195E-3"/>
    <n v="7.4819583329491166E-2"/>
    <n v="0"/>
    <n v="0"/>
    <n v="0"/>
    <n v="2787480.0000000005"/>
    <n v="1.1633093046591195E-3"/>
    <n v="7.4819583329491166E-2"/>
    <n v="2785.157814025571"/>
    <m/>
    <n v="3780.0000000000005"/>
    <n v="0.20418619855342079"/>
    <n v="1.2459206059106714E-3"/>
    <n v="28.083495625542547"/>
    <n v="1.0710140466690063"/>
    <n v="16804.740793118537"/>
    <m/>
    <s v="29/01/2026"/>
    <n v="5.303327E-3"/>
    <n v="6.169409644749934E-2"/>
    <s v="10/11/2025"/>
  </r>
  <r>
    <x v="7"/>
    <x v="3"/>
    <m/>
    <s v="USD"/>
    <s v="Long"/>
    <m/>
    <n v="-10800"/>
    <n v="258.10000000000002"/>
    <n v="7.2588198563847683E-3"/>
    <n v="256.24"/>
    <n v="1"/>
    <n v="1"/>
    <n v="-2787480.0000000005"/>
    <n v="-1.1633093046591195E-3"/>
    <n v="-8.3833990959549687E-2"/>
    <m/>
    <m/>
    <m/>
    <n v="-2787480.0000000005"/>
    <n v="-1.1633093046591195E-3"/>
    <n v="-8.3833990959549687E-2"/>
    <n v="2785.157814025571"/>
    <m/>
    <n v="-3780.0000000000005"/>
    <n v="-0.20418619855342079"/>
    <n v="-1.2459206059106714E-3"/>
    <n v="28.083495625542547"/>
    <n v="1.0710140466690063"/>
    <n v="-18829.408358554356"/>
    <m/>
    <s v="29/01/2026"/>
    <n v="5.303327E-3"/>
    <n v="-6.169409644749934E-2"/>
    <s v="10/11/2025"/>
  </r>
  <r>
    <x v="8"/>
    <x v="3"/>
    <m/>
    <s v="USD"/>
    <s v="Long"/>
    <m/>
    <n v="18135"/>
    <n v="240.3"/>
    <n v="-1.1151804452491532E-2"/>
    <n v="243.01"/>
    <n v="1"/>
    <n v="1"/>
    <n v="4357840.5"/>
    <n v="1.8186736413787177E-3"/>
    <n v="-0.20510218760450638"/>
    <n v="0"/>
    <n v="0"/>
    <n v="0"/>
    <n v="4357840.5"/>
    <n v="1.8186736413787177E-3"/>
    <n v="-0.20510218760450638"/>
    <n v="2991.4658002496876"/>
    <m/>
    <n v="6347.2499999999991"/>
    <n v="0.33481496165733871"/>
    <n v="2.3080866504808684E-3"/>
    <n v="29.455748764557359"/>
    <n v="1.2691043615341187"/>
    <n v="-46066.670588323621"/>
    <m/>
    <s v="05/02/2026"/>
    <n v="-8.6412680000000006E-4"/>
    <n v="-1.5715646339689391E-2"/>
    <s v="#N/A Field Not Applicable"/>
  </r>
  <r>
    <x v="8"/>
    <x v="3"/>
    <m/>
    <s v="USD"/>
    <s v="Long"/>
    <m/>
    <n v="-3135"/>
    <n v="240.3"/>
    <n v="2.5031289111390187E-3"/>
    <n v="239.7"/>
    <n v="1"/>
    <n v="1"/>
    <n v="-753340.5"/>
    <n v="-3.1439436811261538E-4"/>
    <n v="-7.8500466445100454E-3"/>
    <m/>
    <m/>
    <m/>
    <n v="-753340.5"/>
    <n v="-3.1439436811261538E-4"/>
    <n v="-7.8500466445100454E-3"/>
    <n v="2991.4658002496876"/>
    <m/>
    <n v="-1097.2499999999995"/>
    <n v="-5.7879509500731022E-2"/>
    <n v="-3.9899926381348341E-4"/>
    <n v="29.455748764557359"/>
    <n v="1.2691043615341187"/>
    <n v="-1763.1480049005293"/>
    <m/>
    <s v="05/02/2026"/>
    <n v="-8.6412680000000006E-4"/>
    <n v="2.7167659925517642E-3"/>
    <s v="#N/A Field Not Applicable"/>
  </r>
  <r>
    <x v="9"/>
    <x v="3"/>
    <m/>
    <s v="USD"/>
    <s v="Long"/>
    <m/>
    <m/>
    <n v="737.19"/>
    <n v="0.10237315508501199"/>
    <n v="668.73"/>
    <n v="1"/>
    <n v="1"/>
    <n v="0"/>
    <n v="0"/>
    <n v="0"/>
    <n v="6801702.80600667"/>
    <n v="2.8385797070305794E-3"/>
    <n v="2.0343452219294704"/>
    <n v="6801702.80600667"/>
    <n v="2.8385797070305794E-3"/>
    <n v="2.0343452219294704"/>
    <n v="975.12070402474251"/>
    <m/>
    <n v="3229.28414940834"/>
    <n v="0.63895520357505842"/>
    <n v="3.3448325347932837E-3"/>
    <n v="36.015487716902783"/>
    <n v="1.1783472299575806"/>
    <n v="0"/>
    <m/>
    <s v="30/04/2026"/>
    <e v="#VALUE!"/>
    <e v="#VALUE!"/>
    <s v="15/12/2025"/>
  </r>
  <r>
    <x v="9"/>
    <x v="3"/>
    <m/>
    <s v="USD"/>
    <s v="Long"/>
    <m/>
    <n v="3250"/>
    <n v="737.19"/>
    <n v="1.012606193477672E-2"/>
    <n v="729.8"/>
    <n v="1"/>
    <n v="1"/>
    <n v="2395867.5"/>
    <n v="9.998762163245592E-4"/>
    <n v="0.10023311817358607"/>
    <m/>
    <m/>
    <m/>
    <n v="2395867.5"/>
    <n v="9.998762163245592E-4"/>
    <n v="0.10023311817358607"/>
    <n v="975.12070402474251"/>
    <m/>
    <n v="1137.5"/>
    <n v="0.22506893492162747"/>
    <n v="1.178201369806511E-3"/>
    <n v="36.015487716902783"/>
    <n v="1.1783472299575806"/>
    <n v="22512.709839286243"/>
    <m/>
    <s v="30/04/2026"/>
    <e v="#VALUE!"/>
    <e v="#VALUE!"/>
    <s v="15/12/2025"/>
  </r>
  <r>
    <x v="9"/>
    <x v="3"/>
    <m/>
    <s v="USD"/>
    <s v="Long"/>
    <m/>
    <n v="750"/>
    <n v="737.19"/>
    <n v="1.4714384033035266E-2"/>
    <n v="726.5"/>
    <n v="1"/>
    <n v="1"/>
    <n v="552892.5"/>
    <n v="2.3074066530566749E-4"/>
    <n v="3.3459728321295706E-2"/>
    <m/>
    <m/>
    <m/>
    <n v="552892.5"/>
    <n v="2.3074066530566749E-4"/>
    <n v="3.3459728321295706E-2"/>
    <n v="975.12070402474251"/>
    <m/>
    <n v="262.49999999999994"/>
    <n v="5.193898498191403E-2"/>
    <n v="2.7189262380150251E-4"/>
    <n v="36.015487716902783"/>
    <n v="1.1783472299575806"/>
    <n v="7515.1723175382931"/>
    <m/>
    <s v="30/04/2026"/>
    <e v="#VALUE!"/>
    <e v="#VALUE!"/>
    <s v="15/12/2025"/>
  </r>
  <r>
    <x v="10"/>
    <x v="3"/>
    <m/>
    <s v="USD"/>
    <s v="Long"/>
    <m/>
    <n v="3000"/>
    <n v="427.995"/>
    <n v="-0.11136141851628845"/>
    <n v="481.63"/>
    <n v="1"/>
    <n v="1"/>
    <n v="1283985"/>
    <n v="5.3585019355932215E-4"/>
    <n v="-0.67151076838641188"/>
    <n v="0"/>
    <n v="0"/>
    <n v="-1.5278586265576921"/>
    <n v="1283985"/>
    <n v="5.3585019355932215E-4"/>
    <n v="-2.199369394944104"/>
    <n v="1679.5739010969753"/>
    <m/>
    <n v="1050"/>
    <n v="9.2720537869938752E-2"/>
    <n v="5.4640091194072698E-4"/>
    <n v="27.685510311470729"/>
    <n v="1.019689679145813"/>
    <n v="-150823.67343355069"/>
    <m/>
    <s v="30/04/2026"/>
    <e v="#VALUE!"/>
    <e v="#VALUE!"/>
    <s v="19/02/2026"/>
  </r>
  <r>
    <x v="10"/>
    <x v="3"/>
    <m/>
    <s v="USD"/>
    <s v="Long"/>
    <m/>
    <n v="4500"/>
    <n v="427.995"/>
    <n v="-8.651240358557466E-3"/>
    <n v="431.73"/>
    <n v="1"/>
    <n v="1"/>
    <n v="1925977.5"/>
    <n v="8.0377529033898317E-4"/>
    <n v="-7.0143359371397165E-2"/>
    <m/>
    <m/>
    <m/>
    <n v="1925977.5"/>
    <n v="8.0377529033898317E-4"/>
    <n v="-7.0143359371397165E-2"/>
    <n v="1679.5739010969753"/>
    <m/>
    <n v="1575"/>
    <n v="0.13908080680490811"/>
    <n v="8.1960136791109047E-4"/>
    <n v="27.685510311470729"/>
    <n v="1.019689679145813"/>
    <n v="-15754.444493548446"/>
    <m/>
    <s v="30/04/2026"/>
    <e v="#VALUE!"/>
    <e v="#VALUE!"/>
    <s v="19/02/2026"/>
  </r>
  <r>
    <x v="10"/>
    <x v="3"/>
    <m/>
    <s v="USD"/>
    <s v="Long"/>
    <m/>
    <n v="-5000"/>
    <n v="427.995"/>
    <n v="-4.6526911423988571E-2"/>
    <n v="448.88"/>
    <n v="1"/>
    <n v="1"/>
    <n v="-2139975"/>
    <n v="-8.9308365593220355E-4"/>
    <n v="0.43580070220783101"/>
    <m/>
    <m/>
    <m/>
    <n v="-2139975"/>
    <n v="-8.9308365593220355E-4"/>
    <n v="0.43580070220783101"/>
    <n v="1679.5739010969753"/>
    <m/>
    <n v="-1750"/>
    <n v="-0.15453422978323123"/>
    <n v="-9.1066818656787823E-4"/>
    <n v="27.685510311470729"/>
    <n v="1.019689679145813"/>
    <n v="97882.365981781346"/>
    <m/>
    <s v="30/04/2026"/>
    <e v="#VALUE!"/>
    <e v="#VALUE!"/>
    <s v="19/02/2026"/>
  </r>
  <r>
    <x v="10"/>
    <x v="3"/>
    <m/>
    <s v="USD"/>
    <s v="Long"/>
    <m/>
    <n v="-2500"/>
    <n v="427.995"/>
    <n v="-4.4654017857142847E-2"/>
    <n v="448"/>
    <n v="1"/>
    <n v="1"/>
    <n v="-1069987.5"/>
    <n v="-4.4654182796610177E-4"/>
    <n v="0.20871900999922577"/>
    <m/>
    <m/>
    <m/>
    <n v="-1069987.5"/>
    <n v="-4.4654182796610177E-4"/>
    <n v="0.20871900999922577"/>
    <n v="1679.5739010969753"/>
    <m/>
    <n v="-875"/>
    <n v="-7.7267114891615613E-2"/>
    <n v="-4.5533409328393911E-4"/>
    <n v="27.685510311470729"/>
    <n v="1.019689679145813"/>
    <n v="46879.02158165037"/>
    <m/>
    <s v="30/04/2026"/>
    <e v="#VALUE!"/>
    <e v="#VALUE!"/>
    <s v="19/02/2026"/>
  </r>
  <r>
    <x v="11"/>
    <x v="3"/>
    <m/>
    <s v="USD"/>
    <s v="Long"/>
    <m/>
    <n v="-4500"/>
    <n v="91.3"/>
    <n v="-5.9247810407006662E-2"/>
    <n v="97.05"/>
    <n v="1"/>
    <n v="1"/>
    <n v="-410850"/>
    <n v="-1.7146154513008132E-4"/>
    <n v="0.10798509140174893"/>
    <m/>
    <m/>
    <m/>
    <n v="-410850"/>
    <n v="-1.7146154513008132E-4"/>
    <n v="0.10798509140174893"/>
    <n v="7873.4855618838992"/>
    <m/>
    <n v="-1574.9999999999998"/>
    <n v="-2.32200512271898E-2"/>
    <n v="-1.7133015803795637E-4"/>
    <n v="21.66788006915359"/>
    <n v="0.99923372268676758"/>
    <n v="24253.830210951339"/>
    <m/>
    <s v="#N/A N/A"/>
    <n v="-2.9260209999999998E-2"/>
    <n v="5.0170008174306564E-2"/>
    <s v="21/03/2024"/>
  </r>
  <r>
    <x v="12"/>
    <x v="4"/>
    <m/>
    <s v="KRW"/>
    <s v="Long"/>
    <m/>
    <n v="2186"/>
    <n v="861000"/>
    <n v="2.378121284185486E-2"/>
    <n v="841000"/>
    <n v="1434.45"/>
    <n v="1"/>
    <n v="1312102.8965805711"/>
    <n v="5.4758473899807719E-4"/>
    <n v="0.12719738420396681"/>
    <n v="0"/>
    <n v="0"/>
    <n v="0"/>
    <n v="1312102.8965805711"/>
    <n v="5.4758473899807719E-4"/>
    <n v="0.12719738420396681"/>
    <n v="1197.6228577880486"/>
    <m/>
    <n v="0.53337516121161421"/>
    <n v="0.20814414634286851"/>
    <n v="8.9480986475097503E-4"/>
    <n v="60.818100000000001"/>
    <n v="1.6341030000000001"/>
    <n v="28568.978547997875"/>
    <m/>
    <s v="23/04/2026"/>
    <e v="#VALUE!"/>
    <e v="#VALUE!"/>
    <s v="26/02/2026"/>
  </r>
  <r>
    <x v="13"/>
    <x v="4"/>
    <m/>
    <s v="USD"/>
    <s v="Long"/>
    <m/>
    <n v="44716"/>
    <n v="123.86"/>
    <n v="-1.3539343740044618E-2"/>
    <n v="125.56"/>
    <n v="1"/>
    <n v="1"/>
    <n v="5538523.7599999998"/>
    <n v="2.3114125389540408E-3"/>
    <n v="-0.31724538319246542"/>
    <n v="0"/>
    <n v="0"/>
    <n v="0"/>
    <n v="5538523.7599999998"/>
    <n v="2.3114125389540408E-3"/>
    <n v="-0.31724538319246542"/>
    <n v="5803.7238155982559"/>
    <m/>
    <n v="15650.599999999999"/>
    <n v="0.49868174552069894"/>
    <n v="2.1704932745007358E-3"/>
    <n v="34.519618604915046"/>
    <n v="0.93903326988220215"/>
    <n v="-71254.425581137519"/>
    <m/>
    <s v="#N/A N/A"/>
    <n v="0"/>
    <n v="0"/>
    <s v="16/12/2025"/>
  </r>
  <r>
    <x v="13"/>
    <x v="4"/>
    <m/>
    <s v="USD"/>
    <s v="Long"/>
    <m/>
    <n v="-10000"/>
    <n v="123.86"/>
    <n v="1.5828754203231377E-2"/>
    <n v="121.93"/>
    <n v="1"/>
    <n v="1"/>
    <n v="-1238600"/>
    <n v="-5.1690950419403371E-4"/>
    <n v="-8.054540150932353E-2"/>
    <m/>
    <m/>
    <m/>
    <n v="-1238600"/>
    <n v="-5.1690950419403371E-4"/>
    <n v="-8.054540150932353E-2"/>
    <n v="5803.7238155982559"/>
    <m/>
    <n v="-3499.9999999999995"/>
    <n v="-0.11152199336271111"/>
    <n v="-4.8539522195651134E-4"/>
    <n v="34.519618604915046"/>
    <n v="0.93903326988220215"/>
    <n v="-18090.779635608076"/>
    <m/>
    <s v="#N/A N/A"/>
    <n v="0"/>
    <n v="0"/>
    <s v="16/12/2025"/>
  </r>
  <r>
    <x v="13"/>
    <x v="4"/>
    <m/>
    <s v="USD"/>
    <s v="Long"/>
    <m/>
    <n v="5000"/>
    <n v="123.86"/>
    <n v="-1.3706361364186348E-3"/>
    <n v="124.03"/>
    <n v="1"/>
    <n v="1"/>
    <n v="619300"/>
    <n v="2.5845475209701686E-4"/>
    <n v="-3.5473363359028991E-3"/>
    <m/>
    <m/>
    <m/>
    <n v="619300"/>
    <n v="2.5845475209701686E-4"/>
    <n v="-3.5473363359028991E-3"/>
    <n v="5803.7238155982559"/>
    <m/>
    <n v="1749.9999999999998"/>
    <n v="5.5760996681355555E-2"/>
    <n v="2.4269761097825567E-4"/>
    <n v="34.519618604915046"/>
    <n v="0.93903326988220215"/>
    <n v="-796.74418084285389"/>
    <m/>
    <s v="#N/A N/A"/>
    <n v="0"/>
    <n v="0"/>
    <s v="16/12/2025"/>
  </r>
  <r>
    <x v="14"/>
    <x v="5"/>
    <m/>
    <s v="USD"/>
    <s v="Long"/>
    <m/>
    <n v="900"/>
    <n v="375.27"/>
    <n v="-2.5272727272727336E-2"/>
    <n v="385"/>
    <n v="1"/>
    <n v="1"/>
    <n v="337743"/>
    <n v="1.4095153130551068E-4"/>
    <n v="-3.6545910933531101E-2"/>
    <n v="1065660.9679305553"/>
    <n v="4.4473622038746765E-4"/>
    <n v="-0.16401213882468543"/>
    <n v="1403403.9679305553"/>
    <n v="5.8568775169297825E-4"/>
    <n v="-0.20055804975821653"/>
    <n v="1915.552087297146"/>
    <m/>
    <n v="1308.9012944698331"/>
    <n v="0.35297824823298352"/>
    <n v="1.1829526804616672E-3"/>
    <n v="96.427694712801099"/>
    <n v="2.0197668075561523"/>
    <n v="-8208.3397548715475"/>
    <m/>
    <s v="03/02/2026"/>
    <e v="#VALUE!"/>
    <e v="#VALUE!"/>
    <s v="#N/A N/A"/>
  </r>
  <r>
    <x v="15"/>
    <x v="5"/>
    <m/>
    <s v="USD"/>
    <s v="Long"/>
    <m/>
    <n v="30410"/>
    <n v="78.665000000000006"/>
    <n v="-3.736068895643152E-3"/>
    <n v="78.959999999999994"/>
    <n v="1"/>
    <n v="1"/>
    <n v="2392202.6500000004"/>
    <n v="9.9834675096330825E-4"/>
    <n v="-3.7438796355960521E-2"/>
    <n v="0"/>
    <n v="0"/>
    <n v="0"/>
    <n v="2392202.6500000004"/>
    <n v="9.9834675096330825E-4"/>
    <n v="-3.7438796355960521E-2"/>
    <n v="9138.1075675332086"/>
    <m/>
    <n v="10643.499999999998"/>
    <n v="0.1593176293523052"/>
    <n v="9.3020018276966795E-4"/>
    <n v="25.533033158842507"/>
    <n v="0.93174058198928833"/>
    <n v="-8408.8849519197938"/>
    <m/>
    <s v="12/02/2026"/>
    <n v="1.139868E-3"/>
    <n v="1.1379835143270445E-2"/>
    <s v="02/01/2026"/>
  </r>
  <r>
    <x v="16"/>
    <x v="5"/>
    <m/>
    <s v="USD"/>
    <s v="Long"/>
    <m/>
    <n v="11600"/>
    <n v="98.69"/>
    <n v="-3.3398628795298646E-2"/>
    <n v="102.1"/>
    <n v="1"/>
    <n v="1"/>
    <n v="1144804"/>
    <n v="4.7776527372787544E-4"/>
    <n v="-0.1650805130623218"/>
    <n v="0"/>
    <n v="0"/>
    <n v="0"/>
    <n v="1144804"/>
    <n v="4.7776527372787544E-4"/>
    <n v="-0.1650805130623218"/>
    <n v="7283.9115594285131"/>
    <m/>
    <n v="4059.9999999999995"/>
    <n v="0.16840392200835791"/>
    <n v="3.5665804907445239E-4"/>
    <n v="56.397208007805801"/>
    <n v="0.74651312828063965"/>
    <n v="-37077.662138140688"/>
    <m/>
    <s v="19/02/2026"/>
    <n v="-5.0930139999999999E-3"/>
    <n v="-2.4332652278099019E-2"/>
    <s v="#N/A Field Not Applicable"/>
  </r>
  <r>
    <x v="16"/>
    <x v="5"/>
    <m/>
    <s v="USD"/>
    <s v="Long"/>
    <m/>
    <n v="-5300"/>
    <n v="98.69"/>
    <n v="-3.4333030394829711E-3"/>
    <n v="99.03"/>
    <n v="1"/>
    <n v="1"/>
    <n v="-523057"/>
    <n v="-2.1828930609980518E-4"/>
    <n v="7.520353032114146E-3"/>
    <m/>
    <m/>
    <m/>
    <n v="-523057"/>
    <n v="-2.1828930609980518E-4"/>
    <n v="7.520353032114146E-3"/>
    <n v="7283.9115594285131"/>
    <m/>
    <n v="-1855.0000000000002"/>
    <n v="-7.6943171262439408E-2"/>
    <n v="-1.6295583276677568E-4"/>
    <n v="56.397208007805801"/>
    <n v="0.74651312828063965"/>
    <n v="1689.0976633868502"/>
    <m/>
    <s v="19/02/2026"/>
    <n v="-5.0930139999999999E-3"/>
    <n v="1.111750492016593E-2"/>
    <s v="#N/A Field Not Applicable"/>
  </r>
  <r>
    <x v="17"/>
    <x v="5"/>
    <m/>
    <s v="CNY"/>
    <s v="Long"/>
    <m/>
    <n v="2600"/>
    <n v="393"/>
    <n v="-1.2721027859052825E-4"/>
    <n v="393.05"/>
    <n v="6.9523999999999999"/>
    <n v="1"/>
    <n v="146970.8302169035"/>
    <n v="6.1335878393674388E-5"/>
    <n v="-7.8035468694259978E-5"/>
    <n v="0"/>
    <n v="0"/>
    <n v="0"/>
    <n v="146970.8302169035"/>
    <n v="6.1335878393674388E-5"/>
    <n v="-7.8035468694259978E-5"/>
    <n v="12716.863611110228"/>
    <m/>
    <n v="130.89005235602093"/>
    <n v="2.2970198288105866E-2"/>
    <n v="7.4631595417192788E-5"/>
    <n v="59.91977"/>
    <n v="1.216769"/>
    <n v="-17.527039923512408"/>
    <m/>
    <s v="22/04/2026"/>
    <e v="#VALUE!"/>
    <e v="#VALUE!"/>
    <s v="28/05/2025"/>
  </r>
  <r>
    <x v="18"/>
    <x v="6"/>
    <m/>
    <s v="USD"/>
    <s v="Long"/>
    <m/>
    <m/>
    <n v="327.88499999999999"/>
    <n v="-1.6069499459848813E-2"/>
    <n v="333.24"/>
    <n v="1"/>
    <n v="1"/>
    <n v="0"/>
    <n v="0"/>
    <n v="0"/>
    <n v="1954718.5338234899"/>
    <n v="8.1576989194056886E-4"/>
    <n v="-0.14773612504818959"/>
    <n v="1954718.5338234899"/>
    <n v="8.1576989194056886E-4"/>
    <n v="-0.14773612504818959"/>
    <n v="2192.3821821675283"/>
    <m/>
    <n v="2086.5592718124385"/>
    <n v="0.2077068267979266"/>
    <n v="1.6571590145583123E-3"/>
    <n v="40.738316792512094"/>
    <n v="2.031404972076416"/>
    <n v="0"/>
    <m/>
    <s v="06/03/2026"/>
    <n v="-2.3705979999999998E-3"/>
    <n v="-1.9338624742945287E-2"/>
    <s v="22/12/2025"/>
  </r>
  <r>
    <x v="18"/>
    <x v="6"/>
    <m/>
    <s v="USD"/>
    <s v="Long"/>
    <m/>
    <n v="1500"/>
    <n v="327.88499999999999"/>
    <n v="8.070466703560264E-3"/>
    <n v="325.26"/>
    <n v="1"/>
    <n v="1"/>
    <n v="491827.5"/>
    <n v="2.0525618373485477E-4"/>
    <n v="1.6432513908961794E-2"/>
    <m/>
    <m/>
    <m/>
    <n v="491827.5"/>
    <n v="2.0525618373485477E-4"/>
    <n v="1.6432513908961794E-2"/>
    <n v="2192.3821821675283"/>
    <m/>
    <n v="525"/>
    <n v="5.2261196478828632E-2"/>
    <n v="4.1695843218841438E-4"/>
    <n v="40.738316792512094"/>
    <n v="2.031404972076416"/>
    <n v="3690.8002494925945"/>
    <m/>
    <s v="06/03/2026"/>
    <n v="-2.3705979999999998E-3"/>
    <n v="-4.8657989864947923E-3"/>
    <s v="22/12/2025"/>
  </r>
  <r>
    <x v="19"/>
    <x v="6"/>
    <m/>
    <s v="USD"/>
    <s v="Long"/>
    <m/>
    <n v="2698"/>
    <n v="336.49299999999999"/>
    <n v="-1.6964650891031274E-2"/>
    <n v="342.3"/>
    <n v="1"/>
    <n v="1"/>
    <n v="907858.11399999994"/>
    <n v="3.788797736042875E-4"/>
    <n v="-6.5384862250332215E-2"/>
    <n v="11646650.552830767"/>
    <n v="4.8605396114846768E-3"/>
    <n v="-1.0135407645572982"/>
    <n v="12554508.666830767"/>
    <n v="5.2394193850889637E-3"/>
    <n v="-1.0789256268076304"/>
    <n v="2136.2977292246792"/>
    <m/>
    <n v="13058.453023958204"/>
    <n v="1.2845348370156759"/>
    <n v="7.7574993286638012E-3"/>
    <n v="39.226784270680859"/>
    <n v="1.4806028604507446"/>
    <n v="-14685.669353059555"/>
    <m/>
    <s v="17/04/2026"/>
    <e v="#VALUE!"/>
    <e v="#VALUE!"/>
    <s v="17/03/2026"/>
  </r>
  <r>
    <x v="19"/>
    <x v="6"/>
    <m/>
    <s v="USD"/>
    <s v="Long"/>
    <m/>
    <n v="2500"/>
    <n v="336.49299999999999"/>
    <n v="1.3288966514092948E-2"/>
    <n v="332.08"/>
    <n v="1"/>
    <n v="1"/>
    <n v="841232.5"/>
    <n v="3.5107466049322418E-4"/>
    <n v="4.6042338971586397E-2"/>
    <m/>
    <m/>
    <m/>
    <n v="841232.5"/>
    <n v="3.5107466049322418E-4"/>
    <n v="4.6042338971586397E-2"/>
    <n v="2136.2977292246792"/>
    <m/>
    <n v="875"/>
    <n v="8.607206231293893E-2"/>
    <n v="5.1980214655804173E-4"/>
    <n v="39.226784270680859"/>
    <n v="1.4806028604507446"/>
    <n v="10341.270794292612"/>
    <m/>
    <s v="17/04/2026"/>
    <e v="#VALUE!"/>
    <e v="#VALUE!"/>
    <s v="17/03/2026"/>
  </r>
  <r>
    <x v="20"/>
    <x v="6"/>
    <m/>
    <s v="USD"/>
    <s v="Long"/>
    <m/>
    <n v="3500"/>
    <n v="48.12"/>
    <n v="-1.3530135301353052E-2"/>
    <n v="48.78"/>
    <n v="1"/>
    <n v="1"/>
    <n v="168420"/>
    <n v="7.028733949326591E-5"/>
    <n v="-9.6404081599243061E-3"/>
    <n v="564679.79334890831"/>
    <n v="2.356598998937297E-4"/>
    <n v="-2.8170023843934473E-2"/>
    <n v="733099.79334890831"/>
    <n v="3.0594723938699562E-4"/>
    <n v="-3.7810432003858779E-2"/>
    <n v="14938.678965087282"/>
    <m/>
    <n v="5332.18885436654"/>
    <n v="0.27749070360265116"/>
    <n v="4.503260351726149E-4"/>
    <n v="145.1181996784226"/>
    <n v="1.4719074964523315"/>
    <n v="-2165.2694797023346"/>
    <m/>
    <s v="24/04/2026"/>
    <e v="#VALUE!"/>
    <e v="#VALUE!"/>
    <s v="03/09/2024"/>
  </r>
  <r>
    <x v="20"/>
    <x v="6"/>
    <m/>
    <s v="USD"/>
    <s v="Long"/>
    <m/>
    <n v="-3500"/>
    <n v="48.12"/>
    <n v="1.4568158168575263E-3"/>
    <n v="48.05"/>
    <n v="1"/>
    <n v="1"/>
    <n v="-168420"/>
    <n v="-7.028733949326591E-5"/>
    <n v="-1.0224675321131823E-3"/>
    <m/>
    <m/>
    <m/>
    <n v="-168420"/>
    <n v="-7.028733949326591E-5"/>
    <n v="-1.0224675321131823E-3"/>
    <n v="14938.678965087282"/>
    <m/>
    <n v="-1225"/>
    <n v="-6.3749826046555255E-2"/>
    <n v="-1.0345646190582811E-4"/>
    <n v="145.1181996784226"/>
    <n v="1.4719074964523315"/>
    <n v="-229.64979330176237"/>
    <m/>
    <s v="24/04/2026"/>
    <e v="#VALUE!"/>
    <e v="#VALUE!"/>
    <s v="03/09/2024"/>
  </r>
  <r>
    <x v="21"/>
    <x v="6"/>
    <m/>
    <s v="USD"/>
    <s v="Long"/>
    <m/>
    <n v="13508"/>
    <n v="191.13499999999999"/>
    <n v="-2.0102339181287121E-3"/>
    <n v="191.52"/>
    <n v="1"/>
    <n v="1"/>
    <n v="2581851.58"/>
    <n v="1.0774936380755552E-3"/>
    <n v="-2.1703772237377222E-2"/>
    <n v="1396551.7311416566"/>
    <n v="5.8282808245257002E-4"/>
    <n v="-0.29682858457775413"/>
    <n v="3978403.3111416567"/>
    <n v="1.660321720528125E-3"/>
    <n v="-0.31853235681513137"/>
    <n v="3760.9502801684671"/>
    <m/>
    <n v="7285.1186799883835"/>
    <n v="0.36486686332667451"/>
    <n v="3.0714519243027292E-3"/>
    <n v="35.161075959241487"/>
    <n v="1.8499137163162231"/>
    <n v="-4874.7433553034061"/>
    <m/>
    <s v="25/02/2026"/>
    <n v="-1.096526E-3"/>
    <n v="-1.820585934923823E-2"/>
    <s v="04/12/2025"/>
  </r>
  <r>
    <x v="22"/>
    <x v="6"/>
    <m/>
    <s v="USD"/>
    <s v="Short"/>
    <m/>
    <n v="-49"/>
    <n v="80.209999999999994"/>
    <n v="-4.0779717770868307E-2"/>
    <n v="83.62"/>
    <n v="1"/>
    <n v="1"/>
    <n v="-3930.2899999999995"/>
    <n v="-1.6402424150159602E-6"/>
    <n v="6.9732285690118976E-4"/>
    <n v="-598978.08109670877"/>
    <n v="-2.4997373076279138E-4"/>
    <n v="0.11069776036449819"/>
    <n v="-602908.37109670881"/>
    <n v="-2.5161397317780736E-4"/>
    <n v="0.11139508322139938"/>
    <n v="8962.0899114823587"/>
    <m/>
    <n v="-2630.8182257056233"/>
    <n v="-6.3019009255389807E-2"/>
    <n v="-4.99001569908337E-4"/>
    <n v="40.073455991003378"/>
    <n v="1.9832029342651367"/>
    <n v="156.62115903180182"/>
    <m/>
    <s v="05/03/2026"/>
    <n v="-1.8895019999999998E-2"/>
    <n v="4.7542510554741339E-2"/>
    <s v="09/01/2026"/>
  </r>
  <r>
    <x v="23"/>
    <x v="7"/>
    <m/>
    <s v="USD"/>
    <s v="Long"/>
    <m/>
    <n v="31600"/>
    <n v="16.583400000000001"/>
    <n v="-5.5076923076923023E-2"/>
    <n v="17.55"/>
    <n v="1"/>
    <n v="1"/>
    <n v="524035.44000000006"/>
    <n v="2.1869764207209941E-4"/>
    <n v="-0.12747273829666486"/>
    <n v="0"/>
    <n v="0"/>
    <n v="0"/>
    <n v="524035.44000000006"/>
    <n v="2.1869764207209941E-4"/>
    <n v="-0.12747273829666486"/>
    <n v="43347.518108469907"/>
    <m/>
    <n v="11060"/>
    <n v="0.15945519393281699"/>
    <n v="4.5308833580054984E-4"/>
    <n v="116.65800686063064"/>
    <n v="2.0717568397521973"/>
    <n v="-28630.824042829587"/>
    <m/>
    <s v="24/02/2026"/>
    <n v="-1.9373229999999998E-2"/>
    <n v="-4.2368797203204585E-2"/>
    <s v="12/10/2017"/>
  </r>
  <r>
    <x v="24"/>
    <x v="8"/>
    <m/>
    <s v="USD"/>
    <s v="Long"/>
    <m/>
    <n v="45750"/>
    <n v="53.41"/>
    <n v="7.9260237780711673E-3"/>
    <n v="52.99"/>
    <n v="1"/>
    <n v="1"/>
    <n v="2443507.5"/>
    <n v="1.0197579931530783E-3"/>
    <n v="8.0190667875732521E-2"/>
    <n v="0"/>
    <n v="0"/>
    <n v="0"/>
    <n v="2443507.5"/>
    <n v="1.0197579931530783E-3"/>
    <n v="8.0190667875732521E-2"/>
    <n v="13459.075674967235"/>
    <m/>
    <n v="16012.499999999998"/>
    <n v="0.10625446555070296"/>
    <n v="1.0195962514183482E-3"/>
    <n v="16.67132261012879"/>
    <n v="0.99984139204025269"/>
    <n v="18011.105217523633"/>
    <m/>
    <s v="#N/A N/A"/>
    <n v="6.416307999999999E-3"/>
    <n v="6.5430813695320403E-2"/>
    <s v="22/12/2025"/>
  </r>
  <r>
    <x v="25"/>
    <x v="8"/>
    <m/>
    <s v="USD"/>
    <s v="Short"/>
    <m/>
    <n v="-11500"/>
    <n v="23.164999999999999"/>
    <n v="-1.0780508840018133E-3"/>
    <n v="23.19"/>
    <n v="1"/>
    <n v="1"/>
    <n v="-266397.5"/>
    <n v="-1.1117665076984506E-4"/>
    <n v="1.1998343489084237E-3"/>
    <n v="0"/>
    <n v="0"/>
    <n v="0"/>
    <n v="-266397.5"/>
    <n v="-1.1117665076984506E-4"/>
    <n v="1.1998343489084237E-3"/>
    <n v="31031.695739261817"/>
    <m/>
    <n v="-4025"/>
    <n v="-2.9678938343306226E-2"/>
    <n v="-4.0583772657071754E-5"/>
    <n v="42.712476963885912"/>
    <n v="0.36503863334655762"/>
    <n v="269.48700234392669"/>
    <m/>
    <s v="11/02/2026"/>
    <e v="#VALUE!"/>
    <e v="#VALUE!"/>
    <s v="28/11/2025"/>
  </r>
  <r>
    <x v="26"/>
    <x v="8"/>
    <m/>
    <s v="USD"/>
    <s v="Short"/>
    <m/>
    <n v="-27500"/>
    <n v="82.224999999999994"/>
    <n v="-1.1540330417881828E-3"/>
    <n v="82.32"/>
    <n v="1"/>
    <n v="1"/>
    <n v="-2261187.5"/>
    <n v="-9.4366971541639481E-4"/>
    <n v="1.0902842561818964E-2"/>
    <n v="0"/>
    <n v="0"/>
    <n v="0"/>
    <n v="-2261187.5"/>
    <n v="-9.4366971541639481E-4"/>
    <n v="1.0902842561818964E-2"/>
    <n v="8742.4655737306166"/>
    <m/>
    <n v="-9625"/>
    <n v="-4.9159228652553746E-2"/>
    <n v="-9.4618452317569567E-4"/>
    <n v="8.3349888800213883"/>
    <n v="1.0026649236679077"/>
    <n v="2448.8166734728352"/>
    <m/>
    <s v="#N/A N/A"/>
    <n v="2.4291360000000003E-4"/>
    <n v="-2.2923020778277195E-3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9" firstHeaderRow="0" firstDataRow="1" firstDataCol="1"/>
  <pivotFields count="34">
    <pivotField axis="axisRow" showAll="0">
      <items count="188">
        <item m="1" x="184"/>
        <item m="1" x="180"/>
        <item m="1" x="160"/>
        <item x="7"/>
        <item m="1" x="141"/>
        <item x="2"/>
        <item m="1" x="104"/>
        <item m="1" x="68"/>
        <item m="1" x="106"/>
        <item m="1" x="87"/>
        <item m="1" x="117"/>
        <item x="5"/>
        <item m="1" x="185"/>
        <item m="1" x="178"/>
        <item m="1" x="183"/>
        <item x="11"/>
        <item m="1" x="156"/>
        <item m="1" x="55"/>
        <item m="1" x="42"/>
        <item x="9"/>
        <item m="1" x="56"/>
        <item x="10"/>
        <item m="1" x="98"/>
        <item m="1" x="125"/>
        <item x="21"/>
        <item m="1" x="186"/>
        <item x="3"/>
        <item m="1" x="43"/>
        <item m="1" x="80"/>
        <item x="19"/>
        <item m="1" x="53"/>
        <item m="1" x="52"/>
        <item m="1" x="41"/>
        <item x="24"/>
        <item x="26"/>
        <item m="1" x="182"/>
        <item m="1" x="181"/>
        <item m="1" x="51"/>
        <item m="1" x="69"/>
        <item m="1" x="172"/>
        <item m="1" x="45"/>
        <item x="4"/>
        <item m="1" x="61"/>
        <item m="1" x="62"/>
        <item m="1" x="63"/>
        <item m="1" x="72"/>
        <item m="1" x="67"/>
        <item m="1" x="81"/>
        <item m="1" x="179"/>
        <item m="1" x="94"/>
        <item m="1" x="138"/>
        <item m="1" x="122"/>
        <item m="1" x="64"/>
        <item m="1" x="170"/>
        <item m="1" x="120"/>
        <item m="1" x="176"/>
        <item m="1" x="115"/>
        <item m="1" x="177"/>
        <item m="1" x="166"/>
        <item m="1" x="175"/>
        <item m="1" x="171"/>
        <item x="8"/>
        <item m="1" x="173"/>
        <item m="1" x="174"/>
        <item m="1" x="158"/>
        <item m="1" x="169"/>
        <item m="1" x="101"/>
        <item m="1" x="146"/>
        <item x="18"/>
        <item m="1" x="144"/>
        <item m="1" x="153"/>
        <item m="1" x="77"/>
        <item m="1" x="92"/>
        <item m="1" x="159"/>
        <item m="1" x="59"/>
        <item m="1" x="152"/>
        <item m="1" x="168"/>
        <item m="1" x="167"/>
        <item m="1" x="112"/>
        <item m="1" x="113"/>
        <item x="13"/>
        <item m="1" x="28"/>
        <item m="1" x="165"/>
        <item m="1" x="32"/>
        <item m="1" x="163"/>
        <item m="1" x="162"/>
        <item m="1" x="128"/>
        <item m="1" x="100"/>
        <item m="1" x="161"/>
        <item m="1" x="164"/>
        <item x="22"/>
        <item m="1" x="154"/>
        <item m="1" x="111"/>
        <item m="1" x="57"/>
        <item m="1" x="95"/>
        <item m="1" x="157"/>
        <item m="1" x="70"/>
        <item m="1" x="121"/>
        <item m="1" x="155"/>
        <item m="1" x="65"/>
        <item m="1" x="139"/>
        <item m="1" x="140"/>
        <item m="1" x="126"/>
        <item m="1" x="71"/>
        <item m="1" x="151"/>
        <item m="1" x="107"/>
        <item m="1" x="150"/>
        <item m="1" x="148"/>
        <item m="1" x="149"/>
        <item m="1" x="147"/>
        <item m="1" x="143"/>
        <item m="1" x="84"/>
        <item m="1" x="34"/>
        <item m="1" x="145"/>
        <item m="1" x="142"/>
        <item m="1" x="124"/>
        <item m="1" x="37"/>
        <item m="1" x="131"/>
        <item m="1" x="132"/>
        <item m="1" x="74"/>
        <item m="1" x="135"/>
        <item m="1" x="127"/>
        <item m="1" x="116"/>
        <item m="1" x="129"/>
        <item m="1" x="137"/>
        <item m="1" x="134"/>
        <item m="1" x="136"/>
        <item m="1" x="102"/>
        <item m="1" x="79"/>
        <item m="1" x="133"/>
        <item m="1" x="91"/>
        <item m="1" x="130"/>
        <item m="1" x="108"/>
        <item m="1" x="109"/>
        <item m="1" x="96"/>
        <item m="1" x="75"/>
        <item m="1" x="118"/>
        <item m="1" x="60"/>
        <item m="1" x="103"/>
        <item m="1" x="93"/>
        <item m="1" x="97"/>
        <item m="1" x="99"/>
        <item m="1" x="76"/>
        <item m="1" x="119"/>
        <item m="1" x="123"/>
        <item m="1" x="114"/>
        <item m="1" x="105"/>
        <item m="1" x="36"/>
        <item m="1" x="110"/>
        <item m="1" x="85"/>
        <item m="1" x="90"/>
        <item m="1" x="73"/>
        <item m="1" x="31"/>
        <item m="1" x="83"/>
        <item m="1" x="89"/>
        <item m="1" x="88"/>
        <item m="1" x="86"/>
        <item m="1" x="82"/>
        <item m="1" x="78"/>
        <item m="1" x="66"/>
        <item m="1" x="58"/>
        <item m="1" x="54"/>
        <item m="1" x="46"/>
        <item x="14"/>
        <item m="1" x="44"/>
        <item m="1" x="47"/>
        <item m="1" x="38"/>
        <item m="1" x="50"/>
        <item m="1" x="48"/>
        <item x="23"/>
        <item m="1" x="49"/>
        <item m="1" x="35"/>
        <item x="1"/>
        <item x="0"/>
        <item x="6"/>
        <item m="1" x="40"/>
        <item m="1" x="30"/>
        <item m="1" x="33"/>
        <item m="1" x="39"/>
        <item x="12"/>
        <item x="25"/>
        <item m="1" x="29"/>
        <item x="20"/>
        <item x="15"/>
        <item x="16"/>
        <item m="1" x="27"/>
        <item x="17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m="1"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7">
    <i>
      <x/>
    </i>
    <i r="1">
      <x v="5"/>
    </i>
    <i r="1">
      <x v="172"/>
    </i>
    <i r="1">
      <x v="173"/>
    </i>
    <i>
      <x v="2"/>
    </i>
    <i r="1">
      <x v="26"/>
    </i>
    <i r="1">
      <x v="41"/>
    </i>
    <i>
      <x v="5"/>
    </i>
    <i r="1">
      <x v="11"/>
    </i>
    <i>
      <x v="13"/>
    </i>
    <i r="1">
      <x v="24"/>
    </i>
    <i r="1">
      <x v="29"/>
    </i>
    <i r="1">
      <x v="68"/>
    </i>
    <i r="1">
      <x v="90"/>
    </i>
    <i r="1">
      <x v="182"/>
    </i>
    <i>
      <x v="14"/>
    </i>
    <i r="1">
      <x v="80"/>
    </i>
    <i r="1">
      <x v="179"/>
    </i>
    <i>
      <x v="21"/>
    </i>
    <i r="1">
      <x v="163"/>
    </i>
    <i r="1">
      <x v="183"/>
    </i>
    <i r="1">
      <x v="184"/>
    </i>
    <i r="1">
      <x v="186"/>
    </i>
    <i>
      <x v="23"/>
    </i>
    <i r="1">
      <x v="169"/>
    </i>
    <i>
      <x v="25"/>
    </i>
    <i r="1">
      <x v="3"/>
    </i>
    <i r="1">
      <x v="15"/>
    </i>
    <i r="1">
      <x v="19"/>
    </i>
    <i r="1">
      <x v="21"/>
    </i>
    <i r="1">
      <x v="61"/>
    </i>
    <i r="1">
      <x v="174"/>
    </i>
    <i>
      <x v="26"/>
    </i>
    <i r="1">
      <x v="33"/>
    </i>
    <i r="1">
      <x v="34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7">
      <pivotArea outline="0" collapsedLevelsAreSubtotals="1" fieldPosition="0"/>
    </format>
    <format dxfId="176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4">
      <pivotArea outline="0" collapsedLevelsAreSubtotals="1" fieldPosition="0"/>
    </format>
    <format dxfId="1763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2">
      <pivotArea outline="0" collapsedLevelsAreSubtotals="1" fieldPosition="0"/>
    </format>
    <format dxfId="176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0">
      <pivotArea outline="0" collapsedLevelsAreSubtotals="1" fieldPosition="0"/>
    </format>
    <format dxfId="1759">
      <pivotArea type="all" dataOnly="0" outline="0" fieldPosition="0"/>
    </format>
    <format dxfId="1758">
      <pivotArea dataOnly="0" labelOnly="1" grandRow="1" outline="0" fieldPosition="0"/>
    </format>
    <format dxfId="175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6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2">
      <pivotArea dataOnly="0" labelOnly="1" grandRow="1" outline="0" fieldPosition="0"/>
    </format>
    <format dxfId="1751">
      <pivotArea type="all" dataOnly="0" outline="0" fieldPosition="0"/>
    </format>
    <format dxfId="175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9">
      <pivotArea type="all" dataOnly="0" outline="0" fieldPosition="0"/>
    </format>
    <format dxfId="1748">
      <pivotArea outline="0" collapsedLevelsAreSubtotals="1" fieldPosition="0"/>
    </format>
    <format dxfId="1747">
      <pivotArea dataOnly="0" labelOnly="1" grandRow="1" outline="0" fieldPosition="0"/>
    </format>
    <format dxfId="174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0">
      <pivotArea type="all" dataOnly="0" outline="0" fieldPosition="0"/>
    </format>
    <format dxfId="1739">
      <pivotArea outline="0" collapsedLevelsAreSubtotals="1" fieldPosition="0"/>
    </format>
    <format dxfId="1738">
      <pivotArea dataOnly="0" labelOnly="1" grandRow="1" outline="0" fieldPosition="0"/>
    </format>
    <format dxfId="17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6">
      <pivotArea type="all" dataOnly="0" outline="0" fieldPosition="0"/>
    </format>
    <format dxfId="1735">
      <pivotArea outline="0" collapsedLevelsAreSubtotals="1" fieldPosition="0"/>
    </format>
    <format dxfId="1734">
      <pivotArea dataOnly="0" labelOnly="1" grandRow="1" outline="0" fieldPosition="0"/>
    </format>
    <format dxfId="17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1">
      <pivotArea field="1" type="button" dataOnly="0" labelOnly="1" outline="0" axis="axisRow" fieldPosition="0"/>
    </format>
    <format dxfId="17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9">
      <pivotArea field="1" type="button" dataOnly="0" labelOnly="1" outline="0" axis="axisRow" fieldPosition="0"/>
    </format>
    <format dxfId="172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7">
      <pivotArea field="1" type="button" dataOnly="0" labelOnly="1" outline="0" axis="axisRow" fieldPosition="0"/>
    </format>
    <format dxfId="172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620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57" totalsRowShown="0" headerRowDxfId="1725" dataDxfId="1723" headerRowBorderDxfId="1724" tableBorderDxfId="1722">
  <autoFilter ref="B11:AI57" xr:uid="{488A667B-27C2-4003-A53C-C52DE885F6F5}"/>
  <sortState xmlns:xlrd2="http://schemas.microsoft.com/office/spreadsheetml/2017/richdata2" ref="B12:AI57">
    <sortCondition ref="C11:C57"/>
  </sortState>
  <tableColumns count="34">
    <tableColumn id="1" xr3:uid="{C4869650-AB2A-4E52-A8FD-8FC4A1E9B450}" name="Ticker" dataDxfId="1721" totalsRowDxfId="1720"/>
    <tableColumn id="2" xr3:uid="{3392DCC0-4423-44FF-B70A-0E06289D8EEE}" name="Sector" dataDxfId="1719"/>
    <tableColumn id="29" xr3:uid="{7A835F51-8D98-481A-BCE1-CD91D7445A8F}" name="Diretoria" dataDxfId="1718"/>
    <tableColumn id="3" xr3:uid="{B1589ED3-B8E2-4F6B-B66F-D68F68C1ABA6}" name="Crncy" dataDxfId="1717"/>
    <tableColumn id="4" xr3:uid="{616D46BC-AC49-4393-8BDA-875BFB778D29}" name="Long / Short" dataDxfId="1716" totalsRowDxfId="1715">
      <calculatedColumnFormula>IF(T12&gt;0,"Long","Short")</calculatedColumnFormula>
    </tableColumn>
    <tableColumn id="33" xr3:uid="{F6985B5B-9203-43DA-8157-CAE6E92D0561}" name="Qtdd " dataDxfId="1714"/>
    <tableColumn id="5" xr3:uid="{9A4DCF38-5D0D-4646-8CF9-69904711743E}" name="Qtt Shs" dataDxfId="1713"/>
    <tableColumn id="6" xr3:uid="{BC11B5F3-DE4D-477B-AAED-C5AB103E9DA0}" name="Price Today" dataDxfId="1712" totalsRowDxfId="1711">
      <calculatedColumnFormula array="1">_xll.BDP(B12&amp;" Equity","LAST_PRICE")</calculatedColumnFormula>
    </tableColumn>
    <tableColumn id="7" xr3:uid="{704FFD7D-1208-4AA6-81A9-0E257F085F19}" name="% Chg" dataDxfId="1710" totalsRowDxfId="1709">
      <calculatedColumnFormula>I12/K12-1</calculatedColumnFormula>
    </tableColumn>
    <tableColumn id="8" xr3:uid="{E069BEAC-4A43-4F60-BD21-C3F1FDA777D4}" name="Price Yest" dataDxfId="1708" dataCellStyle="Comma">
      <calculatedColumnFormula array="1">_xll.BDP(B12&amp;" EQUITY","PX_YEST_CLOSE")</calculatedColumnFormula>
    </tableColumn>
    <tableColumn id="9" xr3:uid="{A2F51CF4-C965-4A1F-975F-FCDA401F7124}" name="FX" dataDxfId="1707">
      <calculatedColumnFormula array="1">_xll.BDP(E12&amp;" Curncy","PX_LAST")</calculatedColumnFormula>
    </tableColumn>
    <tableColumn id="10" xr3:uid="{0525E66F-8EF5-4CCF-835F-559F3DAE7E58}" name="Mult" dataDxfId="1706" totalsRowDxfId="1705" dataCellStyle="Comma"/>
    <tableColumn id="11" xr3:uid="{8FC681CE-75F1-4027-AD99-551C42A97619}" name="D1 Exp USD" dataDxfId="1704">
      <calculatedColumnFormula>IFERROR(IF(((I12/L12)*H12*M12)&lt;&gt;0,((I12/L12)*H12*M12),0),"-")</calculatedColumnFormula>
    </tableColumn>
    <tableColumn id="12" xr3:uid="{BE55CED1-1EEB-46EA-A2E5-D244B7925B83}" name="D1 Exp %" dataDxfId="1703">
      <calculatedColumnFormula>IFERROR(IF(Tabelad[[#This Row],[D1 Exp USD]]&lt;&gt;0,N12/$AE$7,0),"-")</calculatedColumnFormula>
    </tableColumn>
    <tableColumn id="13" xr3:uid="{622A85AF-E726-48C1-A6C0-2A26A6E13A5C}" name="D1 P&amp;L bps" dataDxfId="1702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1" totalsRowDxfId="1700">
      <calculatedColumnFormula>IF(SUM(SUMIFS(Options!$AL$4:$AL$25, Options!$D$4:$D$25, B12), SUMIFS(Options!$AL$4:$AL$25, Options!$D$4:$D$25, B12 &amp; " US"))=0,0,SUM(SUMIFS(Options!$AL$4:$AL$25, Options!$D$4:$D$25, B12), SUMIFS(Options!$AL$4:$AL$25, Options!$D$4:$D$25, B12 &amp; " US")))</calculatedColumnFormula>
    </tableColumn>
    <tableColumn id="15" xr3:uid="{F6743957-5F8D-4443-94E6-3E6136CB024F}" name="Option Exp %" dataDxfId="1699" totalsRowDxfId="1698" dataCellStyle="Percent">
      <calculatedColumnFormula>Q12/$AE$7</calculatedColumnFormula>
    </tableColumn>
    <tableColumn id="16" xr3:uid="{48C8F341-ED13-4859-B6ED-AB346A494BEF}" name="Options P&amp;L bps" dataDxfId="1697" totalsRowDxfId="1696">
      <calculatedColumnFormula>IF(SUM(SUMIFS(Options!$AK$4:$AK$25, Options!$D$4:$D$25, B12), SUMIFS(Options!$AK$4:$AK$25, Options!$D$4:$D$25, B12 &amp; " US"))=0,0,SUM(SUMIFS(Options!$AK$4:$AK$25, Options!$D$4:$D$25, B12), SUMIFS(Options!AK$4:$AK$25, Options!$D$4:$D$25, B12 &amp; " US")))</calculatedColumnFormula>
    </tableColumn>
    <tableColumn id="17" xr3:uid="{4E94A772-CD12-4BE4-A04C-0E1B9CF86096}" name="Exp" dataDxfId="1695" totalsRowDxfId="1694">
      <calculatedColumnFormula>N12+Q12</calculatedColumnFormula>
    </tableColumn>
    <tableColumn id="18" xr3:uid="{56683745-C1CE-4341-A873-C851B97E4432}" name="Exp %" dataDxfId="1693" totalsRowDxfId="1692">
      <calculatedColumnFormula>T12/$AE$7</calculatedColumnFormula>
    </tableColumn>
    <tableColumn id="19" xr3:uid="{AD790890-4299-4C9E-A460-9342E2B4BE92}" name="P&amp;L bps" dataDxfId="1691" totalsRowDxfId="1690">
      <calculatedColumnFormula>P12+S12</calculatedColumnFormula>
    </tableColumn>
    <tableColumn id="20" xr3:uid="{A3132FF2-B491-42D2-B6D5-98FB024D0411}" name="xx" dataDxfId="1689" totalsRowDxfId="1688">
      <calculatedColumnFormula>$W$10/(I12/L12*M12)</calculatedColumnFormula>
    </tableColumn>
    <tableColumn id="21" xr3:uid="{68119C5E-24ED-4841-8DFC-985A70CC957B}" name="Ticker2" dataDxfId="1687" totalsRowDxfId="1686"/>
    <tableColumn id="22" xr3:uid="{EAB0ADAA-AF64-4574-AD5E-BAD2211681D1}" name="xx2" dataDxfId="1685" totalsRowDxfId="1684">
      <calculatedColumnFormula>Tabelad[[#This Row],[Exp %]]*$Y$10*$AD$7/Tabelad[[#This Row],[Price Today]]</calculatedColumnFormula>
    </tableColumn>
    <tableColumn id="23" xr3:uid="{160D9866-3FEF-4C23-ADDC-0615A4FD8D8A}" name="Beta Adj" dataDxfId="1683">
      <calculatedColumnFormula>Tabelad[[#This Row],[Vol 10d]]/16*Tabelad[[#This Row],[Exp %]]*100</calculatedColumnFormula>
    </tableColumn>
    <tableColumn id="27" xr3:uid="{5FC9F15D-E683-4C75-83A6-A027ED24C573}" name="Expo Beta Adj" dataDxfId="1682" totalsRowDxfId="1681">
      <calculatedColumnFormula>Tabelad[[#This Row],[Exp %]]*Tabelad[[#This Row],[Beta Adj2]]</calculatedColumnFormula>
    </tableColumn>
    <tableColumn id="24" xr3:uid="{02F0D998-EE72-4509-80A1-181D260811AE}" name="Vol 10d" dataDxfId="1680">
      <calculatedColumnFormula>_xll.BDP($B12&amp;" Equity","volatility_10d")</calculatedColumnFormula>
    </tableColumn>
    <tableColumn id="25" xr3:uid="{06753197-209B-42CE-8324-F5BF4E6BBC8C}" name="Beta Adj2" dataDxfId="1679" totalsRowDxfId="1678">
      <calculatedColumnFormula>_xll.BDP(B12&amp;" EQUITY","eqy_beta")</calculatedColumnFormula>
    </tableColumn>
    <tableColumn id="26" xr3:uid="{E0099784-2515-472D-A708-E950C7C1F961}" name="Daily P&amp;L" dataDxfId="1677" totalsRowDxfId="1676">
      <calculatedColumnFormula>Tabelad[[#This Row],[D1 P&amp;L bps]]*$AD$5/10000</calculatedColumnFormula>
    </tableColumn>
    <tableColumn id="28" xr3:uid="{E8C15306-AE60-46ED-BE32-1873B2B613BE}" name="VALUE" dataDxfId="1675" totalsRowDxfId="1674"/>
    <tableColumn id="30" xr3:uid="{3553EED7-0690-4464-BFF1-737C1D716FE2}" name="Report Date2" dataDxfId="1673" totalsRowDxfId="1672">
      <calculatedColumnFormula>_xll.BDP(B12&amp;" Equity","EXPECTED_REPORT_DT")</calculatedColumnFormula>
    </tableColumn>
    <tableColumn id="31" xr3:uid="{5102101F-2C4E-4C70-B272-6AB453BA1BFE}" name="Column3" dataDxfId="1671" totalsRowDxfId="1670">
      <calculatedColumnFormula>_xll.BDP(B12&amp;" Index","CHG_PCT_1D_PRE_FROM_REGULAR")/100</calculatedColumnFormula>
    </tableColumn>
    <tableColumn id="32" xr3:uid="{78144925-541C-4BB9-B1CE-5128912D0AEA}" name="Column4" dataDxfId="1669">
      <calculatedColumnFormula>(T12*AG12)/$AD$7*10000</calculatedColumnFormula>
    </tableColumn>
    <tableColumn id="34" xr3:uid="{F48AA587-E15F-424C-9278-DC54512DF635}" name="Column5" dataDxfId="1668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67" dataDxfId="1666" totalsRowBorderDxfId="1665">
  <autoFilter ref="F3:G136" xr:uid="{50594F44-C7EB-4454-89DA-F08A9C91DB54}"/>
  <tableColumns count="2">
    <tableColumn id="1" xr3:uid="{C2C1762E-B58F-491C-8249-F5F204F351C6}" name="De (Lote)" totalsRowFunction="count" dataDxfId="1664"/>
    <tableColumn id="2" xr3:uid="{2A11C67E-26BC-4BE0-826C-B31A77595F54}" name="Para (Ticker Daniel)" totalsRowFunction="count" dataDxfId="166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7">
        <v>0.41</v>
      </c>
      <c r="D6" s="394">
        <f>C6^2</f>
        <v>0.16809999999999997</v>
      </c>
    </row>
    <row r="7" spans="2:12">
      <c r="B7" t="s">
        <v>1993</v>
      </c>
      <c r="C7" s="397">
        <v>0.25</v>
      </c>
      <c r="D7" s="394">
        <f>C7^2</f>
        <v>6.25E-2</v>
      </c>
    </row>
    <row r="8" spans="2:12">
      <c r="B8" t="s">
        <v>1991</v>
      </c>
      <c r="C8" s="392">
        <f>SQRT(D6+D7+2*C10)</f>
        <v>0.35791060336346558</v>
      </c>
    </row>
    <row r="9" spans="2:12">
      <c r="B9" t="s">
        <v>1989</v>
      </c>
      <c r="C9" s="396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403">
        <f>59/300</f>
        <v>0.19666666666666666</v>
      </c>
    </row>
    <row r="13" spans="2:12">
      <c r="C13" s="398"/>
    </row>
    <row r="14" spans="2:12">
      <c r="G14">
        <f>3500000/14.4</f>
        <v>243055.55555555556</v>
      </c>
      <c r="J14" s="402">
        <f>3%*9200000000</f>
        <v>276000000</v>
      </c>
    </row>
    <row r="15" spans="2:12">
      <c r="C15" t="s">
        <v>2002</v>
      </c>
      <c r="D15" t="s">
        <v>2001</v>
      </c>
      <c r="J15" s="401">
        <f>J14/5.19</f>
        <v>53179190.751445085</v>
      </c>
    </row>
    <row r="16" spans="2:12">
      <c r="B16" t="s">
        <v>2012</v>
      </c>
      <c r="C16" s="397">
        <v>0.2</v>
      </c>
      <c r="D16" s="394">
        <f>C16^2</f>
        <v>4.0000000000000008E-2</v>
      </c>
      <c r="F16" s="398"/>
      <c r="J16" s="401">
        <f>J15/31.22</f>
        <v>1703369.3386113096</v>
      </c>
      <c r="K16" s="401">
        <f>J16/100</f>
        <v>17033.693386113096</v>
      </c>
      <c r="L16" s="401">
        <f>J16*1.65</f>
        <v>2810559.4087086609</v>
      </c>
    </row>
    <row r="17" spans="1:21">
      <c r="B17" t="s">
        <v>2011</v>
      </c>
      <c r="C17" s="397">
        <v>0.11700000000000001</v>
      </c>
      <c r="D17" s="394">
        <f>C17^2</f>
        <v>1.3689000000000002E-2</v>
      </c>
      <c r="F17" s="238"/>
    </row>
    <row r="18" spans="1:21">
      <c r="B18" t="s">
        <v>1991</v>
      </c>
      <c r="C18" s="392">
        <f>SQRT(D16+D17+2*C20)</f>
        <v>0.27932955446926844</v>
      </c>
      <c r="J18">
        <v>17000</v>
      </c>
      <c r="K18">
        <v>1.65</v>
      </c>
      <c r="L18" s="402">
        <f>J18*K18*100</f>
        <v>2805000</v>
      </c>
    </row>
    <row r="19" spans="1:21">
      <c r="B19" t="s">
        <v>1989</v>
      </c>
      <c r="C19" s="396">
        <v>0.52</v>
      </c>
      <c r="J19">
        <f>J18*1.6</f>
        <v>27200</v>
      </c>
      <c r="K19">
        <v>0.59599999999999997</v>
      </c>
      <c r="L19" s="402">
        <f>J19*K19*100</f>
        <v>1621120</v>
      </c>
    </row>
    <row r="20" spans="1:21">
      <c r="B20" t="s">
        <v>1987</v>
      </c>
      <c r="C20">
        <f>C19*C16*C17</f>
        <v>1.2168000000000002E-2</v>
      </c>
      <c r="L20" s="401">
        <f>L18-L19</f>
        <v>1183880</v>
      </c>
      <c r="M20" s="401">
        <f>L20*5.2</f>
        <v>6156176</v>
      </c>
      <c r="N20" s="400"/>
    </row>
    <row r="21" spans="1:21">
      <c r="C21" s="398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9">
        <v>0.82</v>
      </c>
      <c r="B25" t="s">
        <v>2009</v>
      </c>
      <c r="C25" s="397">
        <v>0.3</v>
      </c>
      <c r="D25" s="394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7">
        <v>0.4</v>
      </c>
      <c r="D26" s="394">
        <f>C26^2</f>
        <v>0.16000000000000003</v>
      </c>
      <c r="I26" t="s">
        <v>2006</v>
      </c>
      <c r="J26">
        <v>1</v>
      </c>
      <c r="R26" s="398"/>
    </row>
    <row r="27" spans="1:21">
      <c r="B27" t="s">
        <v>2005</v>
      </c>
      <c r="C27" s="392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2004</v>
      </c>
      <c r="C28" s="396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7">
        <v>0.25</v>
      </c>
      <c r="D32" s="394">
        <f>C32^2</f>
        <v>6.25E-2</v>
      </c>
      <c r="F32" s="395">
        <v>0.41370000000000001</v>
      </c>
      <c r="G32" s="395">
        <v>0.43680000000000002</v>
      </c>
      <c r="H32" s="395">
        <v>0.4698</v>
      </c>
      <c r="I32" s="395">
        <v>0.36620000000000003</v>
      </c>
      <c r="J32" s="395">
        <v>0.41830000000000001</v>
      </c>
      <c r="K32" t="s">
        <v>1994</v>
      </c>
      <c r="Q32" s="43">
        <v>0.36620000000000003</v>
      </c>
    </row>
    <row r="33" spans="2:17">
      <c r="B33" t="s">
        <v>1993</v>
      </c>
      <c r="C33" s="397">
        <v>0.122</v>
      </c>
      <c r="D33" s="394">
        <f>C33^2</f>
        <v>1.4884E-2</v>
      </c>
      <c r="E33">
        <f>200*1400</f>
        <v>280000</v>
      </c>
      <c r="F33" s="394">
        <f>F32*SQRT(22/252)</f>
        <v>0.12223528541300993</v>
      </c>
      <c r="G33" s="394">
        <f>G32*SQRT(22/252)</f>
        <v>0.1290606059183049</v>
      </c>
      <c r="H33" s="394">
        <f>H32*SQRT(22/252)</f>
        <v>0.138811063783012</v>
      </c>
      <c r="I33" s="394">
        <f>I32*SQRT(22/252)</f>
        <v>0.10820053545623456</v>
      </c>
      <c r="J33" s="394">
        <f>J32*SQRT(22/252)</f>
        <v>0.12359444014566606</v>
      </c>
      <c r="K33" t="s">
        <v>1992</v>
      </c>
    </row>
    <row r="34" spans="2:17">
      <c r="B34" t="s">
        <v>1991</v>
      </c>
      <c r="C34" s="392">
        <f>SQRT(D32+D33+2*C36)</f>
        <v>0.32780634527110669</v>
      </c>
      <c r="F34" s="394">
        <f>F33^2</f>
        <v>1.4941464999999998E-2</v>
      </c>
      <c r="G34" s="394">
        <f>G33^2</f>
        <v>1.6656639999999997E-2</v>
      </c>
      <c r="H34" s="394">
        <f>H33^2</f>
        <v>1.9268511428571427E-2</v>
      </c>
      <c r="I34" s="394">
        <f>I33^2</f>
        <v>1.1707355873015872E-2</v>
      </c>
      <c r="J34" s="394">
        <f>J33^2</f>
        <v>1.5275585634920631E-2</v>
      </c>
      <c r="K34" t="s">
        <v>1990</v>
      </c>
    </row>
    <row r="35" spans="2:17">
      <c r="B35" t="s">
        <v>1989</v>
      </c>
      <c r="C35" s="396">
        <v>0.49299999999999999</v>
      </c>
      <c r="F35" s="395">
        <v>0.32600000000000001</v>
      </c>
      <c r="G35" s="395">
        <v>0.30270000000000002</v>
      </c>
      <c r="H35" s="395">
        <v>0.35310000000000002</v>
      </c>
      <c r="I35" s="395">
        <v>0.27179999999999999</v>
      </c>
      <c r="J35" s="395">
        <v>0.36080000000000001</v>
      </c>
      <c r="K35" t="s">
        <v>1988</v>
      </c>
      <c r="Q35" s="43">
        <v>0.27179999999999999</v>
      </c>
    </row>
    <row r="36" spans="2:17">
      <c r="B36" t="s">
        <v>1987</v>
      </c>
      <c r="C36">
        <f>C35*C32*C33</f>
        <v>1.50365E-2</v>
      </c>
      <c r="F36" s="394">
        <f>F35*SQRT(1/252)</f>
        <v>2.0536069700168014E-2</v>
      </c>
      <c r="G36" s="394">
        <f>G35*SQRT(1/252)</f>
        <v>1.9068307663315517E-2</v>
      </c>
      <c r="H36" s="394">
        <f>H35*SQRT(1/252)</f>
        <v>2.2243209236593026E-2</v>
      </c>
      <c r="I36" s="394">
        <f>I35*SQRT(1/252)</f>
        <v>1.7121790627317994E-2</v>
      </c>
      <c r="J36" s="394">
        <f>J35*SQRT(1/252)</f>
        <v>2.2728263643621533E-2</v>
      </c>
      <c r="K36" t="s">
        <v>1986</v>
      </c>
    </row>
    <row r="37" spans="2:17">
      <c r="F37" s="394">
        <f>F36*SQRT(21/1)</f>
        <v>9.4108093877908999E-2</v>
      </c>
      <c r="G37" s="394">
        <f>G36*SQRT(21/1)</f>
        <v>8.7381963241849867E-2</v>
      </c>
      <c r="H37" s="394">
        <f>H36*SQRT(21/1)</f>
        <v>0.10193119002542844</v>
      </c>
      <c r="I37" s="394">
        <f>I36*SQRT(21/1)</f>
        <v>7.8461901582870142E-2</v>
      </c>
      <c r="J37" s="394">
        <f>J36*SQRT(21/1)</f>
        <v>0.10415398856180849</v>
      </c>
      <c r="K37" t="s">
        <v>1985</v>
      </c>
    </row>
    <row r="38" spans="2:17">
      <c r="F38" s="394">
        <f>F37^2</f>
        <v>8.8563333333333341E-3</v>
      </c>
      <c r="G38" s="394">
        <f>G37^2</f>
        <v>7.6356075000000015E-3</v>
      </c>
      <c r="H38" s="394">
        <f>H37^2</f>
        <v>1.0389967500000003E-2</v>
      </c>
      <c r="I38" s="394">
        <f>I37^2</f>
        <v>6.1562700000000001E-3</v>
      </c>
      <c r="J38" s="394">
        <f>J37^2</f>
        <v>1.0848053333333335E-2</v>
      </c>
      <c r="K38" t="s">
        <v>1984</v>
      </c>
    </row>
    <row r="39" spans="2:17">
      <c r="F39" s="394">
        <f>F34-F38</f>
        <v>6.0851316666666634E-3</v>
      </c>
      <c r="G39" s="394">
        <f>G34-G38</f>
        <v>9.0210324999999945E-3</v>
      </c>
      <c r="H39" s="394">
        <f>H34-H38</f>
        <v>8.8785439285714238E-3</v>
      </c>
      <c r="I39" s="394">
        <f>I34-I38</f>
        <v>5.5510858730158721E-3</v>
      </c>
      <c r="J39" s="394">
        <f>J34-J38</f>
        <v>4.4275323015872965E-3</v>
      </c>
      <c r="K39" t="s">
        <v>1983</v>
      </c>
    </row>
    <row r="40" spans="2:17">
      <c r="F40" s="393">
        <f>F39^0.5</f>
        <v>7.8007253936199186E-2</v>
      </c>
      <c r="G40" s="393">
        <f>G39^0.5</f>
        <v>9.4979116125598867E-2</v>
      </c>
      <c r="H40" s="393">
        <f>H39^0.5</f>
        <v>9.4226025749637898E-2</v>
      </c>
      <c r="I40" s="393">
        <f>I39^0.5</f>
        <v>7.4505609674814899E-2</v>
      </c>
      <c r="J40" s="393">
        <f>J39^0.5</f>
        <v>6.6539704700181057E-2</v>
      </c>
      <c r="K40" t="s">
        <v>1982</v>
      </c>
    </row>
    <row r="41" spans="2:17">
      <c r="F41" s="392">
        <f>F40*SQRT(252)</f>
        <v>1.2383267662454847</v>
      </c>
      <c r="G41" s="392">
        <f>G40*SQRT(252)</f>
        <v>1.5077467260783552</v>
      </c>
      <c r="H41" s="392">
        <f>H40*SQRT(252)</f>
        <v>1.4957917869810622</v>
      </c>
      <c r="I41" s="392">
        <f>I40*SQRT(252)</f>
        <v>1.1827398868728491</v>
      </c>
      <c r="J41" s="392">
        <f>J40*SQRT(252)</f>
        <v>1.0562850656901284</v>
      </c>
      <c r="K41" t="s">
        <v>1981</v>
      </c>
    </row>
    <row r="42" spans="2:17">
      <c r="F42" s="391">
        <f>F40/F36</f>
        <v>3.7985483627162102</v>
      </c>
      <c r="G42" s="391">
        <f>G40/G36</f>
        <v>4.9809934789506274</v>
      </c>
      <c r="H42" s="391">
        <f>H40/H36</f>
        <v>4.2361704530757907</v>
      </c>
      <c r="I42" s="391">
        <f>I40/I36</f>
        <v>4.3515080458898048</v>
      </c>
      <c r="J42" s="391">
        <f>J40/J36</f>
        <v>2.9276193616688699</v>
      </c>
      <c r="K42" s="59" t="s">
        <v>1980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3.4926470588235531E-2</v>
      </c>
      <c r="B6" s="145">
        <f>H6-J6</f>
        <v>10.879999999999999</v>
      </c>
      <c r="C6" s="145">
        <f>L6-H6</f>
        <v>0.38000000000000256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33.97</v>
      </c>
      <c r="I6" s="153">
        <f>H6/J6-1</f>
        <v>0.47119965352966653</v>
      </c>
      <c r="J6" s="149" cm="1">
        <f t="array" ref="J6">IF(ISTEXT($E6),_xll.BDH($E6,"PX_LAST",J$2,J$2,"Fill=P","CDR=US"),"")</f>
        <v>23.09</v>
      </c>
      <c r="K6" s="153">
        <f t="shared" ref="K6:K20" si="0">H6/L6-1</f>
        <v>-1.106259097525486E-2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-0.29841306805610657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8057.59</v>
      </c>
      <c r="I7" s="153">
        <f t="shared" ref="I7:I20" si="1">H7/J7-1</f>
        <v>0.54762878835896522</v>
      </c>
      <c r="J7" s="143" cm="1">
        <f t="array" ref="J7">IF(ISTEXT($E7),_xll.BDH($E7,"PX_LAST",J$2,J$2,"Fill=P","CDR=US"),"")</f>
        <v>5206.41</v>
      </c>
      <c r="K7" s="153">
        <f t="shared" si="0"/>
        <v>-2.447581883189498E-3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17.08679075237119</v>
      </c>
      <c r="Q7" s="153">
        <f>$P7/T7-1</f>
        <v>0.26501352999668248</v>
      </c>
      <c r="R7" s="153">
        <f>$P7/U7-1</f>
        <v>0.12976739554906169</v>
      </c>
      <c r="S7" s="144" cm="1">
        <f t="array" ref="S7">_xll.BDP($E7,S$2)</f>
        <v>10.835874184494866</v>
      </c>
      <c r="T7" s="150">
        <f>MEDIAN(_xll.BDH($E7," best pe ratio","-7ay",""," be997=1gy","array=true"," dts=h"  ))</f>
        <v>13.507199999999999</v>
      </c>
      <c r="U7" s="151">
        <f>T7+W7</f>
        <v>15.124166991973679</v>
      </c>
      <c r="V7" s="151">
        <f>T7-W7</f>
        <v>11.890233008026319</v>
      </c>
      <c r="W7" s="150">
        <f>STDEV(_xll.BDH($E7," best pe ratio","-7ay",""," be997=1gy","array=true"," dts=h"  ))</f>
        <v>1.6169669919736791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4753.87</v>
      </c>
      <c r="I8" s="154">
        <f t="shared" si="1"/>
        <v>0.47968413451362668</v>
      </c>
      <c r="J8" s="140" cm="1">
        <f t="array" ref="J8">IF(ISTEXT($E8),_xll.BDH($E8,"PX_LAST",J$2,J$2,"Fill=P","CDR=US"),"")</f>
        <v>3212.76</v>
      </c>
      <c r="K8" s="154">
        <f t="shared" si="0"/>
        <v>-1.717814495054748E-2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16.924285494857774</v>
      </c>
      <c r="Q8" s="154">
        <f>P8/T8-1</f>
        <v>0.24097445316784638</v>
      </c>
      <c r="R8" s="154">
        <f>$P8/U8-1</f>
        <v>0.10465219781463397</v>
      </c>
      <c r="S8" s="141" cm="1">
        <f t="array" ref="S8">_xll.BDP($E8,S$2)</f>
        <v>10.801161313372221</v>
      </c>
      <c r="T8" s="146">
        <f>MEDIAN(_xll.BDH($E8," best pe ratio","-7ay",""," be997=1gy","array=true"," dts=h"  ))</f>
        <v>13.6379</v>
      </c>
      <c r="U8" s="147">
        <f>T8+W8</f>
        <v>15.320917776961462</v>
      </c>
      <c r="V8" s="147">
        <f>T8-W8</f>
        <v>11.954882223038538</v>
      </c>
      <c r="W8" s="146">
        <f>STDEV(_xll.BDH($E8," best pe ratio","-7ay",""," be997=1gy","array=true"," dts=h"  ))</f>
        <v>1.6830177769614618</v>
      </c>
    </row>
    <row r="9" spans="1:26">
      <c r="A9" s="2">
        <f>C9/B9</f>
        <v>9.2712705074399368E-2</v>
      </c>
      <c r="B9" s="145">
        <f>H9-J9</f>
        <v>13.104999999999997</v>
      </c>
      <c r="C9" s="145">
        <f>L9-H9</f>
        <v>1.2150000000000034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40.784999999999997</v>
      </c>
      <c r="I9" s="153">
        <f t="shared" si="1"/>
        <v>0.47344653179190743</v>
      </c>
      <c r="J9" s="149" cm="1">
        <f t="array" ref="J9">IF(ISTEXT($E9),_xll.BDH($E9,"PX_LAST",J$2,J$2,"Fill=P","CDR=US"),"")</f>
        <v>27.68</v>
      </c>
      <c r="K9" s="153">
        <f t="shared" si="0"/>
        <v>-2.8928571428571526E-2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38498.379999999997</v>
      </c>
      <c r="I10" s="153">
        <f t="shared" si="1"/>
        <v>0.5729919402221566</v>
      </c>
      <c r="J10" s="143" cm="1">
        <f t="array" ref="J10">IF(ISTEXT($E10),_xll.BDH($E10,"PX_LAST",J$2,J$2,"Fill=P","CDR=US"),"")</f>
        <v>24474.62</v>
      </c>
      <c r="K10" s="153">
        <f t="shared" si="0"/>
        <v>-8.7062428385669133E-3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4" cm="1">
        <f t="array" ref="P10">_xll.BDP($E10,P$2)</f>
        <v>11.662568609509648</v>
      </c>
      <c r="Q10" s="153">
        <f>P10/T10-1</f>
        <v>0.27790765255466598</v>
      </c>
      <c r="R10" s="153">
        <f>$P10/U10-1</f>
        <v>0.10255716059926501</v>
      </c>
      <c r="S10" s="144" cm="1">
        <f t="array" ref="S10">_xll.BDP($E10,S$2)</f>
        <v>11.2287698232834</v>
      </c>
      <c r="T10" s="150">
        <f>MEDIAN(_xll.BDH($E10," best pe ratio","-7ay",""," be997=1gy","array=true"," dts=h"  ))</f>
        <v>9.1263000000000005</v>
      </c>
      <c r="U10" s="151">
        <f>T10+W10</f>
        <v>10.577745105905235</v>
      </c>
      <c r="V10" s="151">
        <f>T10-W10</f>
        <v>7.674854894094767</v>
      </c>
      <c r="W10" s="150">
        <f>STDEV(_xll.BDH($E10," best pe ratio","-7ay",""," be997=1gy","array=true"," dts=h"  ))</f>
        <v>1.4514451059052338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15081.49</v>
      </c>
      <c r="I11" s="154">
        <f t="shared" si="1"/>
        <v>0.331557804029595</v>
      </c>
      <c r="J11" s="140" cm="1">
        <f t="array" ref="J11">IF(ISTEXT($E11),_xll.BDH($E11,"PX_LAST",J$2,J$2,"Fill=P","CDR=US"),"")</f>
        <v>11326.2</v>
      </c>
      <c r="K11" s="154">
        <f t="shared" si="0"/>
        <v>-4.3028983585253755E-2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13.379105024356672</v>
      </c>
      <c r="Q11" s="154">
        <f>P11/T11-1</f>
        <v>0.15751222255108122</v>
      </c>
      <c r="R11" s="154">
        <f>$P11/U11-1</f>
        <v>2.5935205615607915E-2</v>
      </c>
      <c r="S11" s="141" cm="1">
        <f t="array" ref="S11">_xll.BDP($E11,S$2)</f>
        <v>12.202546019278453</v>
      </c>
      <c r="T11" s="146">
        <f>MEDIAN(_xll.BDH($E11," best pe ratio","-7ay",""," be997=1gy","array=true"," dts=h"  ))</f>
        <v>11.5585</v>
      </c>
      <c r="U11" s="147">
        <f>T11+W11</f>
        <v>13.040886940153886</v>
      </c>
      <c r="V11" s="147">
        <f>T11-W11</f>
        <v>10.076113059846115</v>
      </c>
      <c r="W11" s="146">
        <f>STDEV(_xll.BDH($E11," best pe ratio","-7ay",""," be997=1gy","array=true"," dts=h"  ))</f>
        <v>1.4823869401538854</v>
      </c>
    </row>
    <row r="12" spans="1:26">
      <c r="A12" s="2">
        <f>C12/B12</f>
        <v>0.78090507726269354</v>
      </c>
      <c r="B12" s="145">
        <f>H12-J12</f>
        <v>9.0599999999999987</v>
      </c>
      <c r="C12" s="145">
        <f>L12-H12</f>
        <v>7.0750000000000028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36.29</v>
      </c>
      <c r="I12" s="153">
        <f t="shared" si="1"/>
        <v>0.33272126331252294</v>
      </c>
      <c r="J12" s="149" cm="1">
        <f t="array" ref="J12">IF(ISTEXT($E12),_xll.BDH($E12,"PX_LAST",J$2,J$2,"Fill=P","CDR=US"),"")</f>
        <v>27.23</v>
      </c>
      <c r="K12" s="153">
        <f t="shared" si="0"/>
        <v>-0.16315000576501792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6179.2304999999997</v>
      </c>
      <c r="I13" s="153">
        <f t="shared" si="1"/>
        <v>0.4782844549558718</v>
      </c>
      <c r="J13" s="143" cm="1">
        <f t="array" ref="J13">IF(ISTEXT($E13),_xll.BDH($E13,"PX_LAST",J$2,J$2,"Fill=P","CDR=US"),"")</f>
        <v>4180.0010000000002</v>
      </c>
      <c r="K13" s="153">
        <f t="shared" si="0"/>
        <v>-0.10121604031708042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5841.1</v>
      </c>
      <c r="I14" s="154">
        <f t="shared" si="1"/>
        <v>0.57941415851195299</v>
      </c>
      <c r="J14" s="140" cm="1">
        <f t="array" ref="J14">IF(ISTEXT($E14),_xll.BDH($E14,"PX_LAST",J$2,J$2,"Fill=P","CDR=US"),"")</f>
        <v>3698.27</v>
      </c>
      <c r="K14" s="154">
        <f t="shared" si="0"/>
        <v>-0.13020105845318108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28.543260803460203</v>
      </c>
      <c r="Q14" s="154">
        <f>P14/T14-1</f>
        <v>5.3264629386940321E-2</v>
      </c>
      <c r="R14" s="154">
        <f>$P14/U14-1</f>
        <v>-0.25976046985827439</v>
      </c>
      <c r="S14" s="141" cm="1">
        <f t="array" ref="S14">_xll.BDP($E14,S$2)</f>
        <v>9.4795013364300438</v>
      </c>
      <c r="T14" s="146">
        <f>MEDIAN(_xll.BDH($E14," best pe ratio","-7ay",""," be997=1gy","array=true"," dts=h"  ))</f>
        <v>27.099799999999998</v>
      </c>
      <c r="U14" s="147">
        <f>T14+W14</f>
        <v>38.559492760397887</v>
      </c>
      <c r="V14" s="147">
        <f>T14-W14</f>
        <v>15.640107239602111</v>
      </c>
      <c r="W14" s="146">
        <f>STDEV(_xll.BDH($E14," best pe ratio","-7ay",""," be997=1gy","array=true"," dts=h"  ))</f>
        <v>11.459692760397887</v>
      </c>
    </row>
    <row r="15" spans="1:26">
      <c r="A15" s="2">
        <f>C15/B15</f>
        <v>0.14988079935952395</v>
      </c>
      <c r="B15" s="145">
        <f>H15-J15</f>
        <v>20.950000000000003</v>
      </c>
      <c r="C15" s="145">
        <f>L15-H15</f>
        <v>3.1400027465820273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64.23</v>
      </c>
      <c r="I15" s="153">
        <f t="shared" si="1"/>
        <v>0.48405730129390023</v>
      </c>
      <c r="J15" s="149" cm="1">
        <f t="array" ref="J15">IF(ISTEXT($E15),_xll.BDH($E15,"PX_LAST",J$2,J$2,"Fill=P","CDR=US"),"")</f>
        <v>43.28</v>
      </c>
      <c r="K15" s="153">
        <f t="shared" si="0"/>
        <v>-4.6608321486840576E-2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711.29250000000002</v>
      </c>
      <c r="I16" s="153">
        <f t="shared" si="1"/>
        <v>0.57341578387370062</v>
      </c>
      <c r="J16" s="143" cm="1">
        <f t="array" ref="J16">IF(ISTEXT($E16),_xll.BDH($E16,"PX_LAST",J$2,J$2,"Fill=P","CDR=US"),"")</f>
        <v>452.06900000000002</v>
      </c>
      <c r="K16" s="153">
        <f t="shared" si="0"/>
        <v>-2.4494056386565988E-2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501.22379999999998</v>
      </c>
      <c r="O16" t="str" cm="1">
        <f t="array" ref="O16">_xll.BDP(E16,O$2)</f>
        <v>07/04/2025</v>
      </c>
      <c r="P16" s="144" cm="1">
        <f t="array" ref="P16">_xll.BDP($E16,P$2)</f>
        <v>14.641069058616772</v>
      </c>
      <c r="Q16" s="153">
        <f>P16/T16-1</f>
        <v>0.19130904715390473</v>
      </c>
      <c r="R16" s="153">
        <f>$P16/U16-1</f>
        <v>-1.3666150889492523E-2</v>
      </c>
      <c r="S16" s="144" cm="1">
        <f t="array" ref="S16">_xll.BDP($E16,S$2)</f>
        <v>11.447674902035423</v>
      </c>
      <c r="T16" s="150">
        <f>MEDIAN(_xll.BDH($E16," best pe ratio","-7ay",""," be997=1gy","array=true"," dts=h"  ))</f>
        <v>12.289899999999999</v>
      </c>
      <c r="U16" s="151">
        <f>T16+W16</f>
        <v>14.843928424255473</v>
      </c>
      <c r="V16" s="151">
        <f>T16-W16</f>
        <v>9.7358715757445253</v>
      </c>
      <c r="W16" s="150">
        <f>STDEV(_xll.BDH($E16," best pe ratio","-7ay",""," be997=1gy","array=true"," dts=h"  ))</f>
        <v>2.5540284242554745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88.89</v>
      </c>
      <c r="I17" s="154">
        <f t="shared" si="1"/>
        <v>0.53576364892881823</v>
      </c>
      <c r="J17" s="140" cm="1">
        <f t="array" ref="J17">IF(ISTEXT($E17),_xll.BDH($E17,"PX_LAST",J$2,J$2,"Fill=P","CDR=US"),"")</f>
        <v>57.88</v>
      </c>
      <c r="K17" s="154">
        <f t="shared" si="0"/>
        <v>-2.9479200786112103E-2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62.12</v>
      </c>
      <c r="O17" s="138" t="str" cm="1">
        <f t="array" ref="O17">_xll.BDP(E17,O$2)</f>
        <v>09/04/2025</v>
      </c>
      <c r="P17" s="141" cm="1">
        <f t="array" ref="P17">_xll.BDP($E17,P$2)</f>
        <v>14.64221128587989</v>
      </c>
      <c r="Q17" s="154">
        <f>P17/T17-1</f>
        <v>0.1918771905478136</v>
      </c>
      <c r="R17" s="154">
        <f>$P17/U17-1</f>
        <v>-1.3269021149490468E-2</v>
      </c>
      <c r="S17" s="141" cm="1">
        <f t="array" ref="S17">_xll.BDP($E17,S$2)</f>
        <v>11.447674902035423</v>
      </c>
      <c r="T17" s="146">
        <f>MEDIAN(_xll.BDH($E17," best pe ratio","-7ay",""," be997=1gy","array=true"," dts=h"  ))</f>
        <v>12.285</v>
      </c>
      <c r="U17" s="147">
        <f>T17+W17</f>
        <v>14.839111773846716</v>
      </c>
      <c r="V17" s="147">
        <f>T17-W17</f>
        <v>9.7308882261532847</v>
      </c>
      <c r="W17" s="146">
        <f>STDEV(_xll.BDH($E17," best pe ratio","-7ay",""," be997=1gy","array=true"," dts=h"  ))</f>
        <v>2.554111773846715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27968.09</v>
      </c>
      <c r="I18" s="153">
        <f t="shared" si="1"/>
        <v>0.53274080114604438</v>
      </c>
      <c r="J18" s="143" cm="1">
        <f t="array" ref="J18">IF(ISTEXT($E18),_xll.BDH($E18,"PX_LAST",J$2,J$2,"Fill=P","CDR=US"),"")</f>
        <v>18247.11</v>
      </c>
      <c r="K18" s="153">
        <f t="shared" si="0"/>
        <v>5.0735061851998609E-3</v>
      </c>
      <c r="L18" s="143" cm="1">
        <f t="array" ref="L18">IF(ISNUMBER(_xlfn.SINGLE(_xll.BDP($E18,L$2))),  _xll.BDP($E18,L$2), "nmf")</f>
        <v>27826.91</v>
      </c>
      <c r="M18" t="str" cm="1">
        <f t="array" ref="M18">_xll.BDP(E18,M$2)</f>
        <v>29/01/2026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13.54673788668415</v>
      </c>
      <c r="Q18" s="153">
        <f>P18/T18-1</f>
        <v>0.24599785569472155</v>
      </c>
      <c r="R18" s="153">
        <f>$P18/U18-1</f>
        <v>8.1614147275458349E-2</v>
      </c>
      <c r="S18" s="144" cm="1">
        <f t="array" ref="S18">_xll.BDP($E18,S$2)</f>
        <v>10.505426822514742</v>
      </c>
      <c r="T18" s="150">
        <f>MEDIAN(_xll.BDH($E18," best pe ratio","-7ay",""," be997=1gy","array=true"," dts=h"  ))</f>
        <v>10.872199999999999</v>
      </c>
      <c r="U18" s="151">
        <f>T18+W18</f>
        <v>12.524556858661498</v>
      </c>
      <c r="V18" s="151">
        <f>T18-W18</f>
        <v>9.2198431413385009</v>
      </c>
      <c r="W18" s="150">
        <f>STDEV(_xll.BDH($E18," best pe ratio","-7ay",""," be997=1gy","array=true"," dts=h"  ))</f>
        <v>1.6523568586614978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9552.58</v>
      </c>
      <c r="I19" s="153">
        <f t="shared" si="1"/>
        <v>0.49514171054361511</v>
      </c>
      <c r="J19" s="143" cm="1">
        <f t="array" ref="J19">IF(ISTEXT($E19),_xll.BDH($E19,"PX_LAST",J$2,J$2,"Fill=P","CDR=US"),"")</f>
        <v>6389.08</v>
      </c>
      <c r="K19" s="153">
        <f t="shared" si="0"/>
        <v>-2.2274853867009892E-2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4" cm="1">
        <f t="array" ref="P19">_xll.BDP($E19,P$2)</f>
        <v>12.263570937173832</v>
      </c>
      <c r="Q19" s="153">
        <f>P19/T19-1</f>
        <v>0.37670729769910216</v>
      </c>
      <c r="R19" s="153">
        <f>$P19/U19-1</f>
        <v>0.20895443190376151</v>
      </c>
      <c r="S19" s="144" cm="1">
        <f t="array" ref="S19">_xll.BDP($E19,S$2)</f>
        <v>11.019225350864204</v>
      </c>
      <c r="T19" s="150">
        <f>MEDIAN(_xll.BDH($E19," best pe ratio","-7ay",""," be997=1gy","array=true"," dts=h"  ))</f>
        <v>8.9078999999999997</v>
      </c>
      <c r="U19" s="151">
        <f>T19+W19</f>
        <v>10.143948037695825</v>
      </c>
      <c r="V19" s="151">
        <f>T19-W19</f>
        <v>7.6718519623041743</v>
      </c>
      <c r="W19" s="150">
        <f>STDEV(_xll.BDH($E19," best pe ratio","-7ay",""," be997=1gy","array=true"," dts=h"  ))</f>
        <v>1.2360480376958252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4157.9840000000004</v>
      </c>
      <c r="I20" s="153">
        <f t="shared" si="1"/>
        <v>0.51258931696034593</v>
      </c>
      <c r="J20" s="143" cm="1">
        <f t="array" ref="J20">IF(ISTEXT($E20),_xll.BDH($E20,"PX_LAST",J$2,J$2,"Fill=P","CDR=US"),"")</f>
        <v>2748.9180000000001</v>
      </c>
      <c r="K20" s="153">
        <f t="shared" si="0"/>
        <v>-7.8461110424431491E-3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15.880331007437348</v>
      </c>
      <c r="Q20" s="153">
        <f>P20/T20-1</f>
        <v>0.29861154558026182</v>
      </c>
      <c r="R20" s="153">
        <f>$P20/U20-1</f>
        <v>0.16576939614460784</v>
      </c>
      <c r="S20" s="144" cm="1">
        <f t="array" ref="S20">_xll.BDP($E20,S$2)</f>
        <v>9.6510794373589324</v>
      </c>
      <c r="T20" s="150">
        <f>MEDIAN(_xll.BDH($E20," best pe ratio","-7ay",""," be997=1gy","array=true"," dts=h"  ))</f>
        <v>12.2287</v>
      </c>
      <c r="U20" s="151">
        <f>T20+W20</f>
        <v>13.622188968037957</v>
      </c>
      <c r="V20" s="151">
        <f>T20-W20</f>
        <v>10.835211031962043</v>
      </c>
      <c r="W20" s="150">
        <f>STDEV(_xll.BDH($E20," best pe ratio","-7ay",""," be997=1gy","array=true"," dts=h"  ))</f>
        <v>1.393488968037957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1.2481946681340166E-2</v>
      </c>
      <c r="AP1" s="23"/>
    </row>
    <row r="2" spans="1:47" outlineLevel="1">
      <c r="D2" s="7" t="s">
        <v>66</v>
      </c>
      <c r="E2" s="265">
        <f>D4+E4</f>
        <v>6.4524886138299931E-3</v>
      </c>
      <c r="Q2" s="179">
        <f ca="1">WORKDAY(Q3,-126)</f>
        <v>45875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46051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46021</v>
      </c>
      <c r="AN3" s="180">
        <f ca="1">WORKDAY($Q$3,-66)</f>
        <v>45959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9.4672176475850793E-3</v>
      </c>
      <c r="E4" s="265">
        <f>SUM(E8:E24)</f>
        <v>-3.0147290337550862E-3</v>
      </c>
      <c r="Q4" s="181" t="str">
        <f ca="1">YEAR($Q$2)&amp;TEXT(MONTH($Q$2),"00")&amp;TEXT(DAY($Q$2),"00")</f>
        <v>20250806</v>
      </c>
      <c r="X4" s="182"/>
    </row>
    <row r="5" spans="1:47" outlineLevel="1">
      <c r="C5" s="7" t="s">
        <v>91</v>
      </c>
      <c r="D5" s="265">
        <f>SUM(D22:D23)</f>
        <v>1.7791532266764058E-3</v>
      </c>
      <c r="Q5" s="181" t="str">
        <f ca="1">YEAR(TODAY())&amp;TEXT(MONTH(TODAY()),"00")&amp;TEXT(DAY(TODAY()),"00")</f>
        <v>20260129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1.7344283680710473E-4</v>
      </c>
      <c r="E8" s="255">
        <f>SUMIF(Tabelad[Ticker],PAIR_Monitor!C8,Tabelad[Exp %])</f>
        <v>-1.7344283680710473E-4</v>
      </c>
      <c r="F8" s="254"/>
      <c r="G8" s="187" cm="1">
        <f t="array" ref="G8">_xll.BDP(B8&amp;" Equity","LAST PRICE")</f>
        <v>432.33600000000001</v>
      </c>
      <c r="H8" s="188" cm="1">
        <f t="array" ref="H8">G8/_xll.BDP(B8&amp;" Equity", "PREV_CLOSE_VAL")-1</f>
        <v>-0.10234827564728111</v>
      </c>
      <c r="I8" s="187" cm="1">
        <f t="array" ref="I8">_xll.BDP(C8&amp;" Equity","LAST PRICE")</f>
        <v>92.355000000000004</v>
      </c>
      <c r="J8" s="188" cm="1">
        <f t="array" ref="J8">I8/_xll.BDP(C8&amp;" Equity", "PREV_CLOSE_VAL")-1</f>
        <v>-4.8475169997939438E-2</v>
      </c>
      <c r="K8" s="189">
        <f t="shared" ref="K8:K18" si="1">G8/I8</f>
        <v>4.6812408640571705</v>
      </c>
      <c r="L8" s="188" cm="1">
        <f t="array" ref="L8">K8/(_xll.BDP(B8&amp;" Equity", "PREV_CLOSE_VAL")/_xll.BDP(C8&amp;" Equity", "PREV_CLOSE_VAL"))-1</f>
        <v>-5.6617656156408569E-2</v>
      </c>
      <c r="M8" s="188"/>
      <c r="N8" s="190">
        <f t="shared" ref="N8:N18" si="2">ABS(L8/O8)</f>
        <v>5.0172749873507705</v>
      </c>
      <c r="O8" s="191">
        <f t="shared" ref="O8:O18" si="3">P8/15.87/100</f>
        <v>1.1284543163201009E-2</v>
      </c>
      <c r="P8" s="192" cm="1">
        <f t="array" ref="P8">_xll.BDP($A8&amp;" Index","VOLATILITY_30D")</f>
        <v>17.908570000000001</v>
      </c>
      <c r="Q8" s="192" cm="1">
        <f t="array" aca="1" ref="Q8" ca="1">(_xll.BDP(($B8&amp; " Equity"),"CORR_COEF", "BETA_OVERRIDE_REL_INDEX",($C8&amp; " Equity"),"BETA_OVERRIDE_END_DT",$Q$5,"BETA_OVERRIDE_START_DT",$Q$4))*100</f>
        <v>71.930808636903492</v>
      </c>
      <c r="R8" s="188"/>
      <c r="S8" s="188" cm="1">
        <f t="array" ref="S8">_xll.BDP($A8&amp;" Index","CHG_PCT_2D")/100</f>
        <v>9.4128930000000003E-3</v>
      </c>
      <c r="T8" s="188" cm="1">
        <f t="array" ref="T8">_xll.BDP($A8&amp;" Index","CHG_PCT_5D")/100</f>
        <v>6.6264900000000002E-2</v>
      </c>
      <c r="U8" s="188" cm="1">
        <f t="array" ref="U8">K8/_xll.BDP($A8&amp;" Index","HIGH_52WEEK")-1</f>
        <v>-5.6617972295061048E-2</v>
      </c>
      <c r="V8" s="188" cm="1">
        <f t="array" ref="V8">K8/_xll.BDP($A8&amp;" Index","LOW_52WEEK")-1</f>
        <v>0.23224922321941666</v>
      </c>
      <c r="W8" s="188"/>
      <c r="X8" s="192" cm="1">
        <f t="array" ref="X8">_xll.BDP($A8&amp;" Index","RSI_14D")</f>
        <v>74.086060000000003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7.1222165688139771E-2</v>
      </c>
      <c r="AE8" s="188"/>
      <c r="AF8" s="195">
        <f>IF(ISTEXT(B8),_xll.BDP(B8 &amp; " Equity","EXPECTED_REPORT_DT")*1,"")</f>
        <v>46142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2.3241915714176238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0.73625307037913335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2.0840529648819661E-2</v>
      </c>
      <c r="AN8" s="194">
        <f ca="1">IF(ISTEXT(B8),AP8/_xll.BDH(B8 &amp;  " Equity","BEST_EPS",$AN$3,$AN$3,"BEST_FPERIOD_OVERRIDE=1BF","CDR=US","Fill=p")-1,"")</f>
        <v>6.9997586290127867E-2</v>
      </c>
      <c r="AO8" s="196">
        <f t="shared" ref="AO8:AO18" ca="1" si="7">G8/AP8</f>
        <v>24.381682833295738</v>
      </c>
      <c r="AP8" s="196" cm="1">
        <f t="array" aca="1" ref="AP8" ca="1">IF(ISTEXT(B8),_xll.BDH(B8 &amp;  " Equity","BEST_EPS",$Q$3,$Q$3,"BEST_FPERIOD_OVERRIDE=1BF","CDR=US","Fill=p"),"")</f>
        <v>17.731999999999999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9.4332541512496886E-4</v>
      </c>
      <c r="E9" s="255">
        <f>SUMIF(Tabelad[Ticker],PAIR_Monitor!C9,Tabelad[Exp %])</f>
        <v>-9.4332541512496886E-4</v>
      </c>
      <c r="F9" s="254"/>
      <c r="G9" s="187" cm="1">
        <f t="array" ref="G9">_xll.BDP(B9&amp;" Equity","LAST PRICE")</f>
        <v>432.33600000000001</v>
      </c>
      <c r="H9" s="188" cm="1">
        <f t="array" ref="H9">G9/_xll.BDP(B9&amp;" Equity", "PREV_CLOSE_VAL")-1</f>
        <v>-0.10234827564728111</v>
      </c>
      <c r="I9" s="187" cm="1">
        <f t="array" ref="I9">_xll.BDP(C9&amp;" Equity","LAST PRICE")</f>
        <v>82.194999999999993</v>
      </c>
      <c r="J9" s="188" cm="1">
        <f t="array" ref="J9">I9/_xll.BDP(C9&amp;" Equity", "PREV_CLOSE_VAL")-1</f>
        <v>-1.5184645286686616E-3</v>
      </c>
      <c r="K9" s="189">
        <f t="shared" si="1"/>
        <v>5.2598819879554721</v>
      </c>
      <c r="L9" s="188" cm="1">
        <f t="array" ref="L9">K9/(_xll.BDP(B9&amp;" Equity", "PREV_CLOSE_VAL")/_xll.BDP(C9&amp;" Equity", "PREV_CLOSE_VAL"))-1</f>
        <v>-0.10098315045056483</v>
      </c>
      <c r="M9" s="188"/>
      <c r="N9" s="190">
        <f t="shared" si="2"/>
        <v>5.8838245665999462</v>
      </c>
      <c r="O9" s="191">
        <f t="shared" si="3"/>
        <v>1.7162841839949591E-2</v>
      </c>
      <c r="P9" s="192" cm="1">
        <f t="array" ref="P9">_xll.BDP($A9&amp;" Index","VOLATILITY_30D")</f>
        <v>27.23743</v>
      </c>
      <c r="Q9" s="192" cm="1">
        <f t="array" aca="1" ref="Q9" ca="1">(_xll.BDP(($B9&amp; " Equity"),"CORR_COEF", "BETA_OVERRIDE_REL_INDEX",($C9&amp; " Equity"),"BETA_OVERRIDE_END_DT",$Q$5,"BETA_OVERRIDE_START_DT",$Q$4))*100</f>
        <v>-7.2549145120332721</v>
      </c>
      <c r="R9" s="188"/>
      <c r="S9" s="188" cm="1">
        <f t="array" ref="S9">_xll.BDP($A9&amp;" Index","CHG_PCT_2D")/100</f>
        <v>1.2410490000000001E-2</v>
      </c>
      <c r="T9" s="188" cm="1">
        <f t="array" ref="T9">_xll.BDP($A9&amp;" Index","CHG_PCT_5D")/100</f>
        <v>6.6935149999999999E-2</v>
      </c>
      <c r="U9" s="188" cm="1">
        <f t="array" ref="U9">K9/_xll.BDP($A9&amp;" Index","HIGH_52WEEK")-1</f>
        <v>-0.25620580257965608</v>
      </c>
      <c r="V9" s="188" cm="1">
        <f t="array" ref="V9">K9/_xll.BDP($A9&amp;" Index","LOW_52WEEK")-1</f>
        <v>0.18769153377217318</v>
      </c>
      <c r="W9" s="188"/>
      <c r="X9" s="192" cm="1">
        <f t="array" ref="X9">_xll.BDP($A9&amp;" Index","RSI_14D")</f>
        <v>48.973759999999999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-5.0562818058579095E-2</v>
      </c>
      <c r="AE9" s="188"/>
      <c r="AF9" s="195">
        <f>IF(ISTEXT(B9),_xll.BDP(B9 &amp; " Equity","EXPECTED_REPORT_DT")*1,"")</f>
        <v>46142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2.3241915714176238</v>
      </c>
      <c r="AI9" s="196" cm="1">
        <f t="array" ref="AI9">(_xll.BDP(C9&amp;" Equity","SHORT_INT")/_xll.BDP(C9&amp;" Equity","VOLUME_AVG_90D"))</f>
        <v>2.3404096884553058</v>
      </c>
      <c r="AJ9" s="196" cm="1">
        <f t="array" ref="AJ9">(_xll.BDP(B9&amp;" Equity","SHORT_INT"))/((_xll.BDP(B9&amp;" Equity","EQY_FREE_FLOAT_PCT"))*(_xll.BDP(B9&amp;" Equity","EQY_SH_OUT_TOT_MULT_SH")))/100</f>
        <v>0.73625307037913335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2.0840529648819661E-2</v>
      </c>
      <c r="AN9" s="194">
        <f ca="1">IF(ISTEXT(B9),AP9/_xll.BDH(B9 &amp;  " Equity","BEST_EPS",$AN$3,$AN$3,"BEST_FPERIOD_OVERRIDE=1BF","CDR=US","Fill=p")-1,"")</f>
        <v>6.9997586290127867E-2</v>
      </c>
      <c r="AO9" s="196">
        <f t="shared" ca="1" si="7"/>
        <v>24.381682833295738</v>
      </c>
      <c r="AP9" s="196" cm="1">
        <f t="array" aca="1" ref="AP9" ca="1">IF(ISTEXT(B9),_xll.BDH(B9 &amp;  " Equity","BEST_EPS",$Q$3,$Q$3,"BEST_FPERIOD_OVERRIDE=1BF","CDR=US","Fill=p"),"")</f>
        <v>17.731999999999999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740.35</v>
      </c>
      <c r="H10" s="257" cm="1">
        <f t="array" ref="H10">G10/_xll.BDP(B10&amp;" Equity", "PREV_CLOSE_VAL")-1</f>
        <v>0.10709853004949688</v>
      </c>
      <c r="I10" s="256" cm="1">
        <f t="array" ref="I10">_xll.BDP(C10&amp;" Equity","LAST PRICE")</f>
        <v>694.65</v>
      </c>
      <c r="J10" s="257" cm="1">
        <f t="array" ref="J10">I10/_xll.BDP(C10&amp;" Equity", "PREV_CLOSE_VAL")-1</f>
        <v>-1.1072445428661482E-3</v>
      </c>
      <c r="K10" s="258">
        <f t="shared" si="1"/>
        <v>1.0657885265961276</v>
      </c>
      <c r="L10" s="257" cm="1">
        <f t="array" ref="L10">K10/(_xll.BDP(B10&amp;" Equity", "PREV_CLOSE_VAL")/_xll.BDP(C10&amp;" Equity", "PREV_CLOSE_VAL"))-1</f>
        <v>0.10832571765208532</v>
      </c>
      <c r="M10" s="257"/>
      <c r="N10" s="190">
        <f t="shared" si="2"/>
        <v>7.5135810740973739</v>
      </c>
      <c r="O10" s="191">
        <f t="shared" si="3"/>
        <v>1.4417321991178324E-2</v>
      </c>
      <c r="P10" s="259" cm="1">
        <f t="array" ref="P10">_xll.BDP($A10&amp;" Index","VOLATILITY_30D")</f>
        <v>22.880289999999999</v>
      </c>
      <c r="Q10" s="259" cm="1">
        <f t="array" aca="1" ref="Q10" ca="1">(_xll.BDP(($B10&amp; " Equity"),"CORR_COEF", "BETA_OVERRIDE_REL_INDEX",($C10&amp; " Equity"),"BETA_OVERRIDE_END_DT",$Q$5,"BETA_OVERRIDE_START_DT",$Q$4))*100</f>
        <v>42.682205791330098</v>
      </c>
      <c r="R10" s="257"/>
      <c r="S10" s="257" cm="1">
        <f t="array" ref="S10">_xll.BDP($A10&amp;" Index","CHG_PCT_2D")/100</f>
        <v>-6.2007809999999998E-3</v>
      </c>
      <c r="T10" s="257" cm="1">
        <f t="array" ref="T10">_xll.BDP($A10&amp;" Index","CHG_PCT_5D")/100</f>
        <v>2.3017739999999998E-2</v>
      </c>
      <c r="U10" s="257" cm="1">
        <f t="array" ref="U10">K10/_xll.BDP($A10&amp;" Index","HIGH_52WEEK")-1</f>
        <v>-0.1335404848614874</v>
      </c>
      <c r="V10" s="257" cm="1">
        <f t="array" ref="V10">K10/_xll.BDP($A10&amp;" Index","LOW_52WEEK")-1</f>
        <v>0.19634573685961754</v>
      </c>
      <c r="W10" s="257"/>
      <c r="X10" s="259" cm="1">
        <f t="array" ref="X10">_xll.BDP($A10&amp;" Index","RSI_14D")</f>
        <v>57.388399999999997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-3.1101339458065924E-2</v>
      </c>
      <c r="AE10" s="257"/>
      <c r="AF10" s="261">
        <f>IF(ISTEXT(B10),_xll.BDP(B10 &amp; " Equity","EXPECTED_REPORT_DT")*1,"")</f>
        <v>46142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1.8964562375719098</v>
      </c>
      <c r="AI10" s="262" cm="1">
        <f t="array" ref="AI10">(_xll.BDP(C10&amp;" Equity","SHORT_INT")/_xll.BDP(C10&amp;" Equity","VOLUME_AVG_90D"))</f>
        <v>1.3538270211973968</v>
      </c>
      <c r="AJ10" s="262" cm="1">
        <f t="array" ref="AJ10">(_xll.BDP(B10&amp;" Equity","SHORT_INT"))/((_xll.BDP(B10&amp;" Equity","EQY_FREE_FLOAT_PCT"))*(_xll.BDP(B10&amp;" Equity","EQY_SH_OUT_TOT_MULT_SH")))/100</f>
        <v>1.2886696817530352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9.3191897399016455E-3</v>
      </c>
      <c r="AN10" s="260">
        <f ca="1">IF(ISTEXT(B10),AP10/_xll.BDH(B10 &amp;  " Equity","BEST_EPS",$AN$3,$AN$3,"BEST_FPERIOD_OVERRIDE=1BF","CDR=US","Fill=p")-1,"")</f>
        <v>-1.5606277581319161E-2</v>
      </c>
      <c r="AO10" s="262">
        <f t="shared" ca="1" si="7"/>
        <v>21.979930528753378</v>
      </c>
      <c r="AP10" s="262" cm="1">
        <f t="array" aca="1" ref="AP10" ca="1">IF(ISTEXT(B10),_xll.BDH(B10 &amp;  " Equity","BEST_EPS",$Q$3,$Q$3,"BEST_FPERIOD_OVERRIDE=1BF","CDR=US","Fill=p"),"")</f>
        <v>33.683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740.35</v>
      </c>
      <c r="H11" s="257" cm="1">
        <f t="array" ref="H11">G11/_xll.BDP(B11&amp;" Equity", "PREV_CLOSE_VAL")-1</f>
        <v>0.10709853004949688</v>
      </c>
      <c r="I11" s="256" cm="1">
        <f t="array" ref="I11">_xll.BDP(C11&amp;" Equity","LAST PRICE")</f>
        <v>258.41000000000003</v>
      </c>
      <c r="J11" s="257" cm="1">
        <f t="array" ref="J11">I11/_xll.BDP(C11&amp;" Equity", "PREV_CLOSE_VAL")-1</f>
        <v>7.6821088753704636E-3</v>
      </c>
      <c r="K11" s="258">
        <f t="shared" si="1"/>
        <v>2.865020703533145</v>
      </c>
      <c r="L11" s="257" cm="1">
        <f t="array" ref="L11">K11/(_xll.BDP(B11&amp;" Equity", "PREV_CLOSE_VAL")/_xll.BDP(C11&amp;" Equity", "PREV_CLOSE_VAL"))-1</f>
        <v>9.8658515714921791E-2</v>
      </c>
      <c r="M11" s="257"/>
      <c r="N11" s="190">
        <f t="shared" si="2"/>
        <v>5.9309827416500456</v>
      </c>
      <c r="O11" s="191">
        <f t="shared" si="3"/>
        <v>1.6634429741650913E-2</v>
      </c>
      <c r="P11" s="259" cm="1">
        <f t="array" ref="P11">_xll.BDP($A11&amp;" Index","VOLATILITY_30D")</f>
        <v>26.39884</v>
      </c>
      <c r="Q11" s="259" cm="1">
        <f t="array" aca="1" ref="Q11" ca="1">(_xll.BDP(($B11&amp; " Equity"),"CORR_COEF", "BETA_OVERRIDE_REL_INDEX",($C11&amp; " Equity"),"BETA_OVERRIDE_END_DT",$Q$5,"BETA_OVERRIDE_START_DT",$Q$4))*100</f>
        <v>1.3396138416044372</v>
      </c>
      <c r="R11" s="257"/>
      <c r="S11" s="257" cm="1">
        <f t="array" ref="S11">_xll.BDP($A11&amp;" Index","CHG_PCT_2D")/100</f>
        <v>7.8904430000000002E-4</v>
      </c>
      <c r="T11" s="257" cm="1">
        <f t="array" ref="T11">_xll.BDP($A11&amp;" Index","CHG_PCT_5D")/100</f>
        <v>3.4512760000000001E-6</v>
      </c>
      <c r="U11" s="257" cm="1">
        <f t="array" ref="U11">K11/_xll.BDP($A11&amp;" Index","HIGH_52WEEK")-1</f>
        <v>-0.24958204679715412</v>
      </c>
      <c r="V11" s="257" cm="1">
        <f t="array" ref="V11">K11/_xll.BDP($A11&amp;" Index","LOW_52WEEK")-1</f>
        <v>0.30891596205000105</v>
      </c>
      <c r="W11" s="257"/>
      <c r="X11" s="259" cm="1">
        <f t="array" ref="X11">_xll.BDP($A11&amp;" Index","RSI_14D")</f>
        <v>63.027859999999997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-5.7558979100939212E-2</v>
      </c>
      <c r="AE11" s="257"/>
      <c r="AF11" s="261">
        <f>IF(ISTEXT(B11),_xll.BDP(B11 &amp; " Equity","EXPECTED_REPORT_DT")*1,"")</f>
        <v>46142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1.8964562375719098</v>
      </c>
      <c r="AI11" s="262" cm="1">
        <f t="array" ref="AI11">(_xll.BDP(C11&amp;" Equity","SHORT_INT")/_xll.BDP(C11&amp;" Equity","VOLUME_AVG_90D"))</f>
        <v>2.3604201037839698</v>
      </c>
      <c r="AJ11" s="262" cm="1">
        <f t="array" ref="AJ11">(_xll.BDP(B11&amp;" Equity","SHORT_INT"))/((_xll.BDP(B11&amp;" Equity","EQY_FREE_FLOAT_PCT"))*(_xll.BDP(B11&amp;" Equity","EQY_SH_OUT_TOT_MULT_SH")))/100</f>
        <v>1.2886696817530352</v>
      </c>
      <c r="AK11" s="262" cm="1">
        <f t="array" ref="AK11">(_xll.BDP(C11&amp;" Equity","SHORT_INT"))/((_xll.BDP(C11&amp;" Equity","EQY_FREE_FLOAT_PCT"))*(_xll.BDP(C11&amp;" Equity","EQY_SH_OUT_TOT_MULT_SH")))/100</f>
        <v>0.78632789615713561</v>
      </c>
      <c r="AM11" s="260">
        <f ca="1">IF(ISTEXT(B11),AP11/_xll.BDH(B11 &amp;  " Equity","BEST_EPS",$AM$3,$AM$3,"BEST_FPERIOD_OVERRIDE=1BF","CDR=US","Fill=p")-1,"")</f>
        <v>9.3191897399016455E-3</v>
      </c>
      <c r="AN11" s="260">
        <f ca="1">IF(ISTEXT(B11),AP11/_xll.BDH(B11 &amp;  " Equity","BEST_EPS",$AN$3,$AN$3,"BEST_FPERIOD_OVERRIDE=1BF","CDR=US","Fill=p")-1,"")</f>
        <v>-1.5606277581319161E-2</v>
      </c>
      <c r="AO11" s="262">
        <f t="shared" ca="1" si="7"/>
        <v>21.979930528753378</v>
      </c>
      <c r="AP11" s="262" cm="1">
        <f t="array" aca="1" ref="AP11" ca="1">IF(ISTEXT(B11),_xll.BDH(B11 &amp;  " Equity","BEST_EPS",$Q$3,$Q$3,"BEST_FPERIOD_OVERRIDE=1BF","CDR=US","Fill=p"),"")</f>
        <v>33.683</v>
      </c>
      <c r="AR11" s="260">
        <f ca="1">IF(ISTEXT(C11),AU11/_xll.BDH(C11 &amp;  " Equity","BEST_EPS",$AM$3,$AM$3,"BEST_FPERIOD_OVERRIDE=1BF","CDR=US","Fill=p")-1,"")</f>
        <v>7.5542965061379252E-3</v>
      </c>
      <c r="AS11" s="260">
        <f ca="1">IF(ISTEXT(C11),AU11/_xll.BDH(C11 &amp;  " Equity","BEST_EPS",$AN$3,$AN$3,"BEST_FPERIOD_OVERRIDE=1BF","CDR=US","Fill=p")-1,"")</f>
        <v>5.0326073581887343E-2</v>
      </c>
      <c r="AT11" s="262">
        <f t="shared" ca="1" si="8"/>
        <v>30.272961574507971</v>
      </c>
      <c r="AU11" s="262" cm="1">
        <f t="array" aca="1" ref="AU11" ca="1">IF(ISTEXT(C11),_xll.BDH(C11 &amp;  " Equity","BEST_EPS",$Q$3,$Q$3,"BEST_FPERIOD_OVERRIDE=1BF","CDR=US","Fill=p"),"")</f>
        <v>8.5359999999999996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5109.46</v>
      </c>
      <c r="H12" s="188" cm="1">
        <f t="array" ref="H12">G12/_xll.BDP(B12&amp;" Equity", "PREV_CLOSE_VAL")-1</f>
        <v>4.7667554206110019E-3</v>
      </c>
      <c r="I12" s="187" cm="1">
        <f t="array" ref="I12">_xll.BDP(C12&amp;" Equity","LAST PRICE")</f>
        <v>131.84</v>
      </c>
      <c r="J12" s="188" cm="1">
        <f t="array" ref="J12">I12/_xll.BDP(C12&amp;" Equity", "PREV_CLOSE_VAL")-1</f>
        <v>2.2044849866971195E-3</v>
      </c>
      <c r="K12" s="189">
        <f t="shared" si="1"/>
        <v>38.755006067961162</v>
      </c>
      <c r="L12" s="188" cm="1">
        <f t="array" ref="L12">K12/(_xll.BDP(B12&amp;" Equity", "PREV_CLOSE_VAL")/_xll.BDP(C12&amp;" Equity", "PREV_CLOSE_VAL"))-1</f>
        <v>2.5566343718248508E-3</v>
      </c>
      <c r="M12" s="188"/>
      <c r="N12" s="190">
        <f t="shared" si="2"/>
        <v>0.18663908272882718</v>
      </c>
      <c r="O12" s="191">
        <f t="shared" si="3"/>
        <v>1.36982797731569E-2</v>
      </c>
      <c r="P12" s="192" cm="1">
        <f t="array" ref="P12">_xll.BDP($A12&amp;" Index","VOLATILITY_30D")</f>
        <v>21.739170000000001</v>
      </c>
      <c r="Q12" s="192" cm="1">
        <f t="array" aca="1" ref="Q12" ca="1">(_xll.BDP(($B12&amp; " Equity"),"CORR_COEF", "BETA_OVERRIDE_REL_INDEX",($C12&amp; " Equity"),"BETA_OVERRIDE_END_DT",$Q$5,"BETA_OVERRIDE_START_DT",$Q$4))*100</f>
        <v>73.876704086698368</v>
      </c>
      <c r="R12" s="188"/>
      <c r="S12" s="188" cm="1">
        <f t="array" ref="S12">_xll.BDP($A12&amp;" Index","CHG_PCT_2D")/100</f>
        <v>-8.2060710000000005E-3</v>
      </c>
      <c r="T12" s="188" cm="1">
        <f t="array" ref="T12">_xll.BDP($A12&amp;" Index","CHG_PCT_5D")/100</f>
        <v>4.1346070000000002E-3</v>
      </c>
      <c r="U12" s="188" cm="1">
        <f t="array" ref="U12">K12/_xll.BDP($A12&amp;" Index","HIGH_52WEEK")-1</f>
        <v>-0.16095636307036965</v>
      </c>
      <c r="V12" s="188" cm="1">
        <f t="array" ref="V12">K12/_xll.BDP($A12&amp;" Index","LOW_52WEEK")-1</f>
        <v>0.24015424143439823</v>
      </c>
      <c r="W12" s="188"/>
      <c r="X12" s="192" cm="1">
        <f t="array" ref="X12">_xll.BDP($A12&amp;" Index","RSI_14D")</f>
        <v>44.010840000000002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1.1626470669376943E-3</v>
      </c>
      <c r="AE12" s="188"/>
      <c r="AF12" s="195">
        <f>IF(ISTEXT(B12),_xll.BDP(B12 &amp; " Equity","EXPECTED_REPORT_DT")*1,"")</f>
        <v>46071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2.9001079536912115</v>
      </c>
      <c r="AI12" s="196" cm="1">
        <f t="array" ref="AI12">(_xll.BDP(C12&amp;" Equity","SHORT_INT")/_xll.BDP(C12&amp;" Equity","VOLUME_AVG_90D"))</f>
        <v>3.6288458551668716</v>
      </c>
      <c r="AJ12" s="196" cm="1">
        <f t="array" ref="AJ12">(_xll.BDP(B12&amp;" Equity","SHORT_INT"))/((_xll.BDP(B12&amp;" Equity","EQY_FREE_FLOAT_PCT"))*(_xll.BDP(B12&amp;" Equity","EQY_SH_OUT_TOT_MULT_SH")))/100</f>
        <v>2.2681119591180829</v>
      </c>
      <c r="AK12" s="196" cm="1">
        <f t="array" ref="AK12">(_xll.BDP(C12&amp;" Equity","SHORT_INT"))/((_xll.BDP(C12&amp;" Equity","EQY_FREE_FLOAT_PCT"))*(_xll.BDP(C12&amp;" Equity","EQY_SH_OUT_TOT_MULT_SH")))/100</f>
        <v>3.1314491967447604</v>
      </c>
      <c r="AM12" s="194">
        <f ca="1">IF(ISTEXT(B12),AP12/_xll.BDH(B12 &amp;  " Equity","BEST_EPS",$AM$3,$AM$3,"BEST_FPERIOD_OVERRIDE=1BF","CDR=US","Fill=p")-1,"")</f>
        <v>1.620809048198546E-2</v>
      </c>
      <c r="AN12" s="194">
        <f ca="1">IF(ISTEXT(B12),AP12/_xll.BDH(B12 &amp;  " Equity","BEST_EPS",$AN$3,$AN$3,"BEST_FPERIOD_OVERRIDE=1BF","CDR=US","Fill=p")-1,"")</f>
        <v>4.6902472820707919E-2</v>
      </c>
      <c r="AO12" s="196">
        <f t="shared" ca="1" si="7"/>
        <v>18.943219946241541</v>
      </c>
      <c r="AP12" s="196" cm="1">
        <f t="array" aca="1" ref="AP12" ca="1">IF(ISTEXT(B12),_xll.BDH(B12 &amp;  " Equity","BEST_EPS",$Q$3,$Q$3,"BEST_FPERIOD_OVERRIDE=1BF","CDR=US","Fill=p"),"")</f>
        <v>269.72500000000002</v>
      </c>
      <c r="AR12" s="194">
        <f ca="1">IF(ISTEXT(C12),AU12/_xll.BDH(C12 &amp;  " Equity","BEST_EPS",$AM$3,$AM$3,"BEST_FPERIOD_OVERRIDE=1BF","CDR=US","Fill=p")-1,"")</f>
        <v>1.6369664318276245E-2</v>
      </c>
      <c r="AS12" s="194">
        <f ca="1">IF(ISTEXT(C12),AU12/_xll.BDH(C12 &amp;  " Equity","BEST_EPS",$AN$3,$AN$3,"BEST_FPERIOD_OVERRIDE=1BF","CDR=US","Fill=p")-1,"")</f>
        <v>4.5396419437340185E-2</v>
      </c>
      <c r="AT12" s="196">
        <f t="shared" ca="1" si="8"/>
        <v>26.878695208970438</v>
      </c>
      <c r="AU12" s="196" cm="1">
        <f t="array" aca="1" ref="AU12" ca="1">IF(ISTEXT(C12),_xll.BDH(C12 &amp;  " Equity","BEST_EPS",$Q$3,$Q$3,"BEST_FPERIOD_OVERRIDE=1BF","CDR=US","Fill=p"),"")</f>
        <v>4.9050000000000002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5.6390827675555939E-3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339.5</v>
      </c>
      <c r="H13" s="257" cm="1">
        <f t="array" ref="H13">G13/_xll.BDP(B13&amp;" Equity", "PREV_CLOSE_VAL")-1</f>
        <v>-8.1799591002045258E-3</v>
      </c>
      <c r="I13" s="256" cm="1">
        <f t="array" ref="I13">_xll.BDP(C13&amp;" Equity","LAST PRICE")</f>
        <v>360.94</v>
      </c>
      <c r="J13" s="257" cm="1">
        <f t="array" ref="J13">I13/_xll.BDP(C13&amp;" Equity", "PREV_CLOSE_VAL")-1</f>
        <v>1.3316318038063546E-3</v>
      </c>
      <c r="K13" s="258">
        <f t="shared" si="1"/>
        <v>0.9405995456308528</v>
      </c>
      <c r="L13" s="257" cm="1">
        <f t="array" ref="L13">K13/(_xll.BDP(B13&amp;" Equity", "PREV_CLOSE_VAL")/_xll.BDP(C13&amp;" Equity", "PREV_CLOSE_VAL"))-1</f>
        <v>-9.4989418109928669E-3</v>
      </c>
      <c r="M13" s="257"/>
      <c r="N13" s="190">
        <f t="shared" si="2"/>
        <v>0.58252386942830758</v>
      </c>
      <c r="O13" s="191">
        <f t="shared" si="3"/>
        <v>1.6306528040327662E-2</v>
      </c>
      <c r="P13" s="259" cm="1">
        <f t="array" ref="P13">_xll.BDP($A13&amp;" Index","VOLATILITY_30D")</f>
        <v>25.87846</v>
      </c>
      <c r="Q13" s="259" cm="1">
        <f t="array" aca="1" ref="Q13" ca="1">(_xll.BDP(($B13&amp; " Equity"),"CORR_COEF", "BETA_OVERRIDE_REL_INDEX",($C13&amp; " Equity"),"BETA_OVERRIDE_END_DT",$Q$5,"BETA_OVERRIDE_START_DT",$Q$4))*100</f>
        <v>73.434376414606291</v>
      </c>
      <c r="R13" s="257"/>
      <c r="S13" s="257" cm="1">
        <f t="array" ref="S13">_xll.BDP($A13&amp;" Index","CHG_PCT_2D")/100</f>
        <v>-1.4622630000000001E-2</v>
      </c>
      <c r="T13" s="257" cm="1">
        <f t="array" ref="T13">_xll.BDP($A13&amp;" Index","CHG_PCT_5D")/100</f>
        <v>1.1406090000000001E-2</v>
      </c>
      <c r="U13" s="257" cm="1">
        <f t="array" ref="U13">K13/_xll.BDP($A13&amp;" Index","HIGH_52WEEK")-1</f>
        <v>-0.1153626153237659</v>
      </c>
      <c r="V13" s="257" cm="1">
        <f t="array" ref="V13">K13/_xll.BDP($A13&amp;" Index","LOW_52WEEK")-1</f>
        <v>9.9473460702341088E-2</v>
      </c>
      <c r="W13" s="257"/>
      <c r="X13" s="259" cm="1">
        <f t="array" ref="X13">_xll.BDP($A13&amp;" Index","RSI_14D")</f>
        <v>42.183190000000003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4.5110606256502983E-2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1.7435801317939386</v>
      </c>
      <c r="AI13" s="262" cm="1">
        <f t="array" ref="AI13">(_xll.BDP(C13&amp;" Equity","SHORT_INT")/_xll.BDP(C13&amp;" Equity","VOLUME_AVG_90D"))</f>
        <v>1.1766322116088301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0.18842629152816293</v>
      </c>
      <c r="AN13" s="260">
        <f ca="1">IF(ISTEXT(B13),AP13/_xll.BDH(B13 &amp;  " Equity","BEST_EPS",$AN$3,$AN$3,"BEST_FPERIOD_OVERRIDE=1BF","CDR=US","Fill=p")-1,"")</f>
        <v>0.22696812429574398</v>
      </c>
      <c r="AO13" s="262">
        <f t="shared" ca="1" si="7"/>
        <v>0.74948617700236442</v>
      </c>
      <c r="AP13" s="262" cm="1">
        <f t="array" aca="1" ref="AP13" ca="1">IF(ISTEXT(B13),_xll.BDH(B13 &amp;  " Equity","BEST_EPS",$Q$3,$Q$3,"BEST_FPERIOD_OVERRIDE=1BF","CDR=US","Fill=p"),"")</f>
        <v>452.97699999999998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1.688649217439397E-3</v>
      </c>
      <c r="E14" s="263"/>
      <c r="F14" s="254"/>
      <c r="G14" s="256" cm="1">
        <f t="array" ref="G14">_xll.BDP(B14&amp;" Equity","LAST PRICE")</f>
        <v>192.565</v>
      </c>
      <c r="H14" s="257" cm="1">
        <f t="array" ref="H14">G14/_xll.BDP(B14&amp;" Equity", "PREV_CLOSE_VAL")-1</f>
        <v>5.4563492063490759E-3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1.4391149343337277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1.1202678799294328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3.9160274525635863E-2</v>
      </c>
      <c r="AN14" s="260">
        <f ca="1">IF(ISTEXT(B14),AP14/_xll.BDH(B14 &amp;  " Equity","BEST_EPS",$AN$3,$AN$3,"BEST_FPERIOD_OVERRIDE=1BF","CDR=US","Fill=p")-1,"")</f>
        <v>0.28017241379310343</v>
      </c>
      <c r="AO14" s="262">
        <f t="shared" ca="1" si="7"/>
        <v>24.937192437192437</v>
      </c>
      <c r="AP14" s="262" cm="1">
        <f t="array" aca="1" ref="AP14" ca="1">IF(ISTEXT(B14),_xll.BDH(B14 &amp;  " Equity","BEST_EPS",$Q$3,$Q$3,"BEST_FPERIOD_OVERRIDE=1BF","CDR=US","Fill=p"),"")</f>
        <v>7.7220000000000004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332.2</v>
      </c>
      <c r="H15" s="188" cm="1">
        <f t="array" ref="H15">G15/_xll.BDP(B15&amp;" Equity", "PREV_CLOSE_VAL")-1</f>
        <v>1.5964279160804784E-2</v>
      </c>
      <c r="I15" s="187" cm="1">
        <f t="array" ref="I15">_xll.BDP(C15&amp;" Equity","LAST PRICE")</f>
        <v>198.595</v>
      </c>
      <c r="J15" s="188" cm="1">
        <f t="array" ref="J15">I15/_xll.BDP(C15&amp;" Equity", "PREV_CLOSE_VAL")-1</f>
        <v>1.689700393422866E-3</v>
      </c>
      <c r="K15" s="189">
        <f t="shared" si="1"/>
        <v>1.6727510763110853</v>
      </c>
      <c r="L15" s="188" cm="1">
        <f t="array" ref="L15">K15/(_xll.BDP(B15&amp;" Equity", "PREV_CLOSE_VAL")/_xll.BDP(C15&amp;" Equity", "PREV_CLOSE_VAL"))-1</f>
        <v>1.4250499692445295E-2</v>
      </c>
      <c r="M15" s="188"/>
      <c r="N15" s="190">
        <f t="shared" si="2"/>
        <v>1.1615029693964636</v>
      </c>
      <c r="O15" s="191">
        <f t="shared" si="3"/>
        <v>1.2269017013232514E-2</v>
      </c>
      <c r="P15" s="192" cm="1">
        <f t="array" ref="P15">_xll.BDP($A15&amp;" Index","VOLATILITY_30D")</f>
        <v>19.470929999999999</v>
      </c>
      <c r="Q15" s="192" cm="1">
        <f t="array" aca="1" ref="Q15" ca="1">(_xll.BDP(($B15&amp; " Equity"),"CORR_COEF", "BETA_OVERRIDE_REL_INDEX",($C15&amp; " Equity"),"BETA_OVERRIDE_END_DT",$Q$5,"BETA_OVERRIDE_START_DT",$Q$4))*100</f>
        <v>47.496716357521166</v>
      </c>
      <c r="R15" s="188"/>
      <c r="S15" s="188" cm="1">
        <f t="array" ref="S15">_xll.BDP($A15&amp;" Index","CHG_PCT_2D")/100</f>
        <v>8.6859840000000008E-3</v>
      </c>
      <c r="T15" s="188" cm="1">
        <f t="array" ref="T15">_xll.BDP($A15&amp;" Index","CHG_PCT_5D")/100</f>
        <v>8.9753999999999997E-3</v>
      </c>
      <c r="U15" s="188" cm="1">
        <f t="array" ref="U15">K15/_xll.BDP($A15&amp;" Index","HIGH_52WEEK")-1</f>
        <v>-0.19747881791088651</v>
      </c>
      <c r="V15" s="188" cm="1">
        <f t="array" ref="V15">K15/_xll.BDP($A15&amp;" Index","LOW_52WEEK")-1</f>
        <v>2.541612853084696E-2</v>
      </c>
      <c r="W15" s="188"/>
      <c r="X15" s="192" cm="1">
        <f t="array" ref="X15">_xll.BDP($A15&amp;" Index","RSI_14D")</f>
        <v>34.700339999999997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-0.16362446184445734</v>
      </c>
      <c r="AE15" s="188"/>
      <c r="AF15" s="195">
        <f>IF(ISTEXT(B15),_xll.BDP(B15 &amp; " Equity","EXPECTED_REPORT_DT")*1,"")</f>
        <v>46051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3.3070618436343335</v>
      </c>
      <c r="AI15" s="196" cm="1">
        <f t="array" ref="AI15">(_xll.BDP(C15&amp;" Equity","SHORT_INT")/_xll.BDP(C15&amp;" Equity","VOLUME_AVG_90D"))</f>
        <v>2.2697084489196175</v>
      </c>
      <c r="AJ15" s="196" cm="1">
        <f t="array" ref="AJ15">(_xll.BDP(B15&amp;" Equity","SHORT_INT"))/((_xll.BDP(B15&amp;" Equity","EQY_FREE_FLOAT_PCT"))*(_xll.BDP(B15&amp;" Equity","EQY_SH_OUT_TOT_MULT_SH")))/100</f>
        <v>1.2199629697343541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1.1589153158612309E-2</v>
      </c>
      <c r="AN15" s="194">
        <f ca="1">IF(ISTEXT(B15),AP15/_xll.BDH(B15 &amp;  " Equity","BEST_EPS",$AN$3,$AN$3,"BEST_FPERIOD_OVERRIDE=1BF","CDR=US","Fill=p")-1,"")</f>
        <v>3.1672460409424508E-2</v>
      </c>
      <c r="AO15" s="196">
        <f t="shared" ca="1" si="7"/>
        <v>24.874578809434666</v>
      </c>
      <c r="AP15" s="196" cm="1">
        <f t="array" aca="1" ref="AP15" ca="1">IF(ISTEXT(B15),_xll.BDH(B15 &amp;  " Equity","BEST_EPS",$Q$3,$Q$3,"BEST_FPERIOD_OVERRIDE=1BF","CDR=US","Fill=p"),"")</f>
        <v>13.355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543.35</v>
      </c>
      <c r="H16" s="188" cm="1">
        <f t="array" ref="H16">G16/_xll.BDP(B16&amp;" Equity", "PREV_CLOSE_VAL")-1</f>
        <v>4.2158160231697384E-2</v>
      </c>
      <c r="I16" s="187" cm="1">
        <f t="array" ref="I16">_xll.BDP(C16&amp;" Equity","LAST PRICE")</f>
        <v>198.595</v>
      </c>
      <c r="J16" s="188" cm="1">
        <f t="array" ref="J16">I16/_xll.BDP(C16&amp;" Equity", "PREV_CLOSE_VAL")-1</f>
        <v>1.689700393422866E-3</v>
      </c>
      <c r="K16" s="189">
        <f t="shared" si="1"/>
        <v>2.7359701905888869</v>
      </c>
      <c r="L16" s="188" cm="1">
        <f t="array" ref="L16">K16/(_xll.BDP(B16&amp;" Equity", "PREV_CLOSE_VAL")/_xll.BDP(C16&amp;" Equity", "PREV_CLOSE_VAL"))-1</f>
        <v>4.0400195611854706E-2</v>
      </c>
      <c r="M16" s="188"/>
      <c r="N16" s="190">
        <f t="shared" si="2"/>
        <v>3.6036062662124575</v>
      </c>
      <c r="O16" s="191">
        <f t="shared" si="3"/>
        <v>1.1211045998739762E-2</v>
      </c>
      <c r="P16" s="192" cm="1">
        <f t="array" ref="P16">_xll.BDP($A16&amp;" Index","VOLATILITY_30D")</f>
        <v>17.791930000000001</v>
      </c>
      <c r="Q16" s="192" cm="1">
        <f t="array" aca="1" ref="Q16" ca="1">(_xll.BDP(($B16&amp; " Equity"),"CORR_COEF", "BETA_OVERRIDE_REL_INDEX",($C16&amp; " Equity"),"BETA_OVERRIDE_END_DT",$Q$5,"BETA_OVERRIDE_START_DT",$Q$4))*100</f>
        <v>65.466523157854013</v>
      </c>
      <c r="R16" s="188"/>
      <c r="S16" s="188" cm="1">
        <f t="array" ref="S16">_xll.BDP($A16&amp;" Index","CHG_PCT_2D")/100</f>
        <v>5.2307949999999999E-3</v>
      </c>
      <c r="T16" s="188" cm="1">
        <f t="array" ref="T16">_xll.BDP($A16&amp;" Index","CHG_PCT_5D")/100</f>
        <v>-1.46532E-2</v>
      </c>
      <c r="U16" s="188" cm="1">
        <f t="array" ref="U16">K16/_xll.BDP($A16&amp;" Index","HIGH_52WEEK")-1</f>
        <v>-0.17570403638604748</v>
      </c>
      <c r="V16" s="188" cm="1">
        <f t="array" ref="V16">K16/_xll.BDP($A16&amp;" Index","LOW_52WEEK")-1</f>
        <v>4.5840175298211827E-2</v>
      </c>
      <c r="W16" s="188"/>
      <c r="X16" s="192" cm="1">
        <f t="array" ref="X16">_xll.BDP($A16&amp;" Index","RSI_14D")</f>
        <v>26.083690000000001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-0.1607453403101573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2.3442353133720952</v>
      </c>
      <c r="AI16" s="196" cm="1">
        <f t="array" ref="AI16">(_xll.BDP(C16&amp;" Equity","SHORT_INT")/_xll.BDP(C16&amp;" Equity","VOLUME_AVG_90D"))</f>
        <v>2.2697084489196175</v>
      </c>
      <c r="AJ16" s="196" cm="1">
        <f t="array" ref="AJ16">(_xll.BDP(B16&amp;" Equity","SHORT_INT"))/((_xll.BDP(B16&amp;" Equity","EQY_FREE_FLOAT_PCT"))*(_xll.BDP(B16&amp;" Equity","EQY_SH_OUT_TOT_MULT_SH")))/100</f>
        <v>0.87130229232761147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1.3497959610756505E-2</v>
      </c>
      <c r="AN16" s="194">
        <f ca="1">IF(ISTEXT(B16),AP16/_xll.BDH(B16 &amp;  " Equity","BEST_EPS",$AN$3,$AN$3,"BEST_FPERIOD_OVERRIDE=1BF","CDR=US","Fill=p")-1,"")</f>
        <v>4.5552677029361055E-2</v>
      </c>
      <c r="AO16" s="196">
        <f t="shared" ca="1" si="7"/>
        <v>28.0482139169936</v>
      </c>
      <c r="AP16" s="196" cm="1">
        <f t="array" aca="1" ref="AP16" ca="1">IF(ISTEXT(B16),_xll.BDH(B16 &amp;  " Equity","BEST_EPS",$Q$3,$Q$3,"BEST_FPERIOD_OVERRIDE=1BF","CDR=US","Fill=p"),"")</f>
        <v>19.372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1.897960781823013E-3</v>
      </c>
      <c r="E17" s="255">
        <f>SUMIF(Tabelad[Ticker],PAIR_Monitor!C17,Tabelad[Exp %])-E16-E15</f>
        <v>-1.897960781823013E-3</v>
      </c>
      <c r="F17" s="254"/>
      <c r="G17" s="187" cm="1">
        <f t="array" ref="G17">_xll.BDP(B17&amp;" Equity","LAST PRICE")</f>
        <v>53.564999999999998</v>
      </c>
      <c r="H17" s="188" cm="1">
        <f t="array" ref="H17">G17/_xll.BDP(B17&amp;" Equity", "PREV_CLOSE_VAL")-1</f>
        <v>1.085110398188327E-2</v>
      </c>
      <c r="I17" s="187" cm="1">
        <f t="array" ref="I17">_xll.BDP(C17&amp;" Equity","LAST PRICE")</f>
        <v>198.595</v>
      </c>
      <c r="J17" s="188" cm="1">
        <f t="array" ref="J17">I17/_xll.BDP(C17&amp;" Equity", "PREV_CLOSE_VAL")-1</f>
        <v>1.689700393422866E-3</v>
      </c>
      <c r="K17" s="189">
        <f t="shared" si="1"/>
        <v>0.26971978146479014</v>
      </c>
      <c r="L17" s="188" cm="1">
        <f t="array" ref="L17">K17/(_xll.BDP(B17&amp;" Equity", "PREV_CLOSE_VAL")/_xll.BDP(C17&amp;" Equity", "PREV_CLOSE_VAL"))-1</f>
        <v>9.14594967369875E-3</v>
      </c>
      <c r="M17" s="188"/>
      <c r="N17" s="190">
        <f t="shared" si="2"/>
        <v>1.3893499350209451</v>
      </c>
      <c r="O17" s="191">
        <f t="shared" si="3"/>
        <v>6.5828985507246389E-3</v>
      </c>
      <c r="P17" s="192" cm="1">
        <f t="array" ref="P17">_xll.BDP($A17&amp;" Index","VOLATILITY_30D")</f>
        <v>10.44706</v>
      </c>
      <c r="Q17" s="192" cm="1">
        <f t="array" aca="1" ref="Q17" ca="1">(_xll.BDP(($B17&amp; " Equity"),"CORR_COEF", "BETA_OVERRIDE_REL_INDEX",($C17&amp; " Equity"),"BETA_OVERRIDE_END_DT",$Q$5,"BETA_OVERRIDE_START_DT",$Q$4))*100</f>
        <v>71.041867624702761</v>
      </c>
      <c r="R17" s="188"/>
      <c r="S17" s="188" cm="1">
        <f t="array" ref="S17">_xll.BDP($A17&amp;" Index","CHG_PCT_2D")/100</f>
        <v>3.2076519999999996E-3</v>
      </c>
      <c r="T17" s="188" cm="1">
        <f t="array" ref="T17">_xll.BDP($A17&amp;" Index","CHG_PCT_5D")/100</f>
        <v>-8.2676520000000003E-3</v>
      </c>
      <c r="U17" s="188" cm="1">
        <f t="array" ref="U17">K17/_xll.BDP($A17&amp;" Index","HIGH_52WEEK")-1</f>
        <v>-7.0732880396933262E-2</v>
      </c>
      <c r="V17" s="188" cm="1">
        <f t="array" ref="V17">K17/_xll.BDP($A17&amp;" Index","LOW_52WEEK")-1</f>
        <v>1.2347639022595613E-2</v>
      </c>
      <c r="W17" s="188"/>
      <c r="X17" s="192" cm="1">
        <f t="array" ref="X17">_xll.BDP($A17&amp;" Index","RSI_14D")</f>
        <v>29.311389999999999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-6.9931788052447708E-2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1.4891597321169681</v>
      </c>
      <c r="AI17" s="196" cm="1">
        <f t="array" ref="AI17">(_xll.BDP(C17&amp;" Equity","SHORT_INT")/_xll.BDP(C17&amp;" Equity","VOLUME_AVG_90D"))</f>
        <v>2.2697084489196175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53.564999999999998</v>
      </c>
      <c r="H18" s="188" cm="1">
        <f t="array" ref="H18">G18/_xll.BDP(B18&amp;" Equity", "PREV_CLOSE_VAL")-1</f>
        <v>1.085110398188327E-2</v>
      </c>
      <c r="I18" s="187" cm="1">
        <f t="array" ref="I18">_xll.BDP(C18&amp;" Equity","LAST PRICE")</f>
        <v>476.63</v>
      </c>
      <c r="J18" s="188" cm="1">
        <f t="array" ref="J18">I18/_xll.BDP(C18&amp;" Equity", "PREV_CLOSE_VAL")-1</f>
        <v>6.6316078481065688E-3</v>
      </c>
      <c r="K18" s="189">
        <f t="shared" si="1"/>
        <v>0.11238277070264145</v>
      </c>
      <c r="L18" s="188" cm="1">
        <f t="array" ref="L18">K18/(_xll.BDP(B18&amp;" Equity", "PREV_CLOSE_VAL")/_xll.BDP(C18&amp;" Equity", "PREV_CLOSE_VAL"))-1</f>
        <v>4.1916984335479412E-3</v>
      </c>
      <c r="M18" s="188"/>
      <c r="N18" s="190">
        <f t="shared" si="2"/>
        <v>0.48517611208855571</v>
      </c>
      <c r="O18" s="191">
        <f t="shared" si="3"/>
        <v>8.6395400126023942E-3</v>
      </c>
      <c r="P18" s="192" cm="1">
        <f t="array" ref="P18">_xll.BDP($A18&amp;" Index","VOLATILITY_30D")</f>
        <v>13.71095</v>
      </c>
      <c r="Q18" s="192" cm="1">
        <f t="array" aca="1" ref="Q18" ca="1">(_xll.BDP(($B18&amp; " Equity"),"CORR_COEF", "BETA_OVERRIDE_REL_INDEX",($C18&amp; " Equity"),"BETA_OVERRIDE_END_DT",$Q$5,"BETA_OVERRIDE_START_DT",$Q$4))*100</f>
        <v>51.246576623265014</v>
      </c>
      <c r="R18" s="188"/>
      <c r="S18" s="188" cm="1">
        <f t="array" ref="S18">_xll.BDP($A18&amp;" Index","CHG_PCT_2D")/100</f>
        <v>2.2703559999999998E-3</v>
      </c>
      <c r="T18" s="188" cm="1">
        <f t="array" ref="T18">_xll.BDP($A18&amp;" Index","CHG_PCT_5D")/100</f>
        <v>7.6063429999999998E-3</v>
      </c>
      <c r="U18" s="188" cm="1">
        <f t="array" ref="U18">K18/_xll.BDP($A18&amp;" Index","HIGH_52WEEK")-1</f>
        <v>-6.0779101207972808E-3</v>
      </c>
      <c r="V18" s="188" cm="1">
        <f t="array" ref="V18">K18/_xll.BDP($A18&amp;" Index","LOW_52WEEK")-1</f>
        <v>0.26258589711989044</v>
      </c>
      <c r="W18" s="188"/>
      <c r="X18" s="192" cm="1">
        <f t="array" ref="X18">_xll.BDP($A18&amp;" Index","RSI_14D")</f>
        <v>59.133450000000003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0.12382770702641444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1.4891597321169681</v>
      </c>
      <c r="AI18" s="196" cm="1">
        <f t="array" ref="AI18">(_xll.BDP(C18&amp;" Equity","SHORT_INT")/_xll.BDP(C18&amp;" Equity","VOLUME_AVG_90D"))</f>
        <v>2.2834850120993981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0.77685170658873726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3.5410764872521039E-3</v>
      </c>
      <c r="AS18" s="194">
        <f ca="1">IF(ISTEXT(C18),AU18/_xll.BDH(C18 &amp;  " Equity","BEST_EPS",$AN$3,$AN$3,"BEST_FPERIOD_OVERRIDE=1BF","CDR=US","Fill=p")-1,"")</f>
        <v>-8.0272553320577256E-3</v>
      </c>
      <c r="AT18" s="196">
        <f t="shared" ca="1" si="8"/>
        <v>22.424370736297341</v>
      </c>
      <c r="AU18" s="196" cm="1">
        <f t="array" aca="1" ref="AU18" ca="1">IF(ISTEXT(C18),_xll.BDH(C18 &amp;  " Equity","BEST_EPS",$Q$3,$Q$3,"BEST_FPERIOD_OVERRIDE=1BF","CDR=US","Fill=p"),"")</f>
        <v>21.254999999999999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-8.752433711649969E-4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1.7791532266764058E-3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38.009</v>
      </c>
      <c r="H29" s="188" cm="1">
        <f t="array" ref="H29">G29/_xll.BDP(B29&amp;" Equity", "PREV_CLOSE_VAL")-1</f>
        <v>8.1962864721485396E-3</v>
      </c>
      <c r="I29" s="187" cm="1">
        <f t="array" ref="I29">_xll.BDP(C29&amp;" Equity","LAST PRICE")</f>
        <v>72.58</v>
      </c>
      <c r="J29" s="188" cm="1">
        <f t="array" ref="J29">I29/_xll.BDP(C29&amp;" Equity", "PREV_CLOSE_VAL")-1</f>
        <v>1.4821029082774162E-2</v>
      </c>
      <c r="K29" s="189">
        <f t="shared" ref="K29:K41" si="9">G29/I29</f>
        <v>0.52368421052631575</v>
      </c>
      <c r="L29" s="188" cm="1">
        <f t="array" ref="L29">K29/(_xll.BDP(B29&amp;" Equity", "PREV_CLOSE_VAL")/_xll.BDP(C29&amp;" Equity", "PREV_CLOSE_VAL"))-1</f>
        <v>-6.5279910651964146E-3</v>
      </c>
      <c r="M29" s="188"/>
      <c r="N29" s="190">
        <f t="shared" ref="N29:N41" si="10">ABS(L29/O29)</f>
        <v>0.60535343444058787</v>
      </c>
      <c r="O29" s="191">
        <f>P29/15.87/100</f>
        <v>1.0783768115942029E-2</v>
      </c>
      <c r="P29" s="192" cm="1">
        <f t="array" ref="P29">_xll.BDP($A29&amp;" Index","VOLATILITY_30D")</f>
        <v>17.11384</v>
      </c>
      <c r="Q29" s="192" cm="1">
        <f t="array" aca="1" ref="Q29" ca="1">(_xll.BDP(($B29&amp; " Equity"),"CORR_COEF", "BETA_OVERRIDE_REL_INDEX",($C29&amp; " Equity"),"BETA_OVERRIDE_END_DT",$Q$5,"BETA_OVERRIDE_START_DT",$Q$4))*100</f>
        <v>53.88066397935772</v>
      </c>
      <c r="R29" s="188"/>
      <c r="S29" s="188" cm="1">
        <f t="array" ref="S29">_xll.BDP($A29&amp;" Index","CHG_PCT_2D")/100</f>
        <v>5.9187630000000005E-3</v>
      </c>
      <c r="T29" s="188" cm="1">
        <f t="array" ref="T29">_xll.BDP($A29&amp;" Index","CHG_PCT_5D")/100</f>
        <v>-2.1279530000000001E-3</v>
      </c>
      <c r="U29" s="188" cm="1">
        <f t="array" ref="U29">K29/_xll.BDP($A29&amp;" Index","HIGH_52WEEK")-1</f>
        <v>-0.11690492483041481</v>
      </c>
      <c r="V29" s="188" cm="1">
        <f t="array" ref="V29">K29/_xll.BDP($A29&amp;" Index","LOW_52WEEK")-1</f>
        <v>0.11004135601313303</v>
      </c>
      <c r="W29" s="188"/>
      <c r="X29" s="192" cm="1">
        <f t="array" ref="X29">_xll.BDP($A29&amp;" Index","RSI_14D")</f>
        <v>44.945959999999999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1.6701486125471856</v>
      </c>
      <c r="AI29" s="196" cm="1">
        <f t="array" ref="AI29">(_xll.BDP(C29&amp;" Equity","SHORT_INT")/_xll.BDP(C29&amp;" Equity","VOLUME_AVG_90D"))</f>
        <v>11.217091060189293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0.27300859541145506</v>
      </c>
      <c r="AM29" s="194">
        <f ca="1">IF(ISTEXT(B29),AP29/_xll.BDH(B29 &amp;  " Equity","BEST_EPS",$AM$3,$AM$3,"BEST_FPERIOD_OVERRIDE=1BF","CDR=US","Fill=p")-1,"")</f>
        <v>-1.6908212560386437E-2</v>
      </c>
      <c r="AN29" s="194">
        <f ca="1">IF(ISTEXT(B29),AP29/_xll.BDH(B29 &amp;  " Equity","BEST_EPS",$AN$3,$AN$3,"BEST_FPERIOD_OVERRIDE=1BF","CDR=US","Fill=p")-1,"")</f>
        <v>-4.1943376441803126E-3</v>
      </c>
      <c r="AO29" s="196">
        <f t="shared" ref="AO29:AO41" ca="1" si="14">G29/AP29</f>
        <v>13.34117234117234</v>
      </c>
      <c r="AP29" s="196" cm="1">
        <f t="array" aca="1" ref="AP29" ca="1">IF(ISTEXT(B29),_xll.BDH(B29 &amp;  " Equity","BEST_EPS",$Q$3,$Q$3,"BEST_FPERIOD_OVERRIDE=1BF","CDR=US","Fill=p"),"")</f>
        <v>2.8490000000000002</v>
      </c>
      <c r="AR29" s="194">
        <f ca="1">IF(ISTEXT(C29),AU29/_xll.BDH(C29 &amp;  " Equity","BEST_EPS",$AM$3,$AM$3,"BEST_FPERIOD_OVERRIDE=1BF","CDR=US","Fill=p")-1,"")</f>
        <v>-1.6764705882352904E-2</v>
      </c>
      <c r="AS29" s="194">
        <f ca="1">IF(ISTEXT(C29),AU29/_xll.BDH(C29 &amp;  " Equity","BEST_EPS",$AN$3,$AN$3,"BEST_FPERIOD_OVERRIDE=1BF","CDR=US","Fill=p")-1,"")</f>
        <v>-3.6321706543672505E-2</v>
      </c>
      <c r="AT29" s="196">
        <f t="shared" ref="AT29:AT41" ca="1" si="15">I29/AU29</f>
        <v>10.855518994914748</v>
      </c>
      <c r="AU29" s="196" cm="1">
        <f t="array" aca="1" ref="AU29" ca="1">IF(ISTEXT(C29),_xll.BDH(C29 &amp;  " Equity","BEST_EPS",$Q$3,$Q$3,"BEST_FPERIOD_OVERRIDE=1BF","CDR=US","Fill=p"),"")</f>
        <v>6.6859999999999999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38.009</v>
      </c>
      <c r="H30" s="188" cm="1">
        <f t="array" ref="H30">G30/_xll.BDP(B30&amp;" Equity", "PREV_CLOSE_VAL")-1</f>
        <v>8.1962864721485396E-3</v>
      </c>
      <c r="I30" s="187" cm="1">
        <f t="array" ref="I30">_xll.BDP(C30&amp;" Equity","LAST PRICE")</f>
        <v>77.424999999999997</v>
      </c>
      <c r="J30" s="188" cm="1">
        <f t="array" ref="J30">I30/_xll.BDP(C30&amp;" Equity", "PREV_CLOSE_VAL")-1</f>
        <v>2.1572766855785686E-2</v>
      </c>
      <c r="K30" s="189">
        <f t="shared" si="9"/>
        <v>0.49091378753632547</v>
      </c>
      <c r="L30" s="188" cm="1">
        <f t="array" ref="L30">K30/(_xll.BDP(B30&amp;" Equity", "PREV_CLOSE_VAL")/_xll.BDP(C30&amp;" Equity", "PREV_CLOSE_VAL"))-1</f>
        <v>-1.3094006435593997E-2</v>
      </c>
      <c r="M30" s="188"/>
      <c r="N30" s="190">
        <f>ABS(L30/O30)</f>
        <v>1.0933609291319997</v>
      </c>
      <c r="O30" s="191">
        <f>P30/15.87/100</f>
        <v>1.1975923125393827E-2</v>
      </c>
      <c r="P30" s="192" cm="1">
        <f t="array" ref="P30">_xll.BDP($A30&amp;" Index","VOLATILITY_30D")</f>
        <v>19.005790000000001</v>
      </c>
      <c r="Q30" s="192" cm="1">
        <f t="array" aca="1" ref="Q30" ca="1">(_xll.BDP(($B30&amp; " Equity"),"CORR_COEF", "BETA_OVERRIDE_REL_INDEX",($C30&amp; " Equity"),"BETA_OVERRIDE_END_DT",$Q$5,"BETA_OVERRIDE_START_DT",$Q$4))*100</f>
        <v>74.579881263101583</v>
      </c>
      <c r="R30" s="188"/>
      <c r="S30" s="188" cm="1">
        <f t="array" ref="S30">_xll.BDP($A30&amp;" Index","CHG_PCT_2D")/100</f>
        <v>-2.3631780000000001E-3</v>
      </c>
      <c r="T30" s="188" cm="1">
        <f t="array" ref="T30">_xll.BDP($A30&amp;" Index","CHG_PCT_5D")/100</f>
        <v>1.676207E-2</v>
      </c>
      <c r="U30" s="188" cm="1">
        <f t="array" ref="U30">K30/_xll.BDP($A30&amp;" Index","HIGH_52WEEK")-1</f>
        <v>-5.8433795818164214E-2</v>
      </c>
      <c r="V30" s="188" cm="1">
        <f t="array" ref="V30">K30/_xll.BDP($A30&amp;" Index","LOW_52WEEK")-1</f>
        <v>0.1633855191988185</v>
      </c>
      <c r="W30" s="188"/>
      <c r="X30" s="192" cm="1">
        <f t="array" ref="X30">_xll.BDP($A30&amp;" Index","RSI_14D")</f>
        <v>62.800800000000002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1.6701486125471856</v>
      </c>
      <c r="AI30" s="196" cm="1">
        <f t="array" ref="AI30">(_xll.BDP(C30&amp;" Equity","SHORT_INT")/_xll.BDP(C30&amp;" Equity","VOLUME_AVG_90D"))</f>
        <v>2.8990293985805611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-1.6908212560386437E-2</v>
      </c>
      <c r="AN30" s="194">
        <f ca="1">IF(ISTEXT(B30),AP30/_xll.BDH(B30 &amp;  " Equity","BEST_EPS",$AN$3,$AN$3,"BEST_FPERIOD_OVERRIDE=1BF","CDR=US","Fill=p")-1,"")</f>
        <v>-4.1943376441803126E-3</v>
      </c>
      <c r="AO30" s="196">
        <f t="shared" ca="1" si="14"/>
        <v>13.34117234117234</v>
      </c>
      <c r="AP30" s="196" cm="1">
        <f t="array" aca="1" ref="AP30" ca="1">IF(ISTEXT(B30),_xll.BDH(B30 &amp;  " Equity","BEST_EPS",$Q$3,$Q$3,"BEST_FPERIOD_OVERRIDE=1BF","CDR=US","Fill=p"),"")</f>
        <v>2.8490000000000002</v>
      </c>
      <c r="AR30" s="194">
        <f ca="1">IF(ISTEXT(C30),AU30/_xll.BDH(C30 &amp;  " Equity","BEST_EPS",$AM$3,$AM$3,"BEST_FPERIOD_OVERRIDE=1BF","CDR=US","Fill=p")-1,"")</f>
        <v>9.7041043588930176E-3</v>
      </c>
      <c r="AS30" s="194">
        <f ca="1">IF(ISTEXT(C30),AU30/_xll.BDH(C30 &amp;  " Equity","BEST_EPS",$AN$3,$AN$3,"BEST_FPERIOD_OVERRIDE=1BF","CDR=US","Fill=p")-1,"")</f>
        <v>-2.2184563241411048E-2</v>
      </c>
      <c r="AT30" s="196">
        <f t="shared" ca="1" si="15"/>
        <v>12.198676540097683</v>
      </c>
      <c r="AU30" s="196" cm="1">
        <f t="array" aca="1" ref="AU30" ca="1">IF(ISTEXT(C30),_xll.BDH(C30 &amp;  " Equity","BEST_EPS",$Q$3,$Q$3,"BEST_FPERIOD_OVERRIDE=1BF","CDR=US","Fill=p"),"")</f>
        <v>6.3470000000000004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214.10499999999999</v>
      </c>
      <c r="H31" s="188" cm="1">
        <f t="array" ref="H31">G31/_xll.BDP(B31&amp;" Equity", "PREV_CLOSE_VAL")-1</f>
        <v>-6.0778206702930437E-2</v>
      </c>
      <c r="I31" s="187" cm="1">
        <f t="array" ref="I31">_xll.BDP(C31&amp;" Equity","LAST PRICE")</f>
        <v>629.82000000000005</v>
      </c>
      <c r="J31" s="188" cm="1">
        <f t="array" ref="J31">I31/_xll.BDP(C31&amp;" Equity", "PREV_CLOSE_VAL")-1</f>
        <v>-5.3693818893907341E-3</v>
      </c>
      <c r="K31" s="189">
        <f t="shared" si="9"/>
        <v>0.33994633387317008</v>
      </c>
      <c r="L31" s="188" cm="1">
        <f t="array" ref="L31">K31/(_xll.BDP(B31&amp;" Equity", "PREV_CLOSE_VAL")/_xll.BDP(C31&amp;" Equity", "PREV_CLOSE_VAL"))-1</f>
        <v>-5.5707942028563107E-2</v>
      </c>
      <c r="M31" s="188"/>
      <c r="N31" s="190">
        <f t="shared" si="10"/>
        <v>2.7654672658143435</v>
      </c>
      <c r="O31" s="191">
        <f>P31/15.87/100</f>
        <v>2.0144133585381224E-2</v>
      </c>
      <c r="P31" s="192" cm="1">
        <f t="array" ref="P31">_xll.BDP($A31&amp;" Index","VOLATILITY_30D")</f>
        <v>31.96874</v>
      </c>
      <c r="Q31" s="192" cm="1">
        <f t="array" aca="1" ref="Q31" ca="1">(_xll.BDP(($B31&amp; " Equity"),"CORR_COEF", "BETA_OVERRIDE_REL_INDEX",($C31&amp; " Equity"),"BETA_OVERRIDE_END_DT",$Q$5,"BETA_OVERRIDE_START_DT",$Q$4))*100</f>
        <v>45.663001500105125</v>
      </c>
      <c r="R31" s="188"/>
      <c r="S31" s="188" cm="1">
        <f t="array" ref="S31">_xll.BDP($A31&amp;" Index","CHG_PCT_2D")/100</f>
        <v>-5.7901680000000001E-3</v>
      </c>
      <c r="T31" s="188" cm="1">
        <f t="array" ref="T31">_xll.BDP($A31&amp;" Index","CHG_PCT_5D")/100</f>
        <v>-2.0239400000000001E-2</v>
      </c>
      <c r="U31" s="188" cm="1">
        <f t="array" ref="U31">K31/_xll.BDP($A31&amp;" Index","HIGH_52WEEK")-1</f>
        <v>-0.49984355303500161</v>
      </c>
      <c r="V31" s="188" cm="1">
        <f t="array" ref="V31">K31/_xll.BDP($A31&amp;" Index","LOW_52WEEK")-1</f>
        <v>-5.4496484749485319E-2</v>
      </c>
      <c r="W31" s="188"/>
      <c r="X31" s="192" cm="1">
        <f t="array" ref="X31">_xll.BDP($A31&amp;" Index","RSI_14D")</f>
        <v>29.370380000000001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2.1721072532828938</v>
      </c>
      <c r="AI31" s="196" cm="1">
        <f t="array" ref="AI31">(_xll.BDP(C31&amp;" Equity","SHORT_INT")/_xll.BDP(C31&amp;" Equity","VOLUME_AVG_90D"))</f>
        <v>0.81094438942273606</v>
      </c>
      <c r="AJ31" s="196" cm="1">
        <f t="array" ref="AJ31">(_xll.BDP(B31&amp;" Equity","SHORT_INT"))/((_xll.BDP(B31&amp;" Equity","EQY_FREE_FLOAT_PCT"))*(_xll.BDP(B31&amp;" Equity","EQY_SH_OUT_TOT_MULT_SH")))/100</f>
        <v>1.9956927649943825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1.1635918242363763E-2</v>
      </c>
      <c r="AN31" s="194">
        <f ca="1">IF(ISTEXT(B31),AP31/_xll.BDH(B31 &amp;  " Equity","BEST_EPS",$AN$3,$AN$3,"BEST_FPERIOD_OVERRIDE=1BF","CDR=US","Fill=p")-1,"")</f>
        <v>6.7188887991601387E-2</v>
      </c>
      <c r="AO31" s="196">
        <f t="shared" ca="1" si="14"/>
        <v>16.201664774877035</v>
      </c>
      <c r="AP31" s="196" cm="1">
        <f t="array" aca="1" ref="AP31" ca="1">IF(ISTEXT(B31),_xll.BDH(B31 &amp;  " Equity","BEST_EPS",$Q$3,$Q$3,"BEST_FPERIOD_OVERRIDE=1BF","CDR=US","Fill=p"),"")</f>
        <v>13.215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214.10499999999999</v>
      </c>
      <c r="H32" s="188" cm="1">
        <f t="array" ref="H32">G32/_xll.BDP(B32&amp;" Equity", "PREV_CLOSE_VAL")-1</f>
        <v>-6.0778206702930437E-2</v>
      </c>
      <c r="I32" s="187" cm="1">
        <f t="array" ref="I32">_xll.BDP(C32&amp;" Equity","LAST PRICE")</f>
        <v>92.355000000000004</v>
      </c>
      <c r="J32" s="188" cm="1">
        <f t="array" ref="J32">I32/_xll.BDP(C32&amp;" Equity", "PREV_CLOSE_VAL")-1</f>
        <v>-4.8475169997939438E-2</v>
      </c>
      <c r="K32" s="189">
        <f t="shared" si="9"/>
        <v>2.3182827134426938</v>
      </c>
      <c r="L32" s="188" cm="1">
        <f t="array" ref="L32">K32/(_xll.BDP(B32&amp;" Equity", "PREV_CLOSE_VAL")/_xll.BDP(C32&amp;" Equity", "PREV_CLOSE_VAL"))-1</f>
        <v>-1.292981151628414E-2</v>
      </c>
      <c r="M32" s="188"/>
      <c r="N32" s="190">
        <f t="shared" si="10"/>
        <v>0.88031333555602065</v>
      </c>
      <c r="O32" s="191">
        <f t="shared" ref="O32:O55" si="17">P32/15.87/100</f>
        <v>1.4687737870195337E-2</v>
      </c>
      <c r="P32" s="192" cm="1">
        <f t="array" ref="P32">_xll.BDP($A32&amp;" Index","VOLATILITY_30D")</f>
        <v>23.309439999999999</v>
      </c>
      <c r="Q32" s="192" cm="1">
        <f t="array" aca="1" ref="Q32" ca="1">(_xll.BDP(($B32&amp; " Equity"),"CORR_COEF", "BETA_OVERRIDE_REL_INDEX",($C32&amp; " Equity"),"BETA_OVERRIDE_END_DT",$Q$5,"BETA_OVERRIDE_START_DT",$Q$4))*100</f>
        <v>76.739669970376937</v>
      </c>
      <c r="R32" s="188"/>
      <c r="S32" s="188" cm="1">
        <f t="array" ref="S32">_xll.BDP($A32&amp;" Index","CHG_PCT_2D")/100</f>
        <v>4.6995630000000004E-3</v>
      </c>
      <c r="T32" s="188" cm="1">
        <f t="array" ref="T32">_xll.BDP($A32&amp;" Index","CHG_PCT_5D")/100</f>
        <v>-1.8058569999999999E-3</v>
      </c>
      <c r="U32" s="188" cm="1">
        <f t="array" ref="U32">K32/_xll.BDP($A32&amp;" Index","HIGH_52WEEK")-1</f>
        <v>-0.32232779975074355</v>
      </c>
      <c r="V32" s="188" cm="1">
        <f t="array" ref="V32">K32/_xll.BDP($A32&amp;" Index","LOW_52WEEK")-1</f>
        <v>0.1318468694642172</v>
      </c>
      <c r="W32" s="188"/>
      <c r="X32" s="192" cm="1">
        <f t="array" ref="X32">_xll.BDP($A32&amp;" Index","RSI_14D")</f>
        <v>46.009650000000001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2.1721072532828938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1.9956927649943825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1.1635918242363763E-2</v>
      </c>
      <c r="AN32" s="194">
        <f ca="1">IF(ISTEXT(B32),AP32/_xll.BDH(B32 &amp;  " Equity","BEST_EPS",$AN$3,$AN$3,"BEST_FPERIOD_OVERRIDE=1BF","CDR=US","Fill=p")-1,"")</f>
        <v>6.7188887991601387E-2</v>
      </c>
      <c r="AO32" s="196">
        <f t="shared" ca="1" si="14"/>
        <v>16.201664774877035</v>
      </c>
      <c r="AP32" s="196" cm="1">
        <f t="array" aca="1" ref="AP32" ca="1">IF(ISTEXT(B32),_xll.BDH(B32 &amp;  " Equity","BEST_EPS",$Q$3,$Q$3,"BEST_FPERIOD_OVERRIDE=1BF","CDR=US","Fill=p"),"")</f>
        <v>13.215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740.35</v>
      </c>
      <c r="H33" s="188" cm="1">
        <f t="array" ref="H33">G33/_xll.BDP(B33&amp;" Equity", "PREV_CLOSE_VAL")-1</f>
        <v>0.10709853004949688</v>
      </c>
      <c r="I33" s="187" cm="1">
        <f t="array" ref="I33">_xll.BDP(C33&amp;" Equity","LAST PRICE")</f>
        <v>629.82000000000005</v>
      </c>
      <c r="J33" s="188" cm="1">
        <f t="array" ref="J33">I33/_xll.BDP(C33&amp;" Equity", "PREV_CLOSE_VAL")-1</f>
        <v>-5.3693818893907341E-3</v>
      </c>
      <c r="K33" s="189">
        <f t="shared" si="9"/>
        <v>1.1754945857546599</v>
      </c>
      <c r="L33" s="188" cm="1">
        <f t="array" ref="L33">K33/(_xll.BDP(B33&amp;" Equity", "PREV_CLOSE_VAL")/_xll.BDP(C33&amp;" Equity", "PREV_CLOSE_VAL"))-1</f>
        <v>0.11307505509183935</v>
      </c>
      <c r="M33" s="188"/>
      <c r="N33" s="190">
        <f t="shared" si="10"/>
        <v>8.1083904021817421</v>
      </c>
      <c r="O33" s="191">
        <f t="shared" si="17"/>
        <v>1.394543793320731E-2</v>
      </c>
      <c r="P33" s="192" cm="1">
        <f t="array" ref="P33">_xll.BDP($A33&amp;" Index","VOLATILITY_30D")</f>
        <v>22.131409999999999</v>
      </c>
      <c r="Q33" s="192" cm="1">
        <f t="array" aca="1" ref="Q33" ca="1">(_xll.BDP(($B33&amp; " Equity"),"CORR_COEF", "BETA_OVERRIDE_REL_INDEX",($C33&amp; " Equity"),"BETA_OVERRIDE_END_DT",$Q$5,"BETA_OVERRIDE_START_DT",$Q$4))*100</f>
        <v>47.865859420394017</v>
      </c>
      <c r="R33" s="188"/>
      <c r="S33" s="188" cm="1">
        <f t="array" ref="S33">_xll.BDP($A33&amp;" Index","CHG_PCT_2D")/100</f>
        <v>-9.5789719999999998E-3</v>
      </c>
      <c r="T33" s="188" cm="1">
        <f t="array" ref="T33">_xll.BDP($A33&amp;" Index","CHG_PCT_5D")/100</f>
        <v>1.226318E-2</v>
      </c>
      <c r="U33" s="188" cm="1">
        <f t="array" ref="U33">K33/_xll.BDP($A33&amp;" Index","HIGH_52WEEK")-1</f>
        <v>-0.14590235722250977</v>
      </c>
      <c r="V33" s="188" cm="1">
        <f t="array" ref="V33">K33/_xll.BDP($A33&amp;" Index","LOW_52WEEK")-1</f>
        <v>0.19878701750477767</v>
      </c>
      <c r="W33" s="188"/>
      <c r="X33" s="192" cm="1">
        <f t="array" ref="X33">_xll.BDP($A33&amp;" Index","RSI_14D")</f>
        <v>54.397939999999998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46142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1.8964562375719098</v>
      </c>
      <c r="AI33" s="196" cm="1">
        <f t="array" ref="AI33">(_xll.BDP(C33&amp;" Equity","SHORT_INT")/_xll.BDP(C33&amp;" Equity","VOLUME_AVG_90D"))</f>
        <v>0.81094438942273606</v>
      </c>
      <c r="AJ33" s="196" cm="1">
        <f t="array" ref="AJ33">(_xll.BDP(B33&amp;" Equity","SHORT_INT"))/((_xll.BDP(B33&amp;" Equity","EQY_FREE_FLOAT_PCT"))*(_xll.BDP(B33&amp;" Equity","EQY_SH_OUT_TOT_MULT_SH")))/100</f>
        <v>1.2886696817530352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9.3191897399016455E-3</v>
      </c>
      <c r="AN33" s="194">
        <f ca="1">IF(ISTEXT(B33),AP33/_xll.BDH(B33 &amp;  " Equity","BEST_EPS",$AN$3,$AN$3,"BEST_FPERIOD_OVERRIDE=1BF","CDR=US","Fill=p")-1,"")</f>
        <v>-1.5606277581319161E-2</v>
      </c>
      <c r="AO33" s="196">
        <f t="shared" ca="1" si="14"/>
        <v>21.979930528753378</v>
      </c>
      <c r="AP33" s="196" cm="1">
        <f t="array" aca="1" ref="AP33" ca="1">IF(ISTEXT(B33),_xll.BDH(B33 &amp;  " Equity","BEST_EPS",$Q$3,$Q$3,"BEST_FPERIOD_OVERRIDE=1BF","CDR=US","Fill=p"),"")</f>
        <v>33.683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339.5</v>
      </c>
      <c r="H34" s="188" cm="1">
        <f t="array" ref="H34">G34/_xll.BDP(B34&amp;" Equity", "PREV_CLOSE_VAL")-1</f>
        <v>-8.1799591002045258E-3</v>
      </c>
      <c r="I34" s="187" cm="1">
        <f t="array" ref="I34">_xll.BDP(C34&amp;" Equity","LAST PRICE")</f>
        <v>417.41</v>
      </c>
      <c r="J34" s="188" cm="1">
        <f t="array" ref="J34">I34/_xll.BDP(C34&amp;" Equity", "PREV_CLOSE_VAL")-1</f>
        <v>1.8721647504980066E-3</v>
      </c>
      <c r="K34" s="189">
        <f t="shared" si="9"/>
        <v>0.81334898541002842</v>
      </c>
      <c r="L34" s="188" cm="1">
        <f t="array" ref="L34">K34/(_xll.BDP(B34&amp;" Equity", "PREV_CLOSE_VAL")/_xll.BDP(C34&amp;" Equity", "PREV_CLOSE_VAL"))-1</f>
        <v>-1.0033339785626261E-2</v>
      </c>
      <c r="M34" s="188"/>
      <c r="N34" s="190">
        <f t="shared" si="10"/>
        <v>0.71438487718096011</v>
      </c>
      <c r="O34" s="191">
        <f t="shared" si="17"/>
        <v>1.4044725897920605E-2</v>
      </c>
      <c r="P34" s="192" cm="1">
        <f t="array" ref="P34">_xll.BDP($A34&amp;" Index","VOLATILITY_30D")</f>
        <v>22.288979999999999</v>
      </c>
      <c r="Q34" s="192" cm="1">
        <f t="array" aca="1" ref="Q34" ca="1">(_xll.BDP(($B34&amp; " Equity"),"CORR_COEF", "BETA_OVERRIDE_REL_INDEX",($C34&amp; " Equity"),"BETA_OVERRIDE_END_DT",$Q$5,"BETA_OVERRIDE_START_DT",$Q$4))*100</f>
        <v>80.154284564946394</v>
      </c>
      <c r="R34" s="188"/>
      <c r="S34" s="188" cm="1">
        <f t="array" ref="S34">_xll.BDP($A34&amp;" Index","CHG_PCT_2D")/100</f>
        <v>-1.107606E-2</v>
      </c>
      <c r="T34" s="188" cm="1">
        <f t="array" ref="T34">_xll.BDP($A34&amp;" Index","CHG_PCT_5D")/100</f>
        <v>1.094444E-2</v>
      </c>
      <c r="U34" s="188" cm="1">
        <f t="array" ref="U34">K34/_xll.BDP($A34&amp;" Index","HIGH_52WEEK")-1</f>
        <v>-8.770331627293404E-2</v>
      </c>
      <c r="V34" s="188" cm="1">
        <f t="array" ref="V34">K34/_xll.BDP($A34&amp;" Index","LOW_52WEEK")-1</f>
        <v>8.0173424805477511E-2</v>
      </c>
      <c r="W34" s="188"/>
      <c r="X34" s="192" cm="1">
        <f t="array" ref="X34">_xll.BDP($A34&amp;" Index","RSI_14D")</f>
        <v>45.449260000000002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1.7435801317939386</v>
      </c>
      <c r="AI34" s="196" cm="1">
        <f t="array" ref="AI34">(_xll.BDP(C34&amp;" Equity","SHORT_INT")/_xll.BDP(C34&amp;" Equity","VOLUME_AVG_90D"))</f>
        <v>1.1541953999476418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0.18842629152816293</v>
      </c>
      <c r="AN34" s="194">
        <f ca="1">IF(ISTEXT(B34),AP34/_xll.BDH(B34 &amp;  " Equity","BEST_EPS",$AN$3,$AN$3,"BEST_FPERIOD_OVERRIDE=1BF","CDR=US","Fill=p")-1,"")</f>
        <v>0.22696812429574398</v>
      </c>
      <c r="AO34" s="196">
        <f t="shared" ca="1" si="14"/>
        <v>0.74948617700236442</v>
      </c>
      <c r="AP34" s="196" cm="1">
        <f t="array" aca="1" ref="AP34" ca="1">IF(ISTEXT(B34),_xll.BDH(B34 &amp;  " Equity","BEST_EPS",$Q$3,$Q$3,"BEST_FPERIOD_OVERRIDE=1BF","CDR=US","Fill=p"),"")</f>
        <v>452.97699999999998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192.565</v>
      </c>
      <c r="H35" s="188" cm="1">
        <f t="array" ref="H35">G35/_xll.BDP(B35&amp;" Equity", "PREV_CLOSE_VAL")-1</f>
        <v>5.4563492063490759E-3</v>
      </c>
      <c r="I35" s="187" cm="1">
        <f t="array" ref="I35">_xll.BDP(C35&amp;" Equity","LAST PRICE")</f>
        <v>417.41</v>
      </c>
      <c r="J35" s="188" cm="1">
        <f t="array" ref="J35">I35/_xll.BDP(C35&amp;" Equity", "PREV_CLOSE_VAL")-1</f>
        <v>1.8721647504980066E-3</v>
      </c>
      <c r="K35" s="189">
        <f t="shared" si="9"/>
        <v>0.46133298196018302</v>
      </c>
      <c r="L35" s="188" cm="1">
        <f t="array" ref="L35">K35/(_xll.BDP(B35&amp;" Equity", "PREV_CLOSE_VAL")/_xll.BDP(C35&amp;" Equity", "PREV_CLOSE_VAL"))-1</f>
        <v>3.5774868111477787E-3</v>
      </c>
      <c r="M35" s="188"/>
      <c r="N35" s="190">
        <f t="shared" si="10"/>
        <v>0.26956007334974158</v>
      </c>
      <c r="O35" s="191">
        <f t="shared" si="17"/>
        <v>1.327157529930687E-2</v>
      </c>
      <c r="P35" s="192" cm="1">
        <f t="array" ref="P35">_xll.BDP($A35&amp;" Index","VOLATILITY_30D")</f>
        <v>21.061990000000002</v>
      </c>
      <c r="Q35" s="192" cm="1">
        <f t="array" aca="1" ref="Q35" ca="1">(_xll.BDP(($B35&amp; " Equity"),"CORR_COEF", "BETA_OVERRIDE_REL_INDEX",($C35&amp; " Equity"),"BETA_OVERRIDE_END_DT",$Q$5,"BETA_OVERRIDE_START_DT",$Q$4))*100</f>
        <v>57.379125779889947</v>
      </c>
      <c r="R35" s="188"/>
      <c r="S35" s="188" cm="1">
        <f t="array" ref="S35">_xll.BDP($A35&amp;" Index","CHG_PCT_2D")/100</f>
        <v>-6.9555670000000002E-3</v>
      </c>
      <c r="T35" s="188" cm="1">
        <f t="array" ref="T35">_xll.BDP($A35&amp;" Index","CHG_PCT_5D")/100</f>
        <v>1.7979139999999998E-3</v>
      </c>
      <c r="U35" s="188" cm="1">
        <f t="array" ref="U35">K35/_xll.BDP($A35&amp;" Index","HIGH_52WEEK")-1</f>
        <v>-0.26303458208568353</v>
      </c>
      <c r="V35" s="188" cm="1">
        <f t="array" ref="V35">K35/_xll.BDP($A35&amp;" Index","LOW_52WEEK")-1</f>
        <v>1.1473321552692317E-2</v>
      </c>
      <c r="W35" s="188"/>
      <c r="X35" s="192" cm="1">
        <f t="array" ref="X35">_xll.BDP($A35&amp;" Index","RSI_14D")</f>
        <v>33.284179999999999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1.4391149343337277</v>
      </c>
      <c r="AI35" s="196" cm="1">
        <f t="array" ref="AI35">(_xll.BDP(C35&amp;" Equity","SHORT_INT")/_xll.BDP(C35&amp;" Equity","VOLUME_AVG_90D"))</f>
        <v>1.1541953999476418</v>
      </c>
      <c r="AJ35" s="196" cm="1">
        <f t="array" ref="AJ35">(_xll.BDP(B35&amp;" Equity","SHORT_INT"))/((_xll.BDP(B35&amp;" Equity","EQY_FREE_FLOAT_PCT"))*(_xll.BDP(B35&amp;" Equity","EQY_SH_OUT_TOT_MULT_SH")))/100</f>
        <v>1.1202678799294328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3.9160274525635863E-2</v>
      </c>
      <c r="AN35" s="194">
        <f ca="1">IF(ISTEXT(B35),AP35/_xll.BDH(B35 &amp;  " Equity","BEST_EPS",$AN$3,$AN$3,"BEST_FPERIOD_OVERRIDE=1BF","CDR=US","Fill=p")-1,"")</f>
        <v>0.28017241379310343</v>
      </c>
      <c r="AO35" s="196">
        <f t="shared" ca="1" si="14"/>
        <v>24.937192437192437</v>
      </c>
      <c r="AP35" s="196" cm="1">
        <f t="array" aca="1" ref="AP35" ca="1">IF(ISTEXT(B35),_xll.BDH(B35 &amp;  " Equity","BEST_EPS",$Q$3,$Q$3,"BEST_FPERIOD_OVERRIDE=1BF","CDR=US","Fill=p"),"")</f>
        <v>7.7220000000000004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331.02</v>
      </c>
      <c r="H36" s="188" cm="1">
        <f t="array" ref="H36">G36/_xll.BDP(B36&amp;" Equity", "PREV_CLOSE_VAL")-1</f>
        <v>-6.6618653222902946E-3</v>
      </c>
      <c r="I36" s="187" cm="1">
        <f t="array" ref="I36">_xll.BDP(C36&amp;" Equity","LAST PRICE")</f>
        <v>417.41</v>
      </c>
      <c r="J36" s="188" cm="1">
        <f t="array" ref="J36">I36/_xll.BDP(C36&amp;" Equity", "PREV_CLOSE_VAL")-1</f>
        <v>1.8721647504980066E-3</v>
      </c>
      <c r="K36" s="189">
        <f t="shared" si="9"/>
        <v>0.79303322871996351</v>
      </c>
      <c r="L36" s="188" cm="1">
        <f t="array" ref="L36">K36/(_xll.BDP(B36&amp;" Equity", "PREV_CLOSE_VAL")/_xll.BDP(C36&amp;" Equity", "PREV_CLOSE_VAL"))-1</f>
        <v>-8.5180828183939461E-3</v>
      </c>
      <c r="M36" s="188"/>
      <c r="N36" s="190">
        <f t="shared" si="10"/>
        <v>0.51431298797447389</v>
      </c>
      <c r="O36" s="191">
        <f t="shared" si="17"/>
        <v>1.6562060491493384E-2</v>
      </c>
      <c r="P36" s="192" cm="1">
        <f t="array" ref="P36">_xll.BDP($A36&amp;" Index","VOLATILITY_30D")</f>
        <v>26.283989999999999</v>
      </c>
      <c r="Q36" s="192" cm="1">
        <f t="array" aca="1" ref="Q36" ca="1">(_xll.BDP(($B36&amp; " Equity"),"CORR_COEF", "BETA_OVERRIDE_REL_INDEX",($C36&amp; " Equity"),"BETA_OVERRIDE_END_DT",$Q$5,"BETA_OVERRIDE_START_DT",$Q$4))*100</f>
        <v>59.437056904229543</v>
      </c>
      <c r="R36" s="188"/>
      <c r="S36" s="188" cm="1">
        <f t="array" ref="S36">_xll.BDP($A36&amp;" Index","CHG_PCT_2D")/100</f>
        <v>-2.1187789999999998E-2</v>
      </c>
      <c r="T36" s="188" cm="1">
        <f t="array" ref="T36">_xll.BDP($A36&amp;" Index","CHG_PCT_5D")/100</f>
        <v>-1.0121430000000001E-2</v>
      </c>
      <c r="U36" s="188" cm="1">
        <f t="array" ref="U36">K36/_xll.BDP($A36&amp;" Index","HIGH_52WEEK")-1</f>
        <v>-0.35447030629225595</v>
      </c>
      <c r="V36" s="188" cm="1">
        <f t="array" ref="V36">K36/_xll.BDP($A36&amp;" Index","LOW_52WEEK")-1</f>
        <v>7.039109982302616E-3</v>
      </c>
      <c r="W36" s="188"/>
      <c r="X36" s="192" cm="1">
        <f t="array" ref="X36">_xll.BDP($A36&amp;" Index","RSI_14D")</f>
        <v>26.871259999999999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2.1307541095197493</v>
      </c>
      <c r="AI36" s="196" cm="1">
        <f t="array" ref="AI36">(_xll.BDP(C36&amp;" Equity","SHORT_INT")/_xll.BDP(C36&amp;" Equity","VOLUME_AVG_90D"))</f>
        <v>1.1541953999476418</v>
      </c>
      <c r="AJ36" s="196" cm="1">
        <f t="array" ref="AJ36">(_xll.BDP(B36&amp;" Equity","SHORT_INT"))/((_xll.BDP(B36&amp;" Equity","EQY_FREE_FLOAT_PCT"))*(_xll.BDP(B36&amp;" Equity","EQY_SH_OUT_TOT_MULT_SH")))/100</f>
        <v>1.2477590154715748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4.8479087452471425E-2</v>
      </c>
      <c r="AN36" s="194">
        <f ca="1">IF(ISTEXT(B36),AP36/_xll.BDH(B36 &amp;  " Equity","BEST_EPS",$AN$3,$AN$3,"BEST_FPERIOD_OVERRIDE=1BF","CDR=US","Fill=p")-1,"")</f>
        <v>0.18347639484978528</v>
      </c>
      <c r="AO36" s="196">
        <f t="shared" ca="1" si="14"/>
        <v>30.010879419764279</v>
      </c>
      <c r="AP36" s="196" cm="1">
        <f t="array" aca="1" ref="AP36" ca="1">IF(ISTEXT(B36),_xll.BDH(B36 &amp;  " Equity","BEST_EPS",$Q$3,$Q$3,"BEST_FPERIOD_OVERRIDE=1BF","CDR=US","Fill=p"),"")</f>
        <v>11.03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81.305000000000007</v>
      </c>
      <c r="H37" s="188" cm="1">
        <f t="array" ref="H37">G37/_xll.BDP(B37&amp;" Equity", "PREV_CLOSE_VAL")-1</f>
        <v>-2.7684764410428109E-2</v>
      </c>
      <c r="I37" s="187" cm="1">
        <f t="array" ref="I37">_xll.BDP(C37&amp;" Equity","LAST PRICE")</f>
        <v>417.41</v>
      </c>
      <c r="J37" s="188" cm="1">
        <f t="array" ref="J37">I37/_xll.BDP(C37&amp;" Equity", "PREV_CLOSE_VAL")-1</f>
        <v>1.8721647504980066E-3</v>
      </c>
      <c r="K37" s="189">
        <f t="shared" si="9"/>
        <v>0.19478450444407178</v>
      </c>
      <c r="L37" s="188" cm="1">
        <f t="array" ref="L37">K37/(_xll.BDP(B37&amp;" Equity", "PREV_CLOSE_VAL")/_xll.BDP(C37&amp;" Equity", "PREV_CLOSE_VAL"))-1</f>
        <v>-2.950169712349171E-2</v>
      </c>
      <c r="M37" s="188"/>
      <c r="N37" s="190">
        <f t="shared" si="10"/>
        <v>1.61081727282015</v>
      </c>
      <c r="O37" s="191">
        <f t="shared" si="17"/>
        <v>1.8314738500315061E-2</v>
      </c>
      <c r="P37" s="192" cm="1">
        <f t="array" ref="P37">_xll.BDP($A37&amp;" Index","VOLATILITY_30D")</f>
        <v>29.06549</v>
      </c>
      <c r="Q37" s="192" cm="1">
        <f t="array" aca="1" ref="Q37" ca="1">(_xll.BDP(($B37&amp; " Equity"),"CORR_COEF", "BETA_OVERRIDE_REL_INDEX",($C37&amp; " Equity"),"BETA_OVERRIDE_END_DT",$Q$5,"BETA_OVERRIDE_START_DT",$Q$4))*100</f>
        <v>67.977814523514454</v>
      </c>
      <c r="R37" s="188"/>
      <c r="S37" s="188" cm="1">
        <f t="array" ref="S37">_xll.BDP($A37&amp;" Index","CHG_PCT_2D")/100</f>
        <v>-1.435958E-2</v>
      </c>
      <c r="T37" s="188" cm="1">
        <f t="array" ref="T37">_xll.BDP($A37&amp;" Index","CHG_PCT_5D")/100</f>
        <v>-2.7075710000000003E-2</v>
      </c>
      <c r="U37" s="188" cm="1">
        <f t="array" ref="U37">K37/_xll.BDP($A37&amp;" Index","HIGH_52WEEK")-1</f>
        <v>-0.59430882376841321</v>
      </c>
      <c r="V37" s="188" cm="1">
        <f t="array" ref="V37">K37/_xll.BDP($A37&amp;" Index","LOW_52WEEK")-1</f>
        <v>-2.8651551169043166E-2</v>
      </c>
      <c r="W37" s="188"/>
      <c r="X37" s="192" cm="1">
        <f t="array" ref="X37">_xll.BDP($A37&amp;" Index","RSI_14D")</f>
        <v>30.77852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2.086371905669969</v>
      </c>
      <c r="AI37" s="196" cm="1">
        <f t="array" ref="AI37">(_xll.BDP(C37&amp;" Equity","SHORT_INT")/_xll.BDP(C37&amp;" Equity","VOLUME_AVG_90D"))</f>
        <v>1.1541953999476418</v>
      </c>
      <c r="AJ37" s="196" cm="1">
        <f t="array" ref="AJ37">(_xll.BDP(B37&amp;" Equity","SHORT_INT"))/((_xll.BDP(B37&amp;" Equity","EQY_FREE_FLOAT_PCT"))*(_xll.BDP(B37&amp;" Equity","EQY_SH_OUT_TOT_MULT_SH")))/100</f>
        <v>4.4445304442427469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1.9066590779738268E-2</v>
      </c>
      <c r="AN37" s="194">
        <f ca="1">IF(ISTEXT(B37),AP37/_xll.BDH(B37 &amp;  " Equity","BEST_EPS",$AN$3,$AN$3,"BEST_FPERIOD_OVERRIDE=1BF","CDR=US","Fill=p")-1,"")</f>
        <v>0.10627123880135914</v>
      </c>
      <c r="AO37" s="196">
        <f t="shared" ca="1" si="14"/>
        <v>22.704551801172858</v>
      </c>
      <c r="AP37" s="196" cm="1">
        <f t="array" aca="1" ref="AP37" ca="1">IF(ISTEXT(B37),_xll.BDH(B37 &amp;  " Equity","BEST_EPS",$Q$3,$Q$3,"BEST_FPERIOD_OVERRIDE=1BF","CDR=US","Fill=p"),"")</f>
        <v>3.581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543.35</v>
      </c>
      <c r="H38" s="188" cm="1">
        <f t="array" ref="H38">G38/_xll.BDP(B38&amp;" Equity", "PREV_CLOSE_VAL")-1</f>
        <v>4.2158160231697384E-2</v>
      </c>
      <c r="I38" s="187" cm="1">
        <f t="array" ref="I38">_xll.BDP(C38&amp;" Equity","LAST PRICE")</f>
        <v>198.595</v>
      </c>
      <c r="J38" s="188" cm="1">
        <f t="array" ref="J38">I38/_xll.BDP(C38&amp;" Equity", "PREV_CLOSE_VAL")-1</f>
        <v>1.689700393422866E-3</v>
      </c>
      <c r="K38" s="189">
        <f t="shared" si="9"/>
        <v>2.7359701905888869</v>
      </c>
      <c r="L38" s="188" cm="1">
        <f t="array" ref="L38">K38/(_xll.BDP(B38&amp;" Equity", "PREV_CLOSE_VAL")/_xll.BDP(C38&amp;" Equity", "PREV_CLOSE_VAL"))-1</f>
        <v>4.0400195611854706E-2</v>
      </c>
      <c r="M38" s="188"/>
      <c r="N38" s="190">
        <f t="shared" si="10"/>
        <v>3.6036062662124575</v>
      </c>
      <c r="O38" s="191">
        <f t="shared" si="17"/>
        <v>1.1211045998739762E-2</v>
      </c>
      <c r="P38" s="192" cm="1">
        <f t="array" ref="P38">_xll.BDP($A38&amp;" Index","VOLATILITY_30D")</f>
        <v>17.791930000000001</v>
      </c>
      <c r="Q38" s="192" cm="1">
        <f t="array" aca="1" ref="Q38" ca="1">(_xll.BDP(($B38&amp; " Equity"),"CORR_COEF", "BETA_OVERRIDE_REL_INDEX",($C38&amp; " Equity"),"BETA_OVERRIDE_END_DT",$Q$5,"BETA_OVERRIDE_START_DT",$Q$4))*100</f>
        <v>65.466523157854013</v>
      </c>
      <c r="R38" s="188"/>
      <c r="S38" s="188" cm="1">
        <f t="array" ref="S38">_xll.BDP($A38&amp;" Index","CHG_PCT_2D")/100</f>
        <v>5.2307949999999999E-3</v>
      </c>
      <c r="T38" s="188" cm="1">
        <f t="array" ref="T38">_xll.BDP($A38&amp;" Index","CHG_PCT_5D")/100</f>
        <v>-1.46532E-2</v>
      </c>
      <c r="U38" s="188" cm="1">
        <f t="array" ref="U38">K38/_xll.BDP($A38&amp;" Index","HIGH_52WEEK")-1</f>
        <v>-0.17570403638604748</v>
      </c>
      <c r="V38" s="188" cm="1">
        <f t="array" ref="V38">K38/_xll.BDP($A38&amp;" Index","LOW_52WEEK")-1</f>
        <v>4.5840175298211827E-2</v>
      </c>
      <c r="W38" s="188"/>
      <c r="X38" s="192" cm="1">
        <f t="array" ref="X38">_xll.BDP($A38&amp;" Index","RSI_14D")</f>
        <v>26.083690000000001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2.3442353133720952</v>
      </c>
      <c r="AI38" s="196" cm="1">
        <f t="array" ref="AI38">(_xll.BDP(C38&amp;" Equity","SHORT_INT")/_xll.BDP(C38&amp;" Equity","VOLUME_AVG_90D"))</f>
        <v>2.2697084489196175</v>
      </c>
      <c r="AJ38" s="196" cm="1">
        <f t="array" ref="AJ38">(_xll.BDP(B38&amp;" Equity","SHORT_INT"))/((_xll.BDP(B38&amp;" Equity","EQY_FREE_FLOAT_PCT"))*(_xll.BDP(B38&amp;" Equity","EQY_SH_OUT_TOT_MULT_SH")))/100</f>
        <v>0.87130229232761147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1.3497959610756505E-2</v>
      </c>
      <c r="AN38" s="194">
        <f ca="1">IF(ISTEXT(B38),AP38/_xll.BDH(B38 &amp;  " Equity","BEST_EPS",$AN$3,$AN$3,"BEST_FPERIOD_OVERRIDE=1BF","CDR=US","Fill=p")-1,"")</f>
        <v>4.5552677029361055E-2</v>
      </c>
      <c r="AO38" s="196">
        <f t="shared" ca="1" si="14"/>
        <v>28.0482139169936</v>
      </c>
      <c r="AP38" s="196" cm="1">
        <f t="array" aca="1" ref="AP38" ca="1">IF(ISTEXT(B38),_xll.BDH(B38 &amp;  " Equity","BEST_EPS",$Q$3,$Q$3,"BEST_FPERIOD_OVERRIDE=1BF","CDR=US","Fill=p"),"")</f>
        <v>19.372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332.2</v>
      </c>
      <c r="H39" s="188" cm="1">
        <f t="array" ref="H39">G39/_xll.BDP(B39&amp;" Equity", "PREV_CLOSE_VAL")-1</f>
        <v>1.5964279160804784E-2</v>
      </c>
      <c r="I39" s="187" cm="1">
        <f t="array" ref="I39">_xll.BDP(C39&amp;" Equity","LAST PRICE")</f>
        <v>198.595</v>
      </c>
      <c r="J39" s="188" cm="1">
        <f t="array" ref="J39">I39/_xll.BDP(C39&amp;" Equity", "PREV_CLOSE_VAL")-1</f>
        <v>1.689700393422866E-3</v>
      </c>
      <c r="K39" s="189">
        <f t="shared" si="9"/>
        <v>1.6727510763110853</v>
      </c>
      <c r="L39" s="188" cm="1">
        <f t="array" ref="L39">K39/(_xll.BDP(B39&amp;" Equity", "PREV_CLOSE_VAL")/_xll.BDP(C39&amp;" Equity", "PREV_CLOSE_VAL"))-1</f>
        <v>1.4250499692445295E-2</v>
      </c>
      <c r="M39" s="188"/>
      <c r="N39" s="190">
        <f t="shared" si="10"/>
        <v>1.1615029693964636</v>
      </c>
      <c r="O39" s="191">
        <f>P39/15.87/100</f>
        <v>1.2269017013232514E-2</v>
      </c>
      <c r="P39" s="192" cm="1">
        <f t="array" ref="P39">_xll.BDP($A39&amp;" Index","VOLATILITY_30D")</f>
        <v>19.470929999999999</v>
      </c>
      <c r="Q39" s="192" cm="1">
        <f t="array" aca="1" ref="Q39" ca="1">(_xll.BDP(($B39&amp; " Equity"),"CORR_COEF", "BETA_OVERRIDE_REL_INDEX",($C39&amp; " Equity"),"BETA_OVERRIDE_END_DT",$Q$5,"BETA_OVERRIDE_START_DT",$Q$4))*100</f>
        <v>47.496716357521166</v>
      </c>
      <c r="R39" s="188"/>
      <c r="S39" s="188" cm="1">
        <f t="array" ref="S39">_xll.BDP($A39&amp;" Index","CHG_PCT_2D")/100</f>
        <v>8.6859840000000008E-3</v>
      </c>
      <c r="T39" s="188" cm="1">
        <f t="array" ref="T39">_xll.BDP($A39&amp;" Index","CHG_PCT_5D")/100</f>
        <v>8.9753999999999997E-3</v>
      </c>
      <c r="U39" s="188" cm="1">
        <f t="array" ref="U39">K39/_xll.BDP($A39&amp;" Index","HIGH_52WEEK")-1</f>
        <v>-0.19747881791088651</v>
      </c>
      <c r="V39" s="188" cm="1">
        <f t="array" ref="V39">K39/_xll.BDP($A39&amp;" Index","LOW_52WEEK")-1</f>
        <v>2.541612853084696E-2</v>
      </c>
      <c r="W39" s="188"/>
      <c r="X39" s="192" cm="1">
        <f t="array" ref="X39">_xll.BDP($A39&amp;" Index","RSI_14D")</f>
        <v>34.700339999999997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3.3070618436343335</v>
      </c>
      <c r="AI39" s="196" cm="1">
        <f t="array" ref="AI39">(_xll.BDP(C39&amp;" Equity","SHORT_INT")/_xll.BDP(C39&amp;" Equity","VOLUME_AVG_90D"))</f>
        <v>2.2697084489196175</v>
      </c>
      <c r="AJ39" s="196" cm="1">
        <f t="array" ref="AJ39">(_xll.BDP(B39&amp;" Equity","SHORT_INT"))/((_xll.BDP(B39&amp;" Equity","EQY_FREE_FLOAT_PCT"))*(_xll.BDP(B39&amp;" Equity","EQY_SH_OUT_TOT_MULT_SH")))/100</f>
        <v>1.2199629697343541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1.1589153158612309E-2</v>
      </c>
      <c r="AN39" s="194">
        <f ca="1">IF(ISTEXT(B39),AP39/_xll.BDH(B39 &amp;  " Equity","BEST_EPS",$AN$3,$AN$3,"BEST_FPERIOD_OVERRIDE=1BF","CDR=US","Fill=p")-1,"")</f>
        <v>3.1672460409424508E-2</v>
      </c>
      <c r="AO39" s="196">
        <f t="shared" ca="1" si="14"/>
        <v>24.874578809434666</v>
      </c>
      <c r="AP39" s="196" cm="1">
        <f t="array" aca="1" ref="AP39" ca="1">IF(ISTEXT(B39),_xll.BDH(B39 &amp;  " Equity","BEST_EPS",$Q$3,$Q$3,"BEST_FPERIOD_OVERRIDE=1BF","CDR=US","Fill=p"),"")</f>
        <v>13.355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543.35</v>
      </c>
      <c r="H40" s="188" cm="1">
        <f t="array" ref="H40">G40/_xll.BDP(B40&amp;" Equity", "PREV_CLOSE_VAL")-1</f>
        <v>4.2158160231697384E-2</v>
      </c>
      <c r="I40" s="187" cm="1">
        <f t="array" ref="I40">_xll.BDP(C40&amp;" Equity","LAST PRICE")</f>
        <v>332.2</v>
      </c>
      <c r="J40" s="188" cm="1">
        <f t="array" ref="J40">I40/_xll.BDP(C40&amp;" Equity", "PREV_CLOSE_VAL")-1</f>
        <v>1.5964279160804784E-2</v>
      </c>
      <c r="K40" s="189">
        <f t="shared" si="9"/>
        <v>1.635611077664058</v>
      </c>
      <c r="L40" s="188" cm="1">
        <f t="array" ref="L40">K40/(_xll.BDP(B40&amp;" Equity", "PREV_CLOSE_VAL")/_xll.BDP(C40&amp;" Equity", "PREV_CLOSE_VAL"))-1</f>
        <v>2.5782285468273436E-2</v>
      </c>
      <c r="M40" s="188"/>
      <c r="N40" s="190">
        <f t="shared" si="10"/>
        <v>4.5339681254343711</v>
      </c>
      <c r="O40" s="191">
        <f>P40/15.87/100</f>
        <v>5.6864725897920595E-3</v>
      </c>
      <c r="P40" s="192" cm="1">
        <f t="array" ref="P40">_xll.BDP($A40&amp;" Index","VOLATILITY_30D")</f>
        <v>9.0244319999999991</v>
      </c>
      <c r="Q40" s="192" cm="1">
        <f t="array" aca="1" ref="Q40" ca="1">(_xll.BDP(($B40&amp; " Equity"),"CORR_COEF", "BETA_OVERRIDE_REL_INDEX",($C40&amp; " Equity"),"BETA_OVERRIDE_END_DT",$Q$5,"BETA_OVERRIDE_START_DT",$Q$4))*100</f>
        <v>90.958614922319796</v>
      </c>
      <c r="R40" s="188"/>
      <c r="S40" s="188" cm="1">
        <f t="array" ref="S40">_xll.BDP($A40&amp;" Index","CHG_PCT_2D")/100</f>
        <v>-3.4262890000000003E-3</v>
      </c>
      <c r="T40" s="188" cm="1">
        <f t="array" ref="T40">_xll.BDP($A40&amp;" Index","CHG_PCT_5D")/100</f>
        <v>-2.3418960000000003E-2</v>
      </c>
      <c r="U40" s="188" cm="1">
        <f t="array" ref="U40">K40/_xll.BDP($A40&amp;" Index","HIGH_52WEEK")-1</f>
        <v>-5.6169492677770272E-2</v>
      </c>
      <c r="V40" s="188" cm="1">
        <f t="array" ref="V40">K40/_xll.BDP($A40&amp;" Index","LOW_52WEEK")-1</f>
        <v>6.9788985397478021E-2</v>
      </c>
      <c r="W40" s="188"/>
      <c r="X40" s="192" cm="1">
        <f t="array" ref="X40">_xll.BDP($A40&amp;" Index","RSI_14D")</f>
        <v>33.831740000000003</v>
      </c>
      <c r="Y40" s="193">
        <v>1.67</v>
      </c>
      <c r="Z40" s="188">
        <f t="shared" si="11"/>
        <v>2.1025121928774926E-2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46051</v>
      </c>
      <c r="AH40" s="196" cm="1">
        <f t="array" ref="AH40">(_xll.BDP(B40&amp;" Equity","SHORT_INT")/_xll.BDP(B40&amp;" Equity","VOLUME_AVG_90D"))</f>
        <v>2.3442353133720952</v>
      </c>
      <c r="AI40" s="196" cm="1">
        <f t="array" ref="AI40">(_xll.BDP(C40&amp;" Equity","SHORT_INT")/_xll.BDP(C40&amp;" Equity","VOLUME_AVG_90D"))</f>
        <v>3.3070618436343335</v>
      </c>
      <c r="AJ40" s="196" cm="1">
        <f t="array" ref="AJ40">(_xll.BDP(B40&amp;" Equity","SHORT_INT"))/((_xll.BDP(B40&amp;" Equity","EQY_FREE_FLOAT_PCT"))*(_xll.BDP(B40&amp;" Equity","EQY_SH_OUT_TOT_MULT_SH")))/100</f>
        <v>0.87130229232761147</v>
      </c>
      <c r="AK40" s="196" cm="1">
        <f t="array" ref="AK40">(_xll.BDP(C40&amp;" Equity","SHORT_INT"))/((_xll.BDP(C40&amp;" Equity","EQY_FREE_FLOAT_PCT"))*(_xll.BDP(C40&amp;" Equity","EQY_SH_OUT_TOT_MULT_SH")))/100</f>
        <v>1.2199629697343541</v>
      </c>
      <c r="AM40" s="194">
        <f ca="1">IF(ISTEXT(B40),AP40/_xll.BDH(B40 &amp;  " Equity","BEST_EPS",$AM$3,$AM$3,"BEST_FPERIOD_OVERRIDE=1BF","CDR=US","Fill=p")-1,"")</f>
        <v>1.3497959610756505E-2</v>
      </c>
      <c r="AN40" s="194">
        <f ca="1">IF(ISTEXT(B40),AP40/_xll.BDH(B40 &amp;  " Equity","BEST_EPS",$AN$3,$AN$3,"BEST_FPERIOD_OVERRIDE=1BF","CDR=US","Fill=p")-1,"")</f>
        <v>4.5552677029361055E-2</v>
      </c>
      <c r="AO40" s="196">
        <f t="shared" ca="1" si="14"/>
        <v>28.0482139169936</v>
      </c>
      <c r="AP40" s="196" cm="1">
        <f t="array" aca="1" ref="AP40" ca="1">IF(ISTEXT(B40),_xll.BDH(B40 &amp;  " Equity","BEST_EPS",$Q$3,$Q$3,"BEST_FPERIOD_OVERRIDE=1BF","CDR=US","Fill=p"),"")</f>
        <v>19.372</v>
      </c>
      <c r="AR40" s="194">
        <f ca="1">IF(ISTEXT(C40),AU40/_xll.BDH(C40 &amp;  " Equity","BEST_EPS",$AM$3,$AM$3,"BEST_FPERIOD_OVERRIDE=1BF","CDR=US","Fill=p")-1,"")</f>
        <v>1.1589153158612309E-2</v>
      </c>
      <c r="AS40" s="194">
        <f ca="1">IF(ISTEXT(C40),AU40/_xll.BDH(C40 &amp;  " Equity","BEST_EPS",$AN$3,$AN$3,"BEST_FPERIOD_OVERRIDE=1BF","CDR=US","Fill=p")-1,"")</f>
        <v>3.1672460409424508E-2</v>
      </c>
      <c r="AT40" s="196">
        <f t="shared" ca="1" si="15"/>
        <v>24.874578809434666</v>
      </c>
      <c r="AU40" s="196" cm="1">
        <f t="array" aca="1" ref="AU40" ca="1">IF(ISTEXT(C40),_xll.BDH(C40 &amp;  " Equity","BEST_EPS",$Q$3,$Q$3,"BEST_FPERIOD_OVERRIDE=1BF","CDR=US","Fill=p"),"")</f>
        <v>13.355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223.06</v>
      </c>
      <c r="H41" s="188" cm="1">
        <f t="array" ref="H41">G41/_xll.BDP(B41&amp;" Equity", "PREV_CLOSE_VAL")-1</f>
        <v>-7.0334757834756845E-3</v>
      </c>
      <c r="I41" s="187" cm="1">
        <f t="array" ref="I41">_xll.BDP(C41&amp;" Equity","LAST PRICE")</f>
        <v>629.82000000000005</v>
      </c>
      <c r="J41" s="188" cm="1">
        <f t="array" ref="J41">I41/_xll.BDP(C41&amp;" Equity", "PREV_CLOSE_VAL")-1</f>
        <v>-5.3693818893907341E-3</v>
      </c>
      <c r="K41" s="189">
        <f t="shared" si="9"/>
        <v>0.35416468197262707</v>
      </c>
      <c r="L41" s="188" cm="1">
        <f t="array" ref="L41">K41/(_xll.BDP(B41&amp;" Equity", "PREV_CLOSE_VAL")/_xll.BDP(C41&amp;" Equity", "PREV_CLOSE_VAL"))-1</f>
        <v>-1.6730772849584685E-3</v>
      </c>
      <c r="M41" s="188"/>
      <c r="N41" s="190">
        <f t="shared" si="10"/>
        <v>0.14087730051270092</v>
      </c>
      <c r="O41" s="191">
        <f t="shared" si="17"/>
        <v>1.1876131064902332E-2</v>
      </c>
      <c r="P41" s="192" cm="1">
        <f t="array" ref="P41">_xll.BDP($A41&amp;" Index","VOLATILITY_30D")</f>
        <v>18.84742</v>
      </c>
      <c r="Q41" s="192" cm="1">
        <f t="array" aca="1" ref="Q41" ca="1">(_xll.BDP(($B41&amp; " Equity"),"CORR_COEF", "BETA_OVERRIDE_REL_INDEX",($C41&amp; " Equity"),"BETA_OVERRIDE_END_DT",$Q$5,"BETA_OVERRIDE_START_DT",$Q$4))*100</f>
        <v>55.505559999999996</v>
      </c>
      <c r="R41" s="188"/>
      <c r="S41" s="188" cm="1">
        <f t="array" ref="S41">_xll.BDP($A41&amp;" Index","CHG_PCT_2D")/100</f>
        <v>1.2204600000000001E-2</v>
      </c>
      <c r="T41" s="188" cm="1">
        <f t="array" ref="T41">_xll.BDP($A41&amp;" Index","CHG_PCT_5D")/100</f>
        <v>7.5990279999999999E-3</v>
      </c>
      <c r="U41" s="188" cm="1">
        <f t="array" ref="U41">K41/_xll.BDP($A41&amp;" Index","HIGH_52WEEK")-1</f>
        <v>-5.3491148718191606E-2</v>
      </c>
      <c r="V41" s="188" cm="1">
        <f t="array" ref="V41">K41/_xll.BDP($A41&amp;" Index","LOW_52WEEK")-1</f>
        <v>0.3116724638814381</v>
      </c>
      <c r="W41" s="188"/>
      <c r="X41" s="192" cm="1">
        <f t="array" ref="X41">_xll.BDP($A41&amp;" Index","RSI_14D")</f>
        <v>61.597679999999997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0.81094438942273606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-1.4405520999676291E-3</v>
      </c>
      <c r="AN41" s="194">
        <f ca="1">IF(ISTEXT(B41),AP41/_xll.BDH(B41 &amp;  " Equity","BEST_EPS",$AN$3,$AN$3,"BEST_FPERIOD_OVERRIDE=1BF","CDR=US","Fill=p")-1,"")</f>
        <v>4.7980685840189441E-2</v>
      </c>
      <c r="AO41" s="196">
        <f t="shared" ca="1" si="14"/>
        <v>24.945202415566985</v>
      </c>
      <c r="AP41" s="196" cm="1">
        <f t="array" aca="1" ref="AP41" ca="1">IF(ISTEXT(B41),_xll.BDH(B41 &amp;  " Equity","BEST_EPS",$Q$3,$Q$3,"BEST_FPERIOD_OVERRIDE=1BF","CDR=US","Fill=p"),"")</f>
        <v>8.9420000000000002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223.06</v>
      </c>
      <c r="H42" s="188" cm="1">
        <f t="array" ref="H42">G42/_xll.BDP(B42&amp;" Equity", "PREV_CLOSE_VAL")-1</f>
        <v>-7.0334757834756845E-3</v>
      </c>
      <c r="I42" s="187" cm="1">
        <f t="array" ref="I42">_xll.BDP(C42&amp;" Equity","LAST PRICE")</f>
        <v>43.335000000000001</v>
      </c>
      <c r="J42" s="188" cm="1">
        <f t="array" ref="J42">I42/_xll.BDP(C42&amp;" Equity", "PREV_CLOSE_VAL")-1</f>
        <v>1.1539349180722525E-4</v>
      </c>
      <c r="K42" s="189">
        <f t="shared" ref="K42:K55" si="18">G42/I42</f>
        <v>5.1473404869043495</v>
      </c>
      <c r="L42" s="188" cm="1">
        <f t="array" ref="L42">K42/(_xll.BDP(B42&amp;" Equity", "PREV_CLOSE_VAL")/_xll.BDP(C42&amp;" Equity", "PREV_CLOSE_VAL"))-1</f>
        <v>-7.1480444374756313E-3</v>
      </c>
      <c r="M42" s="188"/>
      <c r="N42" s="190">
        <f t="shared" ref="N42:N55" si="19">ABS(L42/O42)</f>
        <v>0.65882813078554048</v>
      </c>
      <c r="O42" s="191">
        <f t="shared" si="17"/>
        <v>1.0849634530560807E-2</v>
      </c>
      <c r="P42" s="192" cm="1">
        <f t="array" ref="P42">_xll.BDP($A42&amp;" Index","VOLATILITY_30D")</f>
        <v>17.21837</v>
      </c>
      <c r="Q42" s="192" cm="1">
        <f t="array" aca="1" ref="Q42" ca="1">(_xll.BDP(($B42&amp; " Equity"),"CORR_COEF", "BETA_OVERRIDE_REL_INDEX",($C42&amp; " Equity"),"BETA_OVERRIDE_END_DT",$Q$5,"BETA_OVERRIDE_START_DT",$Q$4))*100</f>
        <v>62.516559999999998</v>
      </c>
      <c r="R42" s="188"/>
      <c r="S42" s="188" cm="1">
        <f t="array" ref="S42">_xll.BDP($A42&amp;" Index","CHG_PCT_2D")/100</f>
        <v>1.7895439999999999E-2</v>
      </c>
      <c r="T42" s="188" cm="1">
        <f t="array" ref="T42">_xll.BDP($A42&amp;" Index","CHG_PCT_5D")/100</f>
        <v>1.3111790000000002E-2</v>
      </c>
      <c r="U42" s="188" cm="1">
        <f t="array" ref="U42">K42/_xll.BDP($A42&amp;" Index","HIGH_52WEEK")-1</f>
        <v>-7.1482742642640096E-3</v>
      </c>
      <c r="V42" s="188" cm="1">
        <f t="array" ref="V42">K42/_xll.BDP($A42&amp;" Index","LOW_52WEEK")-1</f>
        <v>0.57277314298680304</v>
      </c>
      <c r="W42" s="188"/>
      <c r="X42" s="192" cm="1">
        <f t="array" ref="X42">_xll.BDP($A42&amp;" Index","RSI_14D")</f>
        <v>67.050610000000006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1.09151101988466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-1.4405520999676291E-3</v>
      </c>
      <c r="AN42" s="194">
        <f ca="1">IF(ISTEXT(B42),AP42/_xll.BDH(B42 &amp;  " Equity","BEST_EPS",$AN$3,$AN$3,"BEST_FPERIOD_OVERRIDE=1BF","CDR=US","Fill=p")-1,"")</f>
        <v>4.7980685840189441E-2</v>
      </c>
      <c r="AO42" s="196">
        <f t="shared" ref="AO42:AO55" ca="1" si="23">G42/AP42</f>
        <v>24.945202415566985</v>
      </c>
      <c r="AP42" s="196" cm="1">
        <f t="array" aca="1" ref="AP42" ca="1">IF(ISTEXT(B42),_xll.BDH(B42 &amp;  " Equity","BEST_EPS",$Q$3,$Q$3,"BEST_FPERIOD_OVERRIDE=1BF","CDR=US","Fill=p"),"")</f>
        <v>8.9420000000000002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694.65</v>
      </c>
      <c r="H44" s="188" cm="1">
        <f t="array" ref="H44">G44/_xll.BDP(B44&amp;" Equity", "PREV_CLOSE_VAL")-1</f>
        <v>-1.1072445428661482E-3</v>
      </c>
      <c r="I44" s="187" cm="1">
        <f t="array" ref="I44">_xll.BDP(C44&amp;" Equity","LAST PRICE")</f>
        <v>198.595</v>
      </c>
      <c r="J44" s="188" cm="1">
        <f t="array" ref="J44">I44/_xll.BDP(C44&amp;" Equity", "PREV_CLOSE_VAL")-1</f>
        <v>1.689700393422866E-3</v>
      </c>
      <c r="K44" s="189">
        <f t="shared" si="18"/>
        <v>3.4978222009617563</v>
      </c>
      <c r="L44" s="188" cm="1">
        <f t="array" ref="L44">K44/(_xll.BDP(B44&amp;" Equity", "PREV_CLOSE_VAL")/_xll.BDP(C44&amp;" Equity", "PREV_CLOSE_VAL"))-1</f>
        <v>-2.7922269093817453E-3</v>
      </c>
      <c r="M44" s="188"/>
      <c r="N44" s="190">
        <f t="shared" si="19"/>
        <v>0.57579401565801691</v>
      </c>
      <c r="O44" s="191">
        <f t="shared" si="17"/>
        <v>4.8493503465658477E-3</v>
      </c>
      <c r="P44" s="192" cm="1">
        <f t="array" ref="P44">_xll.BDP($A44&amp;" Index","VOLATILITY_30D")</f>
        <v>7.695919</v>
      </c>
      <c r="Q44" s="192" cm="1">
        <f t="array" aca="1" ref="Q44" ca="1">(_xll.BDP(($B44&amp; " Equity"),"CORR_COEF", "BETA_OVERRIDE_REL_INDEX",($C44&amp; " Equity"),"BETA_OVERRIDE_END_DT",$Q$5,"BETA_OVERRIDE_START_DT",$Q$4))*100</f>
        <v>75.334773420394939</v>
      </c>
      <c r="R44" s="188"/>
      <c r="S44" s="188" cm="1">
        <f t="array" ref="S44">_xll.BDP($A44&amp;" Index","CHG_PCT_2D")/100</f>
        <v>3.2796039999999998E-3</v>
      </c>
      <c r="T44" s="188" cm="1">
        <f t="array" ref="T44">_xll.BDP($A44&amp;" Index","CHG_PCT_5D")/100</f>
        <v>1.6475759999999999E-2</v>
      </c>
      <c r="U44" s="188" cm="1">
        <f t="array" ref="U44">K44/_xll.BDP($A44&amp;" Index","HIGH_52WEEK")-1</f>
        <v>-4.1671543222383867E-2</v>
      </c>
      <c r="V44" s="188" cm="1">
        <f t="array" ref="V44">K44/_xll.BDP($A44&amp;" Index","LOW_52WEEK")-1</f>
        <v>8.8084649997746789E-2</v>
      </c>
      <c r="W44" s="188"/>
      <c r="X44" s="192" cm="1">
        <f t="array" ref="X44">_xll.BDP($A44&amp;" Index","RSI_14D")</f>
        <v>50.803429999999999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1.3538270211973968</v>
      </c>
      <c r="AI44" s="196" cm="1">
        <f t="array" ref="AI44">(_xll.BDP(C44&amp;" Equity","SHORT_INT")/_xll.BDP(C44&amp;" Equity","VOLUME_AVG_90D"))</f>
        <v>2.2697084489196175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629.82000000000005</v>
      </c>
      <c r="H45" s="188" cm="1">
        <f t="array" ref="H45">G45/_xll.BDP(B45&amp;" Equity", "PREV_CLOSE_VAL")-1</f>
        <v>-5.3693818893907341E-3</v>
      </c>
      <c r="I45" s="187" cm="1">
        <f t="array" ref="I45">_xll.BDP(C45&amp;" Equity","LAST PRICE")</f>
        <v>105.46</v>
      </c>
      <c r="J45" s="188" cm="1">
        <f t="array" ref="J45">I45/_xll.BDP(C45&amp;" Equity", "PREV_CLOSE_VAL")-1</f>
        <v>-7.0614819696827036E-3</v>
      </c>
      <c r="K45" s="189">
        <f t="shared" si="18"/>
        <v>5.9721221316138831</v>
      </c>
      <c r="L45" s="188" cm="1">
        <f t="array" ref="L45">K45/(_xll.BDP(B45&amp;" Equity", "PREV_CLOSE_VAL")/_xll.BDP(C45&amp;" Equity", "PREV_CLOSE_VAL"))-1</f>
        <v>1.704133790326301E-3</v>
      </c>
      <c r="M45" s="188"/>
      <c r="N45" s="190">
        <f t="shared" si="19"/>
        <v>0.40007040354934581</v>
      </c>
      <c r="O45" s="191">
        <f t="shared" si="17"/>
        <v>4.2595847511027098E-3</v>
      </c>
      <c r="P45" s="192" cm="1">
        <f t="array" ref="P45">_xll.BDP($A45&amp;" Index","VOLATILITY_30D")</f>
        <v>6.7599609999999997</v>
      </c>
      <c r="Q45" s="192" cm="1">
        <f t="array" aca="1" ref="Q45" ca="1">(_xll.BDP(($B45&amp; " Equity"),"CORR_COEF", "BETA_OVERRIDE_REL_INDEX",($C45&amp; " Equity"),"BETA_OVERRIDE_END_DT",$Q$5,"BETA_OVERRIDE_START_DT",$Q$4))*100</f>
        <v>90.003491170510074</v>
      </c>
      <c r="R45" s="188"/>
      <c r="S45" s="188" cm="1">
        <f t="array" ref="S45">_xll.BDP($A45&amp;" Index","CHG_PCT_2D")/100</f>
        <v>7.6056299999999991E-4</v>
      </c>
      <c r="T45" s="188" cm="1">
        <f t="array" ref="T45">_xll.BDP($A45&amp;" Index","CHG_PCT_5D")/100</f>
        <v>9.795181E-3</v>
      </c>
      <c r="U45" s="188" cm="1">
        <f t="array" ref="U45">K45/_xll.BDP($A45&amp;" Index","HIGH_52WEEK")-1</f>
        <v>-2.307278684972236E-2</v>
      </c>
      <c r="V45" s="188" cm="1">
        <f t="array" ref="V45">K45/_xll.BDP($A45&amp;" Index","LOW_52WEEK")-1</f>
        <v>0.11566724421887753</v>
      </c>
      <c r="W45" s="188"/>
      <c r="X45" s="192" cm="1">
        <f t="array" ref="X45">_xll.BDP($A45&amp;" Index","RSI_14D")</f>
        <v>50.904389999999999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0.81094438942273606</v>
      </c>
      <c r="AI45" s="196" cm="1">
        <f t="array" ref="AI45">(_xll.BDP(C45&amp;" Equity","SHORT_INT")/_xll.BDP(C45&amp;" Equity","VOLUME_AVG_90D"))</f>
        <v>4.2893567631000504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629.82000000000005</v>
      </c>
      <c r="H46" s="188" cm="1">
        <f t="array" ref="H46">G46/_xll.BDP(B46&amp;" Equity", "PREV_CLOSE_VAL")-1</f>
        <v>-5.3693818893907341E-3</v>
      </c>
      <c r="I46" s="187" cm="1">
        <f t="array" ref="I46">_xll.BDP(C46&amp;" Equity","LAST PRICE")</f>
        <v>92.355000000000004</v>
      </c>
      <c r="J46" s="188" cm="1">
        <f t="array" ref="J46">I46/_xll.BDP(C46&amp;" Equity", "PREV_CLOSE_VAL")-1</f>
        <v>-4.8475169997939438E-2</v>
      </c>
      <c r="K46" s="189">
        <f>G46/I46</f>
        <v>6.8195549780737377</v>
      </c>
      <c r="L46" s="188" cm="1">
        <f t="array" ref="L46">K46/(_xll.BDP(B46&amp;" Equity", "PREV_CLOSE_VAL")/_xll.BDP(C46&amp;" Equity", "PREV_CLOSE_VAL"))-1</f>
        <v>4.5301800593533059E-2</v>
      </c>
      <c r="M46" s="188"/>
      <c r="N46" s="190">
        <f>ABS(L46/O46)</f>
        <v>4.4523853564243261</v>
      </c>
      <c r="O46" s="191">
        <f>P46/15.87/100</f>
        <v>1.0174725897920607E-2</v>
      </c>
      <c r="P46" s="192" cm="1">
        <f t="array" ref="P46">_xll.BDP($A46&amp;" Index","VOLATILITY_30D")</f>
        <v>16.147290000000002</v>
      </c>
      <c r="Q46" s="192" cm="1">
        <f t="array" aca="1" ref="Q46" ca="1">(_xll.BDP(($B46&amp; " Equity"),"CORR_COEF", "BETA_OVERRIDE_REL_INDEX",($C46&amp; " Equity"),"BETA_OVERRIDE_END_DT",$Q$5,"BETA_OVERRIDE_START_DT",$Q$4))*100</f>
        <v>79.516245778410351</v>
      </c>
      <c r="R46" s="188"/>
      <c r="S46" s="188" cm="1">
        <f t="array" ref="S46">_xll.BDP($A46&amp;" Index","CHG_PCT_2D")/100</f>
        <v>1.0548159999999999E-2</v>
      </c>
      <c r="T46" s="188" cm="1">
        <f t="array" ref="T46">_xll.BDP($A46&amp;" Index","CHG_PCT_5D")/100</f>
        <v>1.8811599999999998E-2</v>
      </c>
      <c r="U46" s="188" cm="1">
        <f t="array" ref="U46">K46/_xll.BDP($A46&amp;" Index","HIGH_52WEEK")-1</f>
        <v>4.530112278701881E-2</v>
      </c>
      <c r="V46" s="188" cm="1">
        <f t="array" ref="V46">K46/_xll.BDP($A46&amp;" Index","LOW_52WEEK")-1</f>
        <v>0.40234650872590705</v>
      </c>
      <c r="W46" s="188"/>
      <c r="X46" s="192" cm="1">
        <f t="array" ref="X46">_xll.BDP($A46&amp;" Index","RSI_14D")</f>
        <v>76.897220000000004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0.81094438942273606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694.65</v>
      </c>
      <c r="H47" s="188" cm="1">
        <f t="array" ref="H47">G47/_xll.BDP(B47&amp;" Equity", "PREV_CLOSE_VAL")-1</f>
        <v>-1.1072445428661482E-3</v>
      </c>
      <c r="I47" s="187" cm="1">
        <f t="array" ref="I47">_xll.BDP(C47&amp;" Equity","LAST PRICE")</f>
        <v>629.82000000000005</v>
      </c>
      <c r="J47" s="188" cm="1">
        <f t="array" ref="J47">I47/_xll.BDP(C47&amp;" Equity", "PREV_CLOSE_VAL")-1</f>
        <v>-5.3693818893907341E-3</v>
      </c>
      <c r="K47" s="189">
        <f t="shared" si="18"/>
        <v>1.1029341716680956</v>
      </c>
      <c r="L47" s="188" cm="1">
        <f t="array" ref="L47">K47/(_xll.BDP(B47&amp;" Equity", "PREV_CLOSE_VAL")/_xll.BDP(C47&amp;" Equity", "PREV_CLOSE_VAL"))-1</f>
        <v>4.285145931482548E-3</v>
      </c>
      <c r="M47" s="188"/>
      <c r="N47" s="190">
        <f t="shared" si="19"/>
        <v>0.14079919703596755</v>
      </c>
      <c r="O47" s="191">
        <f t="shared" si="17"/>
        <v>3.0434448645242598E-2</v>
      </c>
      <c r="P47" s="192" cm="1">
        <f t="array" ref="P47">_xll.BDP($A47&amp;" Index","VOLATILITY_30D")</f>
        <v>48.299469999999999</v>
      </c>
      <c r="Q47" s="192" cm="1">
        <f t="array" aca="1" ref="Q47" ca="1">(_xll.BDP(($B47&amp; " Equity"),"CORR_COEF", "BETA_OVERRIDE_REL_INDEX",($C47&amp; " Equity"),"BETA_OVERRIDE_END_DT",$Q$5,"BETA_OVERRIDE_START_DT",$Q$4))*100</f>
        <v>93.814520868009126</v>
      </c>
      <c r="R47" s="188"/>
      <c r="S47" s="188" cm="1">
        <f t="array" ref="S47">_xll.BDP($A47&amp;" Index","CHG_PCT_2D")/100</f>
        <v>-2.9201619999999998E-2</v>
      </c>
      <c r="T47" s="188" cm="1">
        <f t="array" ref="T47">_xll.BDP($A47&amp;" Index","CHG_PCT_5D")/100</f>
        <v>-8.3846380000000012E-2</v>
      </c>
      <c r="U47" s="188" cm="1">
        <f t="array" ref="U47">K47/_xll.BDP($A47&amp;" Index","HIGH_52WEEK")-1</f>
        <v>-0.98778318374315355</v>
      </c>
      <c r="V47" s="188" cm="1">
        <f t="array" ref="V47">K47/_xll.BDP($A47&amp;" Index","LOW_52WEEK")-1</f>
        <v>-0.9784288251189498</v>
      </c>
      <c r="W47" s="188"/>
      <c r="X47" s="192" cm="1">
        <f t="array" ref="X47">_xll.BDP($A47&amp;" Index","RSI_14D")</f>
        <v>39.128570000000003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1.3538270211973968</v>
      </c>
      <c r="AI47" s="196" cm="1">
        <f t="array" ref="AI47">(_xll.BDP(C47&amp;" Equity","SHORT_INT")/_xll.BDP(C47&amp;" Equity","VOLUME_AVG_90D"))</f>
        <v>0.81094438942273606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694.65</v>
      </c>
      <c r="H48" s="188" cm="1">
        <f t="array" ref="H48">G48/_xll.BDP(B48&amp;" Equity", "PREV_CLOSE_VAL")-1</f>
        <v>-1.1072445428661482E-3</v>
      </c>
      <c r="I48" s="187" cm="1">
        <f t="array" ref="I48">_xll.BDP(C48&amp;" Equity","LAST PRICE")</f>
        <v>263.48500000000001</v>
      </c>
      <c r="J48" s="188" cm="1">
        <f t="array" ref="J48">I48/_xll.BDP(C48&amp;" Equity", "PREV_CLOSE_VAL")-1</f>
        <v>7.0262058488412826E-4</v>
      </c>
      <c r="K48" s="189">
        <f t="shared" si="18"/>
        <v>2.6363929635463119</v>
      </c>
      <c r="L48" s="188" cm="1">
        <f t="array" ref="L48">K48/(_xll.BDP(B48&amp;" Equity", "PREV_CLOSE_VAL")/_xll.BDP(C48&amp;" Equity", "PREV_CLOSE_VAL"))-1</f>
        <v>-1.8085943721146691E-3</v>
      </c>
      <c r="M48" s="188"/>
      <c r="N48" s="190">
        <f t="shared" si="19"/>
        <v>0.25586631774396246</v>
      </c>
      <c r="O48" s="191">
        <f t="shared" si="17"/>
        <v>7.0685129174543164E-3</v>
      </c>
      <c r="P48" s="192" cm="1">
        <f t="array" ref="P48">_xll.BDP($A48&amp;" Index","VOLATILITY_30D")</f>
        <v>11.21773</v>
      </c>
      <c r="Q48" s="192" cm="1">
        <f t="array" aca="1" ref="Q48" ca="1">(_xll.BDP(($B48&amp; " Equity"),"CORR_COEF", "BETA_OVERRIDE_REL_INDEX",($C48&amp; " Equity"),"BETA_OVERRIDE_END_DT",$Q$5,"BETA_OVERRIDE_START_DT",$Q$4))*100</f>
        <v>75.624573609497475</v>
      </c>
      <c r="R48" s="188"/>
      <c r="S48" s="188" cm="1">
        <f t="array" ref="S48">_xll.BDP($A48&amp;" Index","CHG_PCT_2D")/100</f>
        <v>5.3300760000000004E-3</v>
      </c>
      <c r="T48" s="188" cm="1">
        <f t="array" ref="T48">_xll.BDP($A48&amp;" Index","CHG_PCT_5D")/100</f>
        <v>3.4226340000000001E-2</v>
      </c>
      <c r="U48" s="188" cm="1">
        <f t="array" ref="U48">K48/_xll.BDP($A48&amp;" Index","HIGH_52WEEK")-1</f>
        <v>-8.9699893119104535E-2</v>
      </c>
      <c r="V48" s="188" cm="1">
        <f t="array" ref="V48">K48/_xll.BDP($A48&amp;" Index","LOW_52WEEK")-1</f>
        <v>3.2357372480699809E-2</v>
      </c>
      <c r="W48" s="188"/>
      <c r="X48" s="192" cm="1">
        <f t="array" ref="X48">_xll.BDP($A48&amp;" Index","RSI_14D")</f>
        <v>46.065640000000002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1.3538270211973968</v>
      </c>
      <c r="AI48" s="196" cm="1">
        <f t="array" ref="AI48">(_xll.BDP(C48&amp;" Equity","SHORT_INT")/_xll.BDP(C48&amp;" Equity","VOLUME_AVG_90D"))</f>
        <v>2.0364534170213333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629.82000000000005</v>
      </c>
      <c r="H49" s="188" cm="1">
        <f t="array" ref="H49">G49/_xll.BDP(B49&amp;" Equity", "PREV_CLOSE_VAL")-1</f>
        <v>-5.3693818893907341E-3</v>
      </c>
      <c r="I49" s="187" cm="1">
        <f t="array" ref="I49">_xll.BDP(C49&amp;" Equity","LAST PRICE")</f>
        <v>263.48500000000001</v>
      </c>
      <c r="J49" s="188" cm="1">
        <f t="array" ref="J49">I49/_xll.BDP(C49&amp;" Equity", "PREV_CLOSE_VAL")-1</f>
        <v>7.0262058488412826E-4</v>
      </c>
      <c r="K49" s="189">
        <f t="shared" si="18"/>
        <v>2.3903448014118451</v>
      </c>
      <c r="L49" s="188" cm="1">
        <f t="array" ref="L49">K49/(_xll.BDP(B49&amp;" Equity", "PREV_CLOSE_VAL")/_xll.BDP(C49&amp;" Equity", "PREV_CLOSE_VAL"))-1</f>
        <v>-6.067739155840246E-3</v>
      </c>
      <c r="M49" s="188"/>
      <c r="N49" s="190">
        <f t="shared" si="19"/>
        <v>0.68232399242662467</v>
      </c>
      <c r="O49" s="191">
        <f t="shared" si="17"/>
        <v>8.8927536231884069E-3</v>
      </c>
      <c r="P49" s="192" cm="1">
        <f t="array" ref="P49">_xll.BDP($A49&amp;" Index","VOLATILITY_30D")</f>
        <v>14.1128</v>
      </c>
      <c r="Q49" s="192" cm="1">
        <f t="array" aca="1" ref="Q49" ca="1">(_xll.BDP(($B49&amp; " Equity"),"CORR_COEF", "BETA_OVERRIDE_REL_INDEX",($C49&amp; " Equity"),"BETA_OVERRIDE_END_DT",$Q$5,"BETA_OVERRIDE_START_DT",$Q$4))*100</f>
        <v>62.253938818587919</v>
      </c>
      <c r="R49" s="188"/>
      <c r="S49" s="188" cm="1">
        <f t="array" ref="S49">_xll.BDP($A49&amp;" Index","CHG_PCT_2D")/100</f>
        <v>8.7615539999999995E-3</v>
      </c>
      <c r="T49" s="188" cm="1">
        <f t="array" ref="T49">_xll.BDP($A49&amp;" Index","CHG_PCT_5D")/100</f>
        <v>4.5216630000000001E-2</v>
      </c>
      <c r="U49" s="188" cm="1">
        <f t="array" ref="U49">K49/_xll.BDP($A49&amp;" Index","HIGH_52WEEK")-1</f>
        <v>-8.3386455475172538E-2</v>
      </c>
      <c r="V49" s="188" cm="1">
        <f t="array" ref="V49">K49/_xll.BDP($A49&amp;" Index","LOW_52WEEK")-1</f>
        <v>4.4384208659643321E-2</v>
      </c>
      <c r="W49" s="188"/>
      <c r="X49" s="192" cm="1">
        <f t="array" ref="X49">_xll.BDP($A49&amp;" Index","RSI_14D")</f>
        <v>51.220410000000001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0.81094438942273606</v>
      </c>
      <c r="AI49" s="196" cm="1">
        <f t="array" ref="AI49">(_xll.BDP(C49&amp;" Equity","SHORT_INT")/_xll.BDP(C49&amp;" Equity","VOLUME_AVG_90D"))</f>
        <v>2.0364534170213333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417.41</v>
      </c>
      <c r="H50" s="188" cm="1">
        <f t="array" ref="H50">G50/_xll.BDP(B50&amp;" Equity", "PREV_CLOSE_VAL")-1</f>
        <v>1.8721647504980066E-3</v>
      </c>
      <c r="I50" s="187" cm="1">
        <f t="array" ref="I50">_xll.BDP(C50&amp;" Equity","LAST PRICE")</f>
        <v>92.355000000000004</v>
      </c>
      <c r="J50" s="188" cm="1">
        <f t="array" ref="J50">I50/_xll.BDP(C50&amp;" Equity", "PREV_CLOSE_VAL")-1</f>
        <v>-4.8475169997939438E-2</v>
      </c>
      <c r="K50" s="189">
        <f>G50/I50</f>
        <v>4.5196253586703481</v>
      </c>
      <c r="L50" s="188" cm="1">
        <f t="array" ref="L50">K50/(_xll.BDP(B50&amp;" Equity", "PREV_CLOSE_VAL")/_xll.BDP(C50&amp;" Equity", "PREV_CLOSE_VAL"))-1</f>
        <v>5.2912265829498484E-2</v>
      </c>
      <c r="M50" s="188"/>
      <c r="N50" s="190">
        <f>ABS(L50/O50)</f>
        <v>2.6977736485204189</v>
      </c>
      <c r="O50" s="191">
        <f>P50/15.87/100</f>
        <v>1.9613308128544425E-2</v>
      </c>
      <c r="P50" s="192" cm="1">
        <f t="array" ref="P50">_xll.BDP($A50&amp;" Index","VOLATILITY_30D")</f>
        <v>31.12632</v>
      </c>
      <c r="Q50" s="192" cm="1">
        <f t="array" aca="1" ref="Q50" ca="1">(_xll.BDP(($B50&amp; " Equity"),"CORR_COEF", "BETA_OVERRIDE_REL_INDEX",($C50&amp; " Equity"),"BETA_OVERRIDE_END_DT",$Q$5,"BETA_OVERRIDE_START_DT",$Q$4))*100</f>
        <v>60.48828654525191</v>
      </c>
      <c r="R50" s="188"/>
      <c r="S50" s="188" cm="1">
        <f t="array" ref="S50">_xll.BDP($A50&amp;" Index","CHG_PCT_2D")/100</f>
        <v>3.0410859999999998E-2</v>
      </c>
      <c r="T50" s="188" cm="1">
        <f t="array" ref="T50">_xll.BDP($A50&amp;" Index","CHG_PCT_5D")/100</f>
        <v>3.3004649999999996E-2</v>
      </c>
      <c r="U50" s="188" cm="1">
        <f t="array" ref="U50">K50/_xll.BDP($A50&amp;" Index","HIGH_52WEEK")-1</f>
        <v>5.2912139468922037E-2</v>
      </c>
      <c r="V50" s="188" cm="1">
        <f t="array" ref="V50">K50/_xll.BDP($A50&amp;" Index","LOW_52WEEK")-1</f>
        <v>1.065415749035914</v>
      </c>
      <c r="W50" s="188"/>
      <c r="X50" s="192" cm="1">
        <f t="array" ref="X50">_xll.BDP($A50&amp;" Index","RSI_14D")</f>
        <v>77.475070000000002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1.1541953999476418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417.41</v>
      </c>
      <c r="H51" s="188" cm="1">
        <f t="array" ref="H51">G51/_xll.BDP(B51&amp;" Equity", "PREV_CLOSE_VAL")-1</f>
        <v>1.8721647504980066E-3</v>
      </c>
      <c r="I51" s="187" cm="1">
        <f t="array" ref="I51">_xll.BDP(C51&amp;" Equity","LAST PRICE")</f>
        <v>629.82000000000005</v>
      </c>
      <c r="J51" s="188" cm="1">
        <f t="array" ref="J51">I51/_xll.BDP(C51&amp;" Equity", "PREV_CLOSE_VAL")-1</f>
        <v>-5.3693818893907341E-3</v>
      </c>
      <c r="K51" s="189">
        <f>G51/I51</f>
        <v>0.66274491124448254</v>
      </c>
      <c r="L51" s="188" cm="1">
        <f t="array" ref="L51">K51/(_xll.BDP(B51&amp;" Equity", "PREV_CLOSE_VAL")/_xll.BDP(C51&amp;" Equity", "PREV_CLOSE_VAL"))-1</f>
        <v>7.2806391720021679E-3</v>
      </c>
      <c r="M51" s="188"/>
      <c r="N51" s="190">
        <f>ABS(L51/O51)</f>
        <v>0.62496007535449349</v>
      </c>
      <c r="O51" s="191">
        <f>P51/15.87/100</f>
        <v>1.1649766855702584E-2</v>
      </c>
      <c r="P51" s="192" cm="1">
        <f t="array" ref="P51">_xll.BDP($A51&amp;" Index","VOLATILITY_30D")</f>
        <v>18.48818</v>
      </c>
      <c r="Q51" s="192" cm="1">
        <f t="array" aca="1" ref="Q51" ca="1">(_xll.BDP(($B51&amp; " Equity"),"CORR_COEF", "BETA_OVERRIDE_REL_INDEX",($C51&amp; " Equity"),"BETA_OVERRIDE_END_DT",$Q$5,"BETA_OVERRIDE_START_DT",$Q$4))*100</f>
        <v>88.45984648370947</v>
      </c>
      <c r="R51" s="188"/>
      <c r="S51" s="188" cm="1">
        <f t="array" ref="S51">_xll.BDP($A51&amp;" Index","CHG_PCT_2D")/100</f>
        <v>1.9648789999999999E-2</v>
      </c>
      <c r="T51" s="188" cm="1">
        <f t="array" ref="T51">_xll.BDP($A51&amp;" Index","CHG_PCT_5D")/100</f>
        <v>1.3924490000000001E-2</v>
      </c>
      <c r="U51" s="188" cm="1">
        <f t="array" ref="U51">K51/_xll.BDP($A51&amp;" Index","HIGH_52WEEK")-1</f>
        <v>7.2876529287673186E-3</v>
      </c>
      <c r="V51" s="188" cm="1">
        <f t="array" ref="V51">K51/_xll.BDP($A51&amp;" Index","LOW_52WEEK")-1</f>
        <v>0.54933820657490795</v>
      </c>
      <c r="W51" s="188"/>
      <c r="X51" s="192" cm="1">
        <f t="array" ref="X51">_xll.BDP($A51&amp;" Index","RSI_14D")</f>
        <v>72.863510000000005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1.1541953999476418</v>
      </c>
      <c r="AI51" s="196" cm="1">
        <f t="array" ref="AI51">(_xll.BDP(C51&amp;" Equity","SHORT_INT")/_xll.BDP(C51&amp;" Equity","VOLUME_AVG_90D"))</f>
        <v>0.81094438942273606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86.22</v>
      </c>
      <c r="H52" s="188" cm="1">
        <f t="array" ref="H52">G52/_xll.BDP(B52&amp;" Equity", "PREV_CLOSE_VAL")-1</f>
        <v>1.3280056410859054E-2</v>
      </c>
      <c r="I52" s="187" cm="1">
        <f t="array" ref="I52">_xll.BDP(C52&amp;" Equity","LAST PRICE")</f>
        <v>198.595</v>
      </c>
      <c r="J52" s="188" cm="1">
        <f t="array" ref="J52">I52/_xll.BDP(C52&amp;" Equity", "PREV_CLOSE_VAL")-1</f>
        <v>1.689700393422866E-3</v>
      </c>
      <c r="K52" s="189">
        <f>G52/I52</f>
        <v>0.43414990306906015</v>
      </c>
      <c r="L52" s="188" cm="1">
        <f t="array" ref="L52">K52/(_xll.BDP(B52&amp;" Equity", "PREV_CLOSE_VAL")/_xll.BDP(C52&amp;" Equity", "PREV_CLOSE_VAL"))-1</f>
        <v>1.157080482397288E-2</v>
      </c>
      <c r="M52" s="188"/>
      <c r="N52" s="190">
        <f>ABS(L52/O52)</f>
        <v>1.5223405278650071</v>
      </c>
      <c r="O52" s="191">
        <f>P52/15.87/100</f>
        <v>7.6006679269061128E-3</v>
      </c>
      <c r="P52" s="192" cm="1">
        <f t="array" ref="P52">_xll.BDP($A52&amp;" Index","VOLATILITY_30D")</f>
        <v>12.06226</v>
      </c>
      <c r="Q52" s="192" cm="1">
        <f t="array" aca="1" ref="Q52" ca="1">(_xll.BDP(($B52&amp; " Equity"),"CORR_COEF", "BETA_OVERRIDE_REL_INDEX",($C52&amp; " Equity"),"BETA_OVERRIDE_END_DT",$Q$5,"BETA_OVERRIDE_START_DT",$Q$4))*100</f>
        <v>65.50842526143532</v>
      </c>
      <c r="R52" s="188"/>
      <c r="S52" s="188" cm="1">
        <f t="array" ref="S52">_xll.BDP($A52&amp;" Index","CHG_PCT_2D")/100</f>
        <v>-1.3244929999999999E-3</v>
      </c>
      <c r="T52" s="188" cm="1">
        <f t="array" ref="T52">_xll.BDP($A52&amp;" Index","CHG_PCT_5D")/100</f>
        <v>-6.9523520000000002E-3</v>
      </c>
      <c r="U52" s="188" cm="1">
        <f t="array" ref="U52">K52/_xll.BDP($A52&amp;" Index","HIGH_52WEEK")-1</f>
        <v>-3.8044174711822754E-2</v>
      </c>
      <c r="V52" s="188" cm="1">
        <f t="array" ref="V52">K52/_xll.BDP($A52&amp;" Index","LOW_52WEEK")-1</f>
        <v>0.27552341002162395</v>
      </c>
      <c r="W52" s="188"/>
      <c r="X52" s="192" cm="1">
        <f t="array" ref="X52">_xll.BDP($A52&amp;" Index","RSI_14D")</f>
        <v>43.083550000000002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1.9355418717648776</v>
      </c>
      <c r="AI52" s="196" cm="1">
        <f t="array" ref="AI52">(_xll.BDP(C52&amp;" Equity","SHORT_INT")/_xll.BDP(C52&amp;" Equity","VOLUME_AVG_90D"))</f>
        <v>2.2697084489196175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86.22</v>
      </c>
      <c r="H53" s="188" cm="1">
        <f t="array" ref="H53">G53/_xll.BDP(B53&amp;" Equity", "PREV_CLOSE_VAL")-1</f>
        <v>1.3280056410859054E-2</v>
      </c>
      <c r="I53" s="187" cm="1">
        <f t="array" ref="I53">_xll.BDP(C53&amp;" Equity","LAST PRICE")</f>
        <v>694.65</v>
      </c>
      <c r="J53" s="188" cm="1">
        <f t="array" ref="J53">I53/_xll.BDP(C53&amp;" Equity", "PREV_CLOSE_VAL")-1</f>
        <v>-1.1072445428661482E-3</v>
      </c>
      <c r="K53" s="189">
        <f>G53/I53</f>
        <v>0.12412006046210322</v>
      </c>
      <c r="L53" s="188" cm="1">
        <f t="array" ref="L53">K53/(_xll.BDP(B53&amp;" Equity", "PREV_CLOSE_VAL")/_xll.BDP(C53&amp;" Equity", "PREV_CLOSE_VAL"))-1</f>
        <v>1.4403248872438823E-2</v>
      </c>
      <c r="M53" s="188"/>
      <c r="N53" s="190">
        <f>ABS(L53/O53)</f>
        <v>1.5755371477167426</v>
      </c>
      <c r="O53" s="191">
        <f>P53/15.87/100</f>
        <v>9.1418021424070576E-3</v>
      </c>
      <c r="P53" s="192" cm="1">
        <f t="array" ref="P53">_xll.BDP($A53&amp;" Index","VOLATILITY_30D")</f>
        <v>14.508039999999999</v>
      </c>
      <c r="Q53" s="192" cm="1">
        <f t="array" aca="1" ref="Q53" ca="1">(_xll.BDP(($B53&amp; " Equity"),"CORR_COEF", "BETA_OVERRIDE_REL_INDEX",($C53&amp; " Equity"),"BETA_OVERRIDE_END_DT",$Q$5,"BETA_OVERRIDE_START_DT",$Q$4))*100</f>
        <v>59.565590587705522</v>
      </c>
      <c r="R53" s="188"/>
      <c r="S53" s="188" cm="1">
        <f t="array" ref="S53">_xll.BDP($A53&amp;" Index","CHG_PCT_2D")/100</f>
        <v>-4.559858E-3</v>
      </c>
      <c r="T53" s="188" cm="1">
        <f t="array" ref="T53">_xll.BDP($A53&amp;" Index","CHG_PCT_5D")/100</f>
        <v>-2.302003E-2</v>
      </c>
      <c r="U53" s="188" cm="1">
        <f t="array" ref="U53">K53/_xll.BDP($A53&amp;" Index","HIGH_52WEEK")-1</f>
        <v>-3.1144637716780776E-2</v>
      </c>
      <c r="V53" s="188" cm="1">
        <f t="array" ref="V53">K53/_xll.BDP($A53&amp;" Index","LOW_52WEEK")-1</f>
        <v>0.18980119307997723</v>
      </c>
      <c r="W53" s="188"/>
      <c r="X53" s="192" cm="1">
        <f t="array" ref="X53">_xll.BDP($A53&amp;" Index","RSI_14D")</f>
        <v>43.735770000000002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1.9355418717648776</v>
      </c>
      <c r="AI53" s="196" cm="1">
        <f t="array" ref="AI53">(_xll.BDP(C53&amp;" Equity","SHORT_INT")/_xll.BDP(C53&amp;" Equity","VOLUME_AVG_90D"))</f>
        <v>1.3538270211973968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86.22</v>
      </c>
      <c r="H54" s="188" cm="1">
        <f t="array" ref="H54">G54/_xll.BDP(B54&amp;" Equity", "PREV_CLOSE_VAL")-1</f>
        <v>1.3280056410859054E-2</v>
      </c>
      <c r="I54" s="187" cm="1">
        <f t="array" ref="I54">_xll.BDP(C54&amp;" Equity","LAST PRICE")</f>
        <v>69.034999999999997</v>
      </c>
      <c r="J54" s="188" cm="1">
        <f t="array" ref="J54">I54/_xll.BDP(C54&amp;" Equity", "PREV_CLOSE_VAL")-1</f>
        <v>1.8515786367659937E-2</v>
      </c>
      <c r="K54" s="189">
        <f>G54/I54</f>
        <v>1.2489317013109293</v>
      </c>
      <c r="L54" s="188" cm="1">
        <f t="array" ref="L54">K54/(_xll.BDP(B54&amp;" Equity", "PREV_CLOSE_VAL")/_xll.BDP(C54&amp;" Equity", "PREV_CLOSE_VAL"))-1</f>
        <v>-5.1405486560724967E-3</v>
      </c>
      <c r="M54" s="188"/>
      <c r="N54" s="190">
        <f>ABS(L54/O54)</f>
        <v>0.58206682505048291</v>
      </c>
      <c r="O54" s="191">
        <f>P54/15.87/100</f>
        <v>8.8315437933207327E-3</v>
      </c>
      <c r="P54" s="192" cm="1">
        <f t="array" ref="P54">_xll.BDP($A54&amp;" Index","VOLATILITY_30D")</f>
        <v>14.01566</v>
      </c>
      <c r="Q54" s="192" cm="1">
        <f t="array" aca="1" ref="Q54" ca="1">(_xll.BDP(($B54&amp; " Equity"),"CORR_COEF", "BETA_OVERRIDE_REL_INDEX",($C54&amp; " Equity"),"BETA_OVERRIDE_END_DT",$Q$5,"BETA_OVERRIDE_START_DT",$Q$4))*100</f>
        <v>76.583526593960073</v>
      </c>
      <c r="R54" s="188"/>
      <c r="S54" s="188" cm="1">
        <f t="array" ref="S54">_xll.BDP($A54&amp;" Index","CHG_PCT_2D")/100</f>
        <v>2.3738100000000001E-3</v>
      </c>
      <c r="T54" s="188" cm="1">
        <f t="array" ref="T54">_xll.BDP($A54&amp;" Index","CHG_PCT_5D")/100</f>
        <v>1.737675E-2</v>
      </c>
      <c r="U54" s="188" cm="1">
        <f t="array" ref="U54">K54/_xll.BDP($A54&amp;" Index","HIGH_52WEEK")-1</f>
        <v>-5.3739259231335712E-2</v>
      </c>
      <c r="V54" s="188" cm="1">
        <f t="array" ref="V54">K54/_xll.BDP($A54&amp;" Index","LOW_52WEEK")-1</f>
        <v>0.14995506855997243</v>
      </c>
      <c r="W54" s="188"/>
      <c r="X54" s="192" cm="1">
        <f t="array" ref="X54">_xll.BDP($A54&amp;" Index","RSI_14D")</f>
        <v>43.21611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1.9355418717648776</v>
      </c>
      <c r="AI54" s="196" cm="1">
        <f t="array" ref="AI54">(_xll.BDP(C54&amp;" Equity","SHORT_INT")/_xll.BDP(C54&amp;" Equity","VOLUME_AVG_90D"))</f>
        <v>2.5784129410048529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0 W38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40"/>
      <c r="U3" s="40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1893</v>
      </c>
      <c r="V4" s="360">
        <v>0.27500000000000002</v>
      </c>
      <c r="W4" s="360">
        <v>0.5</v>
      </c>
      <c r="X4" s="360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59">
        <f>X4</f>
        <v>0.36153846153846153</v>
      </c>
      <c r="AH4" s="358">
        <v>0.2</v>
      </c>
      <c r="AI4" s="358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0.34149284978464645</v>
      </c>
      <c r="G5" s="153" cm="1">
        <f t="array" ref="G5">_xll.BDP($C5&amp;" Equity","volatility_30d")/100</f>
        <v>0.35146285749853584</v>
      </c>
      <c r="J5" t="s">
        <v>1740</v>
      </c>
      <c r="K5" s="276">
        <v>70</v>
      </c>
      <c r="L5" cm="1">
        <f t="array" ref="L5">_xll.BDP(J5&amp;" Equity","LAST PRICE")</f>
        <v>101.3</v>
      </c>
      <c r="M5" s="279">
        <f>L5/K5-1</f>
        <v>0.44714285714285706</v>
      </c>
      <c r="S5" s="36" t="s">
        <v>1770</v>
      </c>
      <c r="T5" t="s">
        <v>1887</v>
      </c>
      <c r="U5" t="s">
        <v>1893</v>
      </c>
      <c r="V5" s="360"/>
      <c r="W5" s="360">
        <v>0.1</v>
      </c>
      <c r="X5" s="360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59">
        <f t="shared" ref="AG5:AG13" si="5">X5</f>
        <v>3.8461538461538471E-2</v>
      </c>
      <c r="AH5" s="358"/>
      <c r="AI5" s="358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0.34149284978464645</v>
      </c>
      <c r="G6" s="153" cm="1">
        <f t="array" ref="G6">_xll.BDP($C6&amp;" Equity","volatility_30d")/100</f>
        <v>0.35146285749853584</v>
      </c>
      <c r="J6" t="s">
        <v>1740</v>
      </c>
      <c r="K6" s="276">
        <v>70</v>
      </c>
      <c r="L6" cm="1">
        <f t="array" ref="L6">_xll.BDP(J6&amp;" Equity","LAST PRICE")</f>
        <v>101.3</v>
      </c>
      <c r="M6" s="279">
        <f>L6/K6-1</f>
        <v>0.44714285714285706</v>
      </c>
      <c r="S6" s="36" t="s">
        <v>1770</v>
      </c>
      <c r="T6" t="s">
        <v>1903</v>
      </c>
      <c r="U6" t="s">
        <v>1900</v>
      </c>
      <c r="V6" s="360"/>
      <c r="W6" s="360"/>
      <c r="X6" s="360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59">
        <f>X6</f>
        <v>0</v>
      </c>
      <c r="AH6" s="358"/>
      <c r="AI6" s="358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0.25089841797799606</v>
      </c>
      <c r="G7" s="153" cm="1">
        <f t="array" ref="G7">_xll.BDP($C7&amp;" Equity","volatility_30d")/100</f>
        <v>0.25660066004511828</v>
      </c>
      <c r="J7" t="s">
        <v>1743</v>
      </c>
      <c r="K7" s="276">
        <v>28.5</v>
      </c>
      <c r="L7" cm="1">
        <f t="array" ref="L7">_xll.BDP(J7&amp;" Equity","LAST PRICE")</f>
        <v>19.975000000000001</v>
      </c>
      <c r="M7" s="279">
        <f t="shared" ref="M7:M13" si="6">L7/K7-1</f>
        <v>-0.29912280701754379</v>
      </c>
      <c r="S7" s="36" t="s">
        <v>1770</v>
      </c>
      <c r="T7" t="s">
        <v>81</v>
      </c>
      <c r="U7" t="s">
        <v>1879</v>
      </c>
      <c r="V7" s="360">
        <v>0.2</v>
      </c>
      <c r="W7" s="360"/>
      <c r="X7" s="360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59">
        <f t="shared" si="5"/>
        <v>0.12307692307692307</v>
      </c>
      <c r="AH7" s="358">
        <v>0.3</v>
      </c>
      <c r="AI7" s="358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0.2592157985620312</v>
      </c>
      <c r="G8" s="153" cm="1">
        <f t="array" ref="G8">_xll.BDP($C8&amp;" Equity","volatility_30d")/100</f>
        <v>0.35733757474447425</v>
      </c>
      <c r="J8" t="s">
        <v>400</v>
      </c>
      <c r="K8" s="276">
        <v>318.75</v>
      </c>
      <c r="L8" cm="1">
        <f t="array" ref="L8">_xll.BDP(J8&amp;" Equity","LAST PRICE")</f>
        <v>261.20999999999998</v>
      </c>
      <c r="M8" s="279">
        <f t="shared" si="6"/>
        <v>-0.18051764705882356</v>
      </c>
      <c r="S8" s="36" t="s">
        <v>1770</v>
      </c>
      <c r="T8" t="s">
        <v>83</v>
      </c>
      <c r="U8" t="s">
        <v>1879</v>
      </c>
      <c r="V8" s="360">
        <v>0.05</v>
      </c>
      <c r="W8" s="360">
        <v>0.05</v>
      </c>
      <c r="X8" s="360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59">
        <f t="shared" si="5"/>
        <v>0.05</v>
      </c>
      <c r="AH8" s="358">
        <v>0.05</v>
      </c>
      <c r="AI8" s="358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0.21667880069153589</v>
      </c>
      <c r="G9" s="153" cm="1">
        <f t="array" ref="G9">_xll.BDP($C9&amp;" Equity","volatility_30d")/100</f>
        <v>0.21513350629649067</v>
      </c>
      <c r="J9" t="s">
        <v>134</v>
      </c>
      <c r="K9" s="276">
        <v>265.95999999999998</v>
      </c>
      <c r="L9" cm="1">
        <f t="array" ref="L9">_xll.BDP(J9&amp;" Equity","LAST PRICE")</f>
        <v>214.10499999999999</v>
      </c>
      <c r="M9" s="279">
        <f t="shared" si="6"/>
        <v>-0.19497292825988866</v>
      </c>
      <c r="S9" s="36" t="s">
        <v>1770</v>
      </c>
      <c r="T9" t="s">
        <v>399</v>
      </c>
      <c r="U9" t="s">
        <v>1879</v>
      </c>
      <c r="V9" s="360">
        <v>0.1</v>
      </c>
      <c r="W9" s="360">
        <v>0.05</v>
      </c>
      <c r="X9" s="360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59">
        <f t="shared" si="5"/>
        <v>8.0769230769230774E-2</v>
      </c>
      <c r="AH9" s="358">
        <v>0.15</v>
      </c>
      <c r="AI9" s="358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0.25166650000000002</v>
      </c>
      <c r="G10" s="153" cm="1">
        <f t="array" ref="G10">_xll.BDP($C10&amp;" Equity","volatility_30d")/100</f>
        <v>0.2405429</v>
      </c>
      <c r="J10" t="s">
        <v>1753</v>
      </c>
      <c r="K10" s="276">
        <v>251.52</v>
      </c>
      <c r="L10" cm="1">
        <f t="array" ref="L10">_xll.BDP(J10&amp;" Equity","LAST PRICE")</f>
        <v>174.73</v>
      </c>
      <c r="M10" s="279">
        <f t="shared" si="6"/>
        <v>-0.30530375318066161</v>
      </c>
      <c r="S10" s="36" t="s">
        <v>1770</v>
      </c>
      <c r="T10" t="s">
        <v>1904</v>
      </c>
      <c r="U10" t="s">
        <v>1894</v>
      </c>
      <c r="V10" s="360"/>
      <c r="W10" s="360">
        <v>7.4999999999999997E-2</v>
      </c>
      <c r="X10" s="360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59">
        <f t="shared" si="5"/>
        <v>2.8846153846153844E-2</v>
      </c>
      <c r="AH10" s="358"/>
      <c r="AI10" s="358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0.18287402142757522</v>
      </c>
      <c r="G11" s="153" cm="1">
        <f t="array" ref="G11">_xll.BDP($C11&amp;" Equity","volatility_30d")/100</f>
        <v>0.16064493702820626</v>
      </c>
      <c r="J11" t="s">
        <v>353</v>
      </c>
      <c r="K11" s="276">
        <v>117.4</v>
      </c>
      <c r="L11" cm="1">
        <f t="array" ref="L11">_xll.BDP(J11&amp;" Equity","LAST PRICE")</f>
        <v>189.54</v>
      </c>
      <c r="M11" s="279">
        <f t="shared" si="6"/>
        <v>0.61448040885860289</v>
      </c>
      <c r="S11" s="36" t="s">
        <v>1770</v>
      </c>
      <c r="T11" t="s">
        <v>94</v>
      </c>
      <c r="U11" t="s">
        <v>1880</v>
      </c>
      <c r="V11" s="360">
        <v>0.05</v>
      </c>
      <c r="W11" s="360">
        <v>0.1</v>
      </c>
      <c r="X11" s="360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59">
        <f t="shared" si="5"/>
        <v>6.9230769230769235E-2</v>
      </c>
      <c r="AH11" s="358">
        <v>0.05</v>
      </c>
      <c r="AI11" s="358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0.24770227193122105</v>
      </c>
      <c r="G12" s="153" cm="1">
        <f t="array" ref="G12">_xll.BDP($C12&amp;" Equity","volatility_30d")/100</f>
        <v>0.26312231166546146</v>
      </c>
      <c r="J12" t="s">
        <v>1742</v>
      </c>
      <c r="K12" s="276">
        <v>5420</v>
      </c>
      <c r="L12" cm="1">
        <f t="array" ref="L12">_xll.BDP(J12&amp;" Index","LAST PRICE")</f>
        <v>5799</v>
      </c>
      <c r="M12" s="279">
        <f t="shared" si="6"/>
        <v>6.9926199261992616E-2</v>
      </c>
      <c r="S12" s="36" t="s">
        <v>1770</v>
      </c>
      <c r="T12" t="s">
        <v>137</v>
      </c>
      <c r="U12" t="s">
        <v>1894</v>
      </c>
      <c r="V12" s="360">
        <v>0.05</v>
      </c>
      <c r="W12" s="360">
        <v>0.125</v>
      </c>
      <c r="X12" s="360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59">
        <f t="shared" si="5"/>
        <v>7.8846153846153844E-2</v>
      </c>
      <c r="AH12" s="358">
        <v>0.1</v>
      </c>
      <c r="AI12" s="358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0.24740097511360271</v>
      </c>
      <c r="G13" s="153" cm="1">
        <f t="array" ref="G13">_xll.BDP($C13&amp;" Equity","volatility_30d")/100</f>
        <v>0.29726193286868913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1880</v>
      </c>
      <c r="V13" s="360">
        <v>0.27500000000000002</v>
      </c>
      <c r="W13" s="360"/>
      <c r="X13" s="360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59">
        <f t="shared" si="5"/>
        <v>0.16923076923076924</v>
      </c>
      <c r="AH13" s="358">
        <v>0.15</v>
      </c>
      <c r="AI13" s="358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0.16671322610128791</v>
      </c>
      <c r="G14" s="153" cm="1">
        <f t="array" ref="G14">_xll.BDP($C14&amp;" Equity","volatility_30d")/100</f>
        <v>0.1465024285386079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0.21885153304641014</v>
      </c>
      <c r="G15" s="153" cm="1">
        <f t="array" ref="G15">_xll.BDP($C15&amp;" Equity","volatility_30d")/100</f>
        <v>0.18142805966170258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0.35379529712047336</v>
      </c>
      <c r="G16" s="153" cm="1">
        <f t="array" ref="G16">_xll.BDP($C16&amp;" Equity","volatility_30d")/100</f>
        <v>0.22773494706210692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0.27553228419743647</v>
      </c>
      <c r="G17" s="153" cm="1">
        <f t="array" ref="G17">_xll.BDP($C17&amp;" Equity","volatility_30d")/100</f>
        <v>0.29068299737835285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0.28381381906021103</v>
      </c>
      <c r="G18" s="153" cm="1">
        <f t="array" ref="G18">_xll.BDP($C18&amp;" Equity","volatility_30d")/100</f>
        <v>0.27508952075324383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8.3349888800213878E-2</v>
      </c>
      <c r="G19" s="153" cm="1">
        <f t="array" ref="G19">_xll.BDP($C19&amp;" Equity","volatility_30d")/100</f>
        <v>0.12905783953306155</v>
      </c>
      <c r="AP19" t="s">
        <v>1770</v>
      </c>
    </row>
    <row r="20" spans="3:42">
      <c r="C20" t="s">
        <v>1849</v>
      </c>
      <c r="D20" s="276">
        <v>1</v>
      </c>
      <c r="F20" s="153" cm="1">
        <f t="array" ref="F20">_xll.BDP($C20&amp;" Equity","volatility_10d")/100</f>
        <v>0.17808721906300215</v>
      </c>
      <c r="G20" s="153" cm="1">
        <f t="array" ref="G20">_xll.BDP($C20&amp;" Equity","volatility_30d")/100</f>
        <v>0.16004103716621287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0.13664655093921144</v>
      </c>
      <c r="G21" s="153" cm="1">
        <f t="array" ref="G21">_xll.BDP($C21&amp;" Equity","volatility_30d")/100</f>
        <v>0.10859564147557908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0.14258971505596651</v>
      </c>
      <c r="G22" s="153" cm="1">
        <f t="array" ref="G22">_xll.BDP($C22&amp;" Equity","volatility_30d")/100</f>
        <v>0.10323067987213483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0.15883507217689405</v>
      </c>
      <c r="G23" s="153" cm="1">
        <f t="array" ref="G23">_xll.BDP($C23&amp;" Equity","volatility_30d")/100</f>
        <v>0.13781043287097491</v>
      </c>
      <c r="K23" s="376" t="s">
        <v>1907</v>
      </c>
      <c r="L23" s="377">
        <v>-1.0963377653370632E-2</v>
      </c>
      <c r="M23" s="378">
        <v>-0.37836540865925272</v>
      </c>
      <c r="N23" s="379">
        <v>3.4133390057770963E-3</v>
      </c>
      <c r="O23" s="379">
        <v>0</v>
      </c>
      <c r="P23" s="379">
        <v>3.4133390057770963E-3</v>
      </c>
      <c r="R23" s="379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0.18547986685899931</v>
      </c>
      <c r="G24" s="153" cm="1">
        <f t="array" ref="G24">_xll.BDP($C24&amp;" Equity","volatility_30d")/100</f>
        <v>0.14939707039718039</v>
      </c>
      <c r="K24" s="373" t="s">
        <v>50</v>
      </c>
      <c r="L24" s="371">
        <v>-1.0963377653370632E-2</v>
      </c>
      <c r="M24" s="374">
        <v>-0.37836540865925272</v>
      </c>
      <c r="N24" s="372">
        <v>3.4133390057770963E-3</v>
      </c>
      <c r="O24" s="372">
        <v>0</v>
      </c>
      <c r="P24" s="372">
        <v>3.4133390057770963E-3</v>
      </c>
      <c r="R24" s="372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0.17413741715647452</v>
      </c>
      <c r="G25" s="153" cm="1">
        <f t="array" ref="G25">_xll.BDP($C25&amp;" Equity","volatility_30d")/100</f>
        <v>0.21638078437961719</v>
      </c>
      <c r="K25" s="376" t="s">
        <v>84</v>
      </c>
      <c r="L25" s="377">
        <v>-5.9553798585880949E-3</v>
      </c>
      <c r="M25" s="378">
        <v>-0.63972487206523787</v>
      </c>
      <c r="N25" s="379">
        <v>1.1232261185275198E-2</v>
      </c>
      <c r="O25" s="379">
        <v>0</v>
      </c>
      <c r="P25" s="379">
        <v>1.1232261185275198E-2</v>
      </c>
      <c r="R25" s="379"/>
    </row>
    <row r="26" spans="3:42" ht="15.75">
      <c r="C26" t="s">
        <v>81</v>
      </c>
      <c r="D26" s="276" cm="1">
        <f t="array" ref="D26">_xll.BDP(C26&amp;" EQUITY","eqy_beta")</f>
        <v>1.1783472299575806</v>
      </c>
      <c r="F26" s="153" cm="1">
        <f t="array" ref="F26">_xll.BDP($C26&amp;" Equity","volatility_10d")/100</f>
        <v>0.36015487716902783</v>
      </c>
      <c r="G26" s="153" cm="1">
        <f t="array" ref="G26">_xll.BDP($C26&amp;" Equity","volatility_30d")/100</f>
        <v>0.27386915014034224</v>
      </c>
      <c r="K26" s="373" t="s">
        <v>85</v>
      </c>
      <c r="L26" s="371">
        <v>4.7598096076157947E-3</v>
      </c>
      <c r="M26" s="374">
        <v>-4.6604870922836092E-2</v>
      </c>
      <c r="N26" s="372">
        <v>-9.837935777997017E-4</v>
      </c>
      <c r="O26" s="372">
        <v>0</v>
      </c>
      <c r="P26" s="372">
        <v>-9.837935777997017E-4</v>
      </c>
      <c r="R26" s="372"/>
    </row>
    <row r="27" spans="3:42" ht="15.75">
      <c r="C27" t="s">
        <v>79</v>
      </c>
      <c r="D27" s="276" cm="1">
        <f t="array" ref="D27">_xll.BDP(C27&amp;" EQUITY","eqy_beta")</f>
        <v>1.0710140466690063</v>
      </c>
      <c r="F27" s="153" cm="1">
        <f t="array" ref="F27">_xll.BDP($C27&amp;" Equity","volatility_10d")/100</f>
        <v>0.28083495625542548</v>
      </c>
      <c r="G27" s="153" cm="1">
        <f t="array" ref="G27">_xll.BDP($C27&amp;" Equity","volatility_30d")/100</f>
        <v>0.17467163192191659</v>
      </c>
      <c r="K27" s="373" t="s">
        <v>6</v>
      </c>
      <c r="L27" s="371">
        <v>-2.9742661321608965E-3</v>
      </c>
      <c r="M27" s="374">
        <v>-0.27022992383829852</v>
      </c>
      <c r="N27" s="372">
        <v>9.0585770121445457E-3</v>
      </c>
      <c r="O27" s="372">
        <v>0</v>
      </c>
      <c r="P27" s="372">
        <v>9.0585770121445457E-3</v>
      </c>
      <c r="R27" s="372"/>
    </row>
    <row r="28" spans="3:42" ht="15.75">
      <c r="C28" t="s">
        <v>83</v>
      </c>
      <c r="D28" s="276" cm="1">
        <f t="array" ref="D28">_xll.BDP(C28&amp;" EQUITY","eqy_beta")</f>
        <v>1.1976327896118164</v>
      </c>
      <c r="F28" s="153" cm="1">
        <f t="array" ref="F28">_xll.BDP($C28&amp;" Equity","volatility_10d")/100</f>
        <v>0.15338530160041314</v>
      </c>
      <c r="G28" s="153" cm="1">
        <f t="array" ref="G28">_xll.BDP($C28&amp;" Equity","volatility_30d")/100</f>
        <v>0.2702463377880831</v>
      </c>
      <c r="K28" s="373" t="s">
        <v>1681</v>
      </c>
      <c r="L28" s="371">
        <v>-3.3200841711480411E-3</v>
      </c>
      <c r="M28" s="374">
        <v>-3.8619816007486069E-2</v>
      </c>
      <c r="N28" s="372">
        <v>1.1593559977233082E-3</v>
      </c>
      <c r="O28" s="372">
        <v>0</v>
      </c>
      <c r="P28" s="372">
        <v>1.1593559977233082E-3</v>
      </c>
      <c r="R28" s="372"/>
    </row>
    <row r="29" spans="3:42" ht="15.75">
      <c r="C29" t="s">
        <v>82</v>
      </c>
      <c r="D29" s="276" cm="1">
        <f t="array" ref="D29">_xll.BDP(C29&amp;" EQUITY","eqy_beta")</f>
        <v>0.84135323762893677</v>
      </c>
      <c r="F29" s="153" cm="1">
        <f t="array" ref="F29">_xll.BDP($C29&amp;" Equity","volatility_10d")/100</f>
        <v>0.18141751935057568</v>
      </c>
      <c r="G29" s="153" cm="1">
        <f t="array" ref="G29">_xll.BDP($C29&amp;" Equity","volatility_30d")/100</f>
        <v>0.1925342414708324</v>
      </c>
      <c r="K29" s="373" t="s">
        <v>1803</v>
      </c>
      <c r="L29" s="371">
        <v>-1.9074643335697972E-2</v>
      </c>
      <c r="M29" s="374">
        <v>-0.18961576845233849</v>
      </c>
      <c r="N29" s="372">
        <v>9.7511084230964917E-4</v>
      </c>
      <c r="O29" s="372">
        <v>0</v>
      </c>
      <c r="P29" s="372">
        <v>9.7511084230964917E-4</v>
      </c>
      <c r="R29" s="372"/>
    </row>
    <row r="30" spans="3:42" ht="15.75">
      <c r="C30" t="s">
        <v>90</v>
      </c>
      <c r="D30" s="276" cm="1">
        <f t="array" ref="D30">_xll.BDP(C30&amp;" EQUITY","eqy_beta")</f>
        <v>1.019689679145813</v>
      </c>
      <c r="F30" s="153" cm="1">
        <f t="array" ref="F30">_xll.BDP($C30&amp;" Equity","volatility_10d")/100</f>
        <v>0.27685510311470729</v>
      </c>
      <c r="G30" s="153" cm="1">
        <f t="array" ref="G30">_xll.BDP($C30&amp;" Equity","volatility_30d")/100</f>
        <v>0.2080455683499508</v>
      </c>
      <c r="K30" s="373" t="s">
        <v>1901</v>
      </c>
      <c r="L30" s="371">
        <v>-9.1677152615493585E-3</v>
      </c>
      <c r="M30" s="374">
        <v>-9.4654492844278598E-2</v>
      </c>
      <c r="N30" s="372">
        <v>1.0230109108973979E-3</v>
      </c>
      <c r="O30" s="372">
        <v>0</v>
      </c>
      <c r="P30" s="372">
        <v>1.0230109108973979E-3</v>
      </c>
      <c r="R30" s="372"/>
    </row>
    <row r="31" spans="3:42" ht="15.75">
      <c r="C31" t="s">
        <v>1681</v>
      </c>
      <c r="D31" s="276" cm="1">
        <f t="array" ref="D31">_xll.BDP(C31&amp;" EQUITY","eqy_beta")</f>
        <v>1.2194719314575195</v>
      </c>
      <c r="F31" s="153" cm="1">
        <f t="array" ref="F31">_xll.BDP($C31&amp;" Equity","volatility_10d")/100</f>
        <v>0.52918407075451124</v>
      </c>
      <c r="G31" s="153" cm="1">
        <f t="array" ref="G31">_xll.BDP($C31&amp;" Equity","volatility_30d")/100</f>
        <v>0.39608711973877481</v>
      </c>
      <c r="K31" s="376" t="s">
        <v>78</v>
      </c>
      <c r="L31" s="377">
        <v>-4.2479506412567702E-3</v>
      </c>
      <c r="M31" s="378">
        <v>1.0338056955883257</v>
      </c>
      <c r="N31" s="379">
        <v>-2.396608490698357E-2</v>
      </c>
      <c r="O31" s="379">
        <v>0</v>
      </c>
      <c r="P31" s="379">
        <v>-2.396608490698357E-2</v>
      </c>
      <c r="R31" s="379"/>
    </row>
    <row r="32" spans="3:42" ht="15.75">
      <c r="C32" t="s">
        <v>86</v>
      </c>
      <c r="D32" s="276" cm="1">
        <f t="array" ref="D32">_xll.BDP(C32&amp;" EQUITY","eqy_beta")</f>
        <v>0.84630101919174194</v>
      </c>
      <c r="F32" s="153" cm="1">
        <f t="array" ref="F32">_xll.BDP($C32&amp;" Equity","volatility_10d")/100</f>
        <v>0.14548169603105038</v>
      </c>
      <c r="G32" s="153" cm="1">
        <f t="array" ref="G32">_xll.BDP($C32&amp;" Equity","volatility_30d")/100</f>
        <v>0.18009606951535026</v>
      </c>
      <c r="K32" s="373" t="s">
        <v>3</v>
      </c>
      <c r="L32" s="371">
        <v>-3.7397353418066048E-3</v>
      </c>
      <c r="M32" s="374">
        <v>0.16241210060252317</v>
      </c>
      <c r="N32" s="372">
        <v>-4.3266356450720909E-3</v>
      </c>
      <c r="O32" s="372">
        <v>0</v>
      </c>
      <c r="P32" s="372">
        <v>-4.3266356450720909E-3</v>
      </c>
      <c r="R32" s="372"/>
    </row>
    <row r="33" spans="3:18" ht="15.75">
      <c r="C33" t="s">
        <v>87</v>
      </c>
      <c r="D33" s="276" cm="1">
        <f t="array" ref="D33">_xll.BDP(C33&amp;" EQUITY","eqy_beta")</f>
        <v>0.83062779903411865</v>
      </c>
      <c r="F33" s="153" cm="1">
        <f t="array" ref="F33">_xll.BDP($C33&amp;" Equity","volatility_10d")/100</f>
        <v>9.2514943991367393E-2</v>
      </c>
      <c r="G33" s="153" cm="1">
        <f t="array" ref="G33">_xll.BDP($C33&amp;" Equity","volatility_30d")/100</f>
        <v>0.1878917330448315</v>
      </c>
      <c r="K33" s="373" t="s">
        <v>1908</v>
      </c>
      <c r="L33" s="371">
        <v>-4.417355741073492E-3</v>
      </c>
      <c r="M33" s="374">
        <v>0.8713935949858026</v>
      </c>
      <c r="N33" s="372">
        <v>-1.9639449261911478E-2</v>
      </c>
      <c r="O33" s="372"/>
      <c r="P33" s="372">
        <v>-1.9639449261911478E-2</v>
      </c>
      <c r="R33" s="372"/>
    </row>
    <row r="34" spans="3:18" ht="15.75">
      <c r="C34" t="s">
        <v>85</v>
      </c>
      <c r="D34" s="276" cm="1">
        <f t="array" ref="D34">_xll.BDP(C34&amp;" EQUITY","eqy_beta")</f>
        <v>0.6282966136932373</v>
      </c>
      <c r="F34" s="153" cm="1">
        <f t="array" ref="F34">_xll.BDP($C34&amp;" Equity","volatility_10d")/100</f>
        <v>0.14583070433206113</v>
      </c>
      <c r="G34" s="153" cm="1">
        <f t="array" ref="G34">_xll.BDP($C34&amp;" Equity","volatility_30d")/100</f>
        <v>0.12834960837408013</v>
      </c>
      <c r="K34" s="376" t="s">
        <v>1879</v>
      </c>
      <c r="L34" s="377">
        <v>-1.068463658385139E-2</v>
      </c>
      <c r="M34" s="378">
        <v>-0.90024740598245501</v>
      </c>
      <c r="N34" s="379">
        <v>4.8096776346909318E-3</v>
      </c>
      <c r="O34" s="379">
        <v>5.1572351618506054E-3</v>
      </c>
      <c r="P34" s="379">
        <v>9.9669127965415355E-3</v>
      </c>
      <c r="R34" s="379"/>
    </row>
    <row r="35" spans="3:18" ht="15.75">
      <c r="C35" t="s">
        <v>96</v>
      </c>
      <c r="D35" s="276" cm="1">
        <f t="array" ref="D35">_xll.BDP(C35&amp;" EQUITY","eqy_beta")</f>
        <v>1.4806028604507446</v>
      </c>
      <c r="F35" s="153" cm="1">
        <f t="array" ref="F35">_xll.BDP($C35&amp;" Equity","volatility_10d")/100</f>
        <v>0.39226784270680859</v>
      </c>
      <c r="G35" s="153" cm="1">
        <f t="array" ref="G35">_xll.BDP($C35&amp;" Equity","volatility_30d")/100</f>
        <v>0.32949220328133544</v>
      </c>
      <c r="K35" s="373" t="s">
        <v>81</v>
      </c>
      <c r="L35" s="371">
        <v>-6.4136601179329844E-3</v>
      </c>
      <c r="M35" s="374">
        <v>-0.19767788893855778</v>
      </c>
      <c r="N35" s="372">
        <v>3.0623707295760953E-3</v>
      </c>
      <c r="O35" s="372">
        <v>0</v>
      </c>
      <c r="P35" s="372">
        <v>3.0623707295760953E-3</v>
      </c>
      <c r="R35" s="372"/>
    </row>
    <row r="36" spans="3:18" ht="15.75">
      <c r="C36" t="s">
        <v>94</v>
      </c>
      <c r="D36" s="276" cm="1">
        <f t="array" ref="D36">_xll.BDP(C36&amp;" EQUITY","eqy_beta")</f>
        <v>1.8499137163162231</v>
      </c>
      <c r="F36" s="153" cm="1">
        <f t="array" ref="F36">_xll.BDP($C36&amp;" Equity","volatility_10d")/100</f>
        <v>0.35161075959241489</v>
      </c>
      <c r="G36" s="153" cm="1">
        <f t="array" ref="G36">_xll.BDP($C36&amp;" Equity","volatility_30d")/100</f>
        <v>0.29857416685030874</v>
      </c>
      <c r="K36" s="373" t="s">
        <v>82</v>
      </c>
      <c r="L36" s="371">
        <v>4.6735154486730046E-3</v>
      </c>
      <c r="M36" s="374">
        <v>1.3065464514081379E-2</v>
      </c>
      <c r="N36" s="372">
        <v>2.8087049905996193E-4</v>
      </c>
      <c r="O36" s="372">
        <v>0</v>
      </c>
      <c r="P36" s="372">
        <v>2.8087049905996193E-4</v>
      </c>
      <c r="R36" s="372"/>
    </row>
    <row r="37" spans="3:18" ht="15.75">
      <c r="C37" t="s">
        <v>356</v>
      </c>
      <c r="D37" s="276" cm="1">
        <f t="array" ref="D37">_xll.BDP(C37&amp;" EQUITY","eqy_beta")</f>
        <v>1.6584094762802124</v>
      </c>
      <c r="F37" s="153" cm="1">
        <f t="array" ref="F37">_xll.BDP($C37&amp;" Equity","volatility_10d")/100</f>
        <v>0.87685001608861601</v>
      </c>
      <c r="G37" s="153" cm="1">
        <f t="array" ref="G37">_xll.BDP($C37&amp;" Equity","volatility_30d")/100</f>
        <v>0.84034913467745087</v>
      </c>
      <c r="K37" s="373" t="s">
        <v>83</v>
      </c>
      <c r="L37" s="371">
        <v>-1.9930069930069849E-2</v>
      </c>
      <c r="M37" s="374">
        <v>-0.4000142632662666</v>
      </c>
      <c r="N37" s="372">
        <v>0</v>
      </c>
      <c r="O37" s="372">
        <v>1.6318254484903006E-3</v>
      </c>
      <c r="P37" s="372">
        <v>1.6318254484903006E-3</v>
      </c>
      <c r="R37" s="372"/>
    </row>
    <row r="38" spans="3:18" ht="15.75">
      <c r="C38" t="s">
        <v>129</v>
      </c>
      <c r="D38" s="276" cm="1">
        <f t="array" ref="D38">_xll.BDP(C38&amp;" EQUITY","eqy_beta")</f>
        <v>1.1763453483581543</v>
      </c>
      <c r="F38" s="153" cm="1">
        <f t="array" ref="F38">_xll.BDP($C38&amp;" Equity","volatility_10d")/100</f>
        <v>0.18253633024338833</v>
      </c>
      <c r="G38" s="153" cm="1">
        <f t="array" ref="G38">_xll.BDP($C38&amp;" Equity","volatility_30d")/100</f>
        <v>0.23359207382617939</v>
      </c>
      <c r="K38" s="373" t="s">
        <v>399</v>
      </c>
      <c r="L38" s="371">
        <v>1.3128112267994929E-3</v>
      </c>
      <c r="M38" s="374">
        <v>7.9154304583226778E-3</v>
      </c>
      <c r="N38" s="372">
        <v>8.2776255868375693E-4</v>
      </c>
      <c r="O38" s="372">
        <v>5.6416207697500146E-4</v>
      </c>
      <c r="P38" s="372">
        <v>1.3919246356587584E-3</v>
      </c>
      <c r="R38" s="372"/>
    </row>
    <row r="39" spans="3:18" ht="15.75">
      <c r="C39" t="s">
        <v>128</v>
      </c>
      <c r="D39" s="276" cm="1">
        <f t="array" ref="D39">_xll.BDP(C39&amp;" EQUITY","eqy_beta")</f>
        <v>1.083756685256958</v>
      </c>
      <c r="F39" s="153" cm="1">
        <f t="array" ref="F39">_xll.BDP($C39&amp;" Equity","volatility_10d")/100</f>
        <v>0.22659724373305962</v>
      </c>
      <c r="G39" s="153" cm="1">
        <f t="array" ref="G39">_xll.BDP($C39&amp;" Equity","volatility_30d")/100</f>
        <v>0.18657421124934712</v>
      </c>
      <c r="K39" s="373" t="s">
        <v>499</v>
      </c>
      <c r="L39" s="371">
        <v>-2.3083787755390939E-2</v>
      </c>
      <c r="M39" s="374">
        <v>-0.25663139707509386</v>
      </c>
      <c r="N39" s="372">
        <v>6.3867384737111737E-4</v>
      </c>
      <c r="O39" s="372">
        <v>2.1555720957797475E-3</v>
      </c>
      <c r="P39" s="372">
        <v>2.794245943150865E-3</v>
      </c>
      <c r="Q39" s="372">
        <f>R39-P39</f>
        <v>-7.9424594315086498E-4</v>
      </c>
      <c r="R39" s="372">
        <v>2E-3</v>
      </c>
    </row>
    <row r="40" spans="3:18" ht="15.75">
      <c r="C40" t="s">
        <v>1678</v>
      </c>
      <c r="D40" s="276" cm="1">
        <f t="array" ref="D40">_xll.BDP(C40&amp;" EQUITY","eqy_beta")</f>
        <v>0.60368311405181885</v>
      </c>
      <c r="F40" s="153" cm="1">
        <f t="array" ref="F40">_xll.BDP($C40&amp;" Equity","volatility_10d")/100</f>
        <v>0.27474477443433382</v>
      </c>
      <c r="G40" s="153" cm="1">
        <f t="array" ref="G40">_xll.BDP($C40&amp;" Equity","volatility_30d")/100</f>
        <v>0.32981244507826951</v>
      </c>
      <c r="K40" s="373" t="s">
        <v>1911</v>
      </c>
      <c r="L40" s="371">
        <v>-8.2674772036475108E-3</v>
      </c>
      <c r="M40" s="374">
        <v>-6.6904751674940866E-2</v>
      </c>
      <c r="N40" s="372">
        <v>0</v>
      </c>
      <c r="O40" s="372">
        <v>8.0567554060555571E-4</v>
      </c>
      <c r="P40" s="372">
        <v>8.0567554060555571E-4</v>
      </c>
      <c r="R40" s="372"/>
    </row>
    <row r="41" spans="3:18" ht="15.75">
      <c r="C41" t="s">
        <v>1679</v>
      </c>
      <c r="D41" s="276" cm="1">
        <f t="array" ref="D41">_xll.BDP(C41&amp;" EQUITY","eqy_beta")</f>
        <v>0.53678721189498901</v>
      </c>
      <c r="F41" s="153" cm="1">
        <f t="array" ref="F41">_xll.BDP($C41&amp;" Equity","volatility_10d")/100</f>
        <v>0.26793723912565348</v>
      </c>
      <c r="G41" s="153" cm="1">
        <f t="array" ref="G41">_xll.BDP($C41&amp;" Equity","volatility_30d")/100</f>
        <v>0.24510357499729588</v>
      </c>
      <c r="K41" s="376" t="s">
        <v>1878</v>
      </c>
      <c r="L41" s="377">
        <v>-2.171898868541829E-2</v>
      </c>
      <c r="M41" s="378">
        <v>-2.1659089402196168</v>
      </c>
      <c r="N41" s="379">
        <v>7.426914807117521E-3</v>
      </c>
      <c r="O41" s="379">
        <v>1.0473448302227259E-2</v>
      </c>
      <c r="P41" s="379">
        <v>1.790069034429281E-2</v>
      </c>
      <c r="R41" s="379"/>
    </row>
    <row r="42" spans="3:18" ht="15.75">
      <c r="C42" t="s">
        <v>1680</v>
      </c>
      <c r="D42" s="276" cm="1">
        <f t="array" ref="D42">_xll.BDP(C42&amp;" EQUITY","eqy_beta")</f>
        <v>0.54387730360031128</v>
      </c>
      <c r="F42" s="153" cm="1">
        <f t="array" ref="F42">_xll.BDP($C42&amp;" Equity","volatility_10d")/100</f>
        <v>0.23464896628914814</v>
      </c>
      <c r="G42" s="153" cm="1">
        <f t="array" ref="G42">_xll.BDP($C42&amp;" Equity","volatility_30d")/100</f>
        <v>0.24487387592075607</v>
      </c>
      <c r="K42" s="373" t="s">
        <v>90</v>
      </c>
      <c r="L42" s="371">
        <v>-6.2572785972485057E-3</v>
      </c>
      <c r="M42" s="374">
        <v>-1.1994344461055253</v>
      </c>
      <c r="N42" s="372">
        <v>7.426914807117521E-3</v>
      </c>
      <c r="O42" s="372">
        <v>8.792129380292845E-3</v>
      </c>
      <c r="P42" s="372">
        <v>1.6219371422358395E-2</v>
      </c>
      <c r="Q42" s="372">
        <f>R42-P42</f>
        <v>-3.7193714223583939E-3</v>
      </c>
      <c r="R42" s="372">
        <v>1.2500000000000001E-2</v>
      </c>
    </row>
    <row r="43" spans="3:18" ht="15.75">
      <c r="C43" t="s">
        <v>1686</v>
      </c>
      <c r="D43" s="276" cm="1">
        <f t="array" ref="D43">_xll.BDP(C43&amp;" EQUITY","eqy_beta")</f>
        <v>0.74694424867630005</v>
      </c>
      <c r="F43" s="153" cm="1">
        <f t="array" ref="F43">_xll.BDP($C43&amp;" Equity","volatility_10d")/100</f>
        <v>0.20661314624778665</v>
      </c>
      <c r="G43" s="153" cm="1">
        <f t="array" ref="G43">_xll.BDP($C43&amp;" Equity","volatility_30d")/100</f>
        <v>0.20604225347454783</v>
      </c>
      <c r="K43" s="373" t="s">
        <v>1887</v>
      </c>
      <c r="L43" s="371">
        <v>-5.2642408861757861E-2</v>
      </c>
      <c r="M43" s="374">
        <v>-0.96647449411409159</v>
      </c>
      <c r="N43" s="372">
        <v>0</v>
      </c>
      <c r="O43" s="372">
        <v>1.6813189219344138E-3</v>
      </c>
      <c r="P43" s="372">
        <v>1.6813189219344138E-3</v>
      </c>
      <c r="Q43" s="372">
        <f>R43-P43</f>
        <v>-6.8131892193441378E-4</v>
      </c>
      <c r="R43" s="372">
        <v>1E-3</v>
      </c>
    </row>
    <row r="44" spans="3:18" ht="15.75">
      <c r="C44" t="s">
        <v>93</v>
      </c>
      <c r="D44" s="276" cm="1">
        <f t="array" ref="D44">_xll.BDP(C44&amp;" EQUITY","eqy_beta")</f>
        <v>0.65844494104385376</v>
      </c>
      <c r="F44" s="153" cm="1">
        <f t="array" ref="F44">_xll.BDP($C44&amp;" Equity","volatility_10d")/100</f>
        <v>0.81095555189280111</v>
      </c>
      <c r="G44" s="153" cm="1">
        <f t="array" ref="G44">_xll.BDP($C44&amp;" Equity","volatility_30d")/100</f>
        <v>0.66211413669189056</v>
      </c>
      <c r="K44" s="376" t="s">
        <v>1880</v>
      </c>
      <c r="L44" s="377">
        <v>-1.5317902816898016E-2</v>
      </c>
      <c r="M44" s="378">
        <v>-1.4805052895405777</v>
      </c>
      <c r="N44" s="379">
        <v>2.2698465837621799E-3</v>
      </c>
      <c r="O44" s="379">
        <v>9.6786193156367471E-3</v>
      </c>
      <c r="P44" s="379">
        <v>1.1948465899398925E-2</v>
      </c>
      <c r="R44" s="379"/>
    </row>
    <row r="45" spans="3:18" ht="15.75">
      <c r="C45" t="s">
        <v>92</v>
      </c>
      <c r="D45" s="276" cm="1">
        <f t="array" ref="D45">_xll.BDP(C45&amp;" EQUITY","eqy_beta")</f>
        <v>0.56344544887542725</v>
      </c>
      <c r="F45" s="153" cm="1">
        <f t="array" ref="F45">_xll.BDP($C45&amp;" Equity","volatility_10d")/100</f>
        <v>0.68652186619061839</v>
      </c>
      <c r="G45" s="153" cm="1">
        <f t="array" ref="G45">_xll.BDP($C45&amp;" Equity","volatility_30d")/100</f>
        <v>0.59399753848735792</v>
      </c>
      <c r="K45" s="373" t="s">
        <v>94</v>
      </c>
      <c r="L45" s="371">
        <v>-1.4552118141639703E-3</v>
      </c>
      <c r="M45" s="374">
        <v>-0.12432534684415254</v>
      </c>
      <c r="N45" s="372">
        <v>1.543887739934495E-3</v>
      </c>
      <c r="O45" s="372">
        <v>2.9553410385488818E-3</v>
      </c>
      <c r="P45" s="372">
        <v>4.4992287784833768E-3</v>
      </c>
      <c r="Q45" s="372">
        <f>R45-P45</f>
        <v>-9.9922877848337673E-4</v>
      </c>
      <c r="R45" s="372">
        <v>3.5000000000000001E-3</v>
      </c>
    </row>
    <row r="46" spans="3:18" ht="15.75">
      <c r="K46" s="373" t="s">
        <v>96</v>
      </c>
      <c r="L46" s="371">
        <v>-1.6534391534391513E-2</v>
      </c>
      <c r="M46" s="374">
        <v>-0.9982406526329215</v>
      </c>
      <c r="N46" s="372">
        <v>0</v>
      </c>
      <c r="O46" s="372">
        <v>5.1455045378578784E-3</v>
      </c>
      <c r="P46" s="372">
        <v>5.1455045378578784E-3</v>
      </c>
      <c r="Q46" s="372">
        <f>R46-P46</f>
        <v>-1.1455045378578783E-3</v>
      </c>
      <c r="R46" s="372">
        <v>4.0000000000000001E-3</v>
      </c>
    </row>
    <row r="47" spans="3:18" ht="15.75">
      <c r="K47" s="373" t="s">
        <v>1850</v>
      </c>
      <c r="L47" s="371">
        <v>-2.6798655211057065E-2</v>
      </c>
      <c r="M47" s="374">
        <v>1.5852618559466514E-2</v>
      </c>
      <c r="N47" s="372">
        <v>-7.9358043150606667E-4</v>
      </c>
      <c r="O47" s="372">
        <v>9.8607657949751791E-4</v>
      </c>
      <c r="P47" s="372">
        <v>1.9249614799145119E-4</v>
      </c>
      <c r="Q47" s="372">
        <f>R47-P47</f>
        <v>-1.9249614799145119E-4</v>
      </c>
      <c r="R47" s="372">
        <v>0</v>
      </c>
    </row>
    <row r="48" spans="3:18" ht="15.75">
      <c r="K48" s="373" t="s">
        <v>137</v>
      </c>
      <c r="L48" s="371">
        <v>-1.6483352707979515E-2</v>
      </c>
      <c r="M48" s="374">
        <v>-0.37379190862297018</v>
      </c>
      <c r="N48" s="372">
        <v>1.5195392753337515E-3</v>
      </c>
      <c r="O48" s="372">
        <v>5.9169715973246908E-4</v>
      </c>
      <c r="P48" s="372">
        <v>2.1112364350662207E-3</v>
      </c>
      <c r="Q48" s="372">
        <f>R48-P48</f>
        <v>-6.1123643506622071E-4</v>
      </c>
      <c r="R48" s="372">
        <v>1.5E-3</v>
      </c>
    </row>
    <row r="49" spans="11:18" ht="15.75">
      <c r="K49" s="376" t="s">
        <v>1677</v>
      </c>
      <c r="L49" s="377">
        <v>-8.4026174193907455E-4</v>
      </c>
      <c r="M49" s="378">
        <v>-1.7578782910323221E-2</v>
      </c>
      <c r="N49" s="379">
        <v>-1.5669404759838411E-3</v>
      </c>
      <c r="O49" s="379">
        <v>2.4004823085147778E-3</v>
      </c>
      <c r="P49" s="379">
        <v>8.3354183253093669E-4</v>
      </c>
      <c r="R49" s="379"/>
    </row>
    <row r="50" spans="11:18" ht="15.75">
      <c r="K50" s="373" t="s">
        <v>1678</v>
      </c>
      <c r="L50" s="371">
        <v>-1.2919896640827266E-3</v>
      </c>
      <c r="M50" s="374">
        <v>-7.1821978952513466E-2</v>
      </c>
      <c r="N50" s="372">
        <v>1.3471744978480506E-3</v>
      </c>
      <c r="O50" s="372">
        <v>2.4004823085147778E-3</v>
      </c>
      <c r="P50" s="372">
        <v>3.7476568063628283E-3</v>
      </c>
      <c r="R50" s="372"/>
    </row>
    <row r="51" spans="11:18" ht="15.75">
      <c r="K51" s="373" t="s">
        <v>1679</v>
      </c>
      <c r="L51" s="371">
        <v>7.8093442843678584E-3</v>
      </c>
      <c r="M51" s="374">
        <v>-9.7169632839115672E-2</v>
      </c>
      <c r="N51" s="372">
        <v>-1.2539908651737638E-3</v>
      </c>
      <c r="O51" s="372">
        <v>0</v>
      </c>
      <c r="P51" s="372">
        <v>-1.2539908651737638E-3</v>
      </c>
      <c r="R51" s="372"/>
    </row>
    <row r="52" spans="11:18" ht="15.75">
      <c r="K52" s="373" t="s">
        <v>1680</v>
      </c>
      <c r="L52" s="371">
        <v>-9.0381398461023554E-3</v>
      </c>
      <c r="M52" s="374">
        <v>0.15141282888130592</v>
      </c>
      <c r="N52" s="372">
        <v>-1.6601241086581279E-3</v>
      </c>
      <c r="O52" s="372">
        <v>0</v>
      </c>
      <c r="P52" s="372">
        <v>-1.6601241086581279E-3</v>
      </c>
      <c r="R52" s="372"/>
    </row>
    <row r="53" spans="11:18" ht="15.75">
      <c r="K53" s="376" t="s">
        <v>1895</v>
      </c>
      <c r="L53" s="377">
        <v>8.5655571165981219E-4</v>
      </c>
      <c r="M53" s="378">
        <v>0.30047010447379285</v>
      </c>
      <c r="N53" s="379">
        <v>2.4558330120338706E-3</v>
      </c>
      <c r="O53" s="379">
        <v>4.083701484987501E-3</v>
      </c>
      <c r="P53" s="379">
        <v>6.5395344970213716E-3</v>
      </c>
      <c r="R53" s="379"/>
    </row>
    <row r="54" spans="11:18" ht="15.75">
      <c r="K54" s="373" t="s">
        <v>92</v>
      </c>
      <c r="L54" s="371">
        <v>-2.0689655172413945E-2</v>
      </c>
      <c r="M54" s="374">
        <v>-0.14686408904255172</v>
      </c>
      <c r="N54" s="372">
        <v>6.9515668813474141E-4</v>
      </c>
      <c r="O54" s="372">
        <v>0</v>
      </c>
      <c r="P54" s="372">
        <v>6.9515668813474141E-4</v>
      </c>
      <c r="R54" s="372"/>
    </row>
    <row r="55" spans="11:18" ht="15.75">
      <c r="K55" s="373" t="s">
        <v>93</v>
      </c>
      <c r="L55" s="371">
        <v>-2.6907036189963707E-3</v>
      </c>
      <c r="M55" s="374">
        <v>-1.8493996397951615E-2</v>
      </c>
      <c r="N55" s="372">
        <v>4.83868218698858E-4</v>
      </c>
      <c r="O55" s="372">
        <v>2.5123589968408243E-4</v>
      </c>
      <c r="P55" s="372">
        <v>7.3510411838294048E-4</v>
      </c>
      <c r="R55" s="372"/>
    </row>
    <row r="56" spans="11:18" ht="15.75">
      <c r="K56" s="373" t="s">
        <v>1693</v>
      </c>
      <c r="L56" s="371">
        <v>6.5590866677642801E-3</v>
      </c>
      <c r="M56" s="374">
        <v>0.11670799609248043</v>
      </c>
      <c r="N56" s="372">
        <v>1.276808105200271E-3</v>
      </c>
      <c r="O56" s="372">
        <v>6.7729666444606672E-4</v>
      </c>
      <c r="P56" s="372">
        <v>1.9541047696463375E-3</v>
      </c>
      <c r="R56" s="372"/>
    </row>
    <row r="57" spans="11:18" ht="15.75">
      <c r="K57" s="373" t="s">
        <v>484</v>
      </c>
      <c r="L57" s="371">
        <v>8.594130047024473E-3</v>
      </c>
      <c r="M57" s="374">
        <v>0.16635599412441882</v>
      </c>
      <c r="N57" s="372">
        <v>0</v>
      </c>
      <c r="O57" s="372">
        <v>1.544348871542936E-3</v>
      </c>
      <c r="P57" s="372">
        <v>1.544348871542936E-3</v>
      </c>
      <c r="R57" s="372"/>
    </row>
    <row r="58" spans="11:18" ht="15.75">
      <c r="K58" s="373" t="s">
        <v>1910</v>
      </c>
      <c r="L58" s="371">
        <v>1.2509920634920624E-2</v>
      </c>
      <c r="M58" s="374">
        <v>0.18276419969739696</v>
      </c>
      <c r="N58" s="372">
        <v>0</v>
      </c>
      <c r="O58" s="372">
        <v>1.6108200493144163E-3</v>
      </c>
      <c r="P58" s="372">
        <v>1.6108200493144163E-3</v>
      </c>
      <c r="R58" s="372"/>
    </row>
    <row r="59" spans="11:18" ht="15.75">
      <c r="K59" s="380" t="s">
        <v>97</v>
      </c>
      <c r="L59" s="381">
        <v>-8.037222487176969E-3</v>
      </c>
      <c r="M59" s="382">
        <v>-4.2480548993153455</v>
      </c>
      <c r="N59" s="383">
        <v>6.0748468456893858E-3</v>
      </c>
      <c r="O59" s="383">
        <v>3.17934865732169E-2</v>
      </c>
      <c r="P59" s="383">
        <v>3.7868660653854309E-2</v>
      </c>
      <c r="R59" s="383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2" priority="6" operator="lessThan">
      <formula>0</formula>
    </cfRule>
  </conditionalFormatting>
  <conditionalFormatting sqref="L23:O59">
    <cfRule type="cellIs" dxfId="1661" priority="5" operator="lessThan">
      <formula>0</formula>
    </cfRule>
  </conditionalFormatting>
  <conditionalFormatting sqref="R23:R59">
    <cfRule type="cellIs" dxfId="1660" priority="4" operator="lessThan">
      <formula>0</formula>
    </cfRule>
  </conditionalFormatting>
  <conditionalFormatting sqref="Q45:Q48">
    <cfRule type="cellIs" dxfId="1659" priority="3" operator="lessThan">
      <formula>0</formula>
    </cfRule>
  </conditionalFormatting>
  <conditionalFormatting sqref="Q42:Q43">
    <cfRule type="cellIs" dxfId="1658" priority="2" operator="lessThan">
      <formula>0</formula>
    </cfRule>
  </conditionalFormatting>
  <conditionalFormatting sqref="Q39">
    <cfRule type="cellIs" dxfId="1657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0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90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80">
        <v>45960</v>
      </c>
      <c r="F5" s="267">
        <v>140</v>
      </c>
      <c r="G5" s="267" t="s">
        <v>1976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1975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1970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1973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1974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1960</v>
      </c>
      <c r="E6" s="388" t="s">
        <v>1962</v>
      </c>
      <c r="F6" s="57" t="s">
        <v>1961</v>
      </c>
      <c r="G6" s="388" t="s">
        <v>1962</v>
      </c>
      <c r="H6" s="388" t="s">
        <v>1963</v>
      </c>
      <c r="J6" s="57"/>
      <c r="K6" s="57"/>
      <c r="L6" s="57" t="s">
        <v>1960</v>
      </c>
      <c r="M6" s="388" t="s">
        <v>1962</v>
      </c>
      <c r="N6" s="57" t="s">
        <v>1961</v>
      </c>
      <c r="O6" s="388" t="s">
        <v>1962</v>
      </c>
      <c r="P6" s="57" t="s">
        <v>1964</v>
      </c>
      <c r="Q6" s="388" t="s">
        <v>1962</v>
      </c>
      <c r="R6" s="388" t="s">
        <v>1963</v>
      </c>
      <c r="T6" s="57"/>
      <c r="U6" s="57"/>
      <c r="V6" s="57" t="s">
        <v>1960</v>
      </c>
      <c r="W6" s="388" t="s">
        <v>1962</v>
      </c>
      <c r="X6" s="57" t="s">
        <v>1961</v>
      </c>
      <c r="Y6" s="388" t="s">
        <v>1962</v>
      </c>
      <c r="Z6" s="57" t="s">
        <v>1964</v>
      </c>
      <c r="AA6" s="388" t="s">
        <v>1962</v>
      </c>
      <c r="AB6" s="388" t="s">
        <v>1963</v>
      </c>
    </row>
    <row r="7" spans="2:28">
      <c r="B7" t="s">
        <v>1958</v>
      </c>
      <c r="C7" s="386">
        <v>45658</v>
      </c>
      <c r="D7">
        <v>30</v>
      </c>
      <c r="E7" s="387">
        <f>D7/15.9</f>
        <v>1.8867924528301887</v>
      </c>
      <c r="F7">
        <v>45</v>
      </c>
      <c r="G7" s="387">
        <f>F7/15.9</f>
        <v>2.8301886792452828</v>
      </c>
      <c r="H7" s="389">
        <v>1.55</v>
      </c>
      <c r="J7" t="s">
        <v>1958</v>
      </c>
      <c r="K7" s="386">
        <v>45658</v>
      </c>
      <c r="L7">
        <v>31.5</v>
      </c>
      <c r="M7" s="387">
        <f>L7/15.9</f>
        <v>1.9811320754716981</v>
      </c>
      <c r="N7">
        <v>23</v>
      </c>
      <c r="O7" s="387">
        <f>N7/15.9</f>
        <v>1.4465408805031446</v>
      </c>
      <c r="P7">
        <v>43</v>
      </c>
      <c r="Q7" s="387">
        <f>P7/15.9</f>
        <v>2.7044025157232703</v>
      </c>
      <c r="R7" s="389">
        <v>-6.2</v>
      </c>
      <c r="T7" t="s">
        <v>1958</v>
      </c>
      <c r="U7" s="386">
        <v>45658</v>
      </c>
      <c r="V7">
        <v>31.5</v>
      </c>
      <c r="W7" s="387">
        <f>V7/15.9</f>
        <v>1.9811320754716981</v>
      </c>
      <c r="X7">
        <v>23</v>
      </c>
      <c r="Y7" s="387">
        <f>X7/15.9</f>
        <v>1.4465408805031446</v>
      </c>
      <c r="Z7">
        <v>43</v>
      </c>
      <c r="AA7" s="387">
        <f>Z7/15.9</f>
        <v>2.7044025157232703</v>
      </c>
      <c r="AB7" s="389">
        <v>-6.2</v>
      </c>
    </row>
    <row r="8" spans="2:28">
      <c r="B8" t="s">
        <v>1955</v>
      </c>
      <c r="C8" s="386">
        <v>45748</v>
      </c>
      <c r="D8">
        <v>67</v>
      </c>
      <c r="E8" s="387">
        <f>D8/15.9</f>
        <v>4.2138364779874209</v>
      </c>
      <c r="F8">
        <v>47</v>
      </c>
      <c r="G8" s="387">
        <f>F8/15.9</f>
        <v>2.9559748427672954</v>
      </c>
      <c r="H8" s="389">
        <v>4.2300000000000004</v>
      </c>
      <c r="J8" t="s">
        <v>1955</v>
      </c>
      <c r="K8" s="386">
        <v>45748</v>
      </c>
      <c r="L8">
        <v>41.2</v>
      </c>
      <c r="M8" s="387">
        <f>L8/15.9</f>
        <v>2.5911949685534594</v>
      </c>
      <c r="N8">
        <v>32</v>
      </c>
      <c r="O8" s="387">
        <f t="shared" ref="O8:Q10" si="0">N8/15.9</f>
        <v>2.0125786163522013</v>
      </c>
      <c r="P8">
        <v>32</v>
      </c>
      <c r="Q8" s="387">
        <f t="shared" si="0"/>
        <v>2.0125786163522013</v>
      </c>
      <c r="R8" s="389">
        <v>7.6</v>
      </c>
      <c r="T8" t="s">
        <v>1955</v>
      </c>
      <c r="U8" s="386">
        <v>45748</v>
      </c>
      <c r="V8">
        <v>41.2</v>
      </c>
      <c r="W8" s="387">
        <f>V8/15.9</f>
        <v>2.5911949685534594</v>
      </c>
      <c r="X8">
        <v>32</v>
      </c>
      <c r="Y8" s="387">
        <f>X8/15.9</f>
        <v>2.0125786163522013</v>
      </c>
      <c r="Z8">
        <v>32</v>
      </c>
      <c r="AA8" s="387">
        <f>Z8/15.9</f>
        <v>2.0125786163522013</v>
      </c>
      <c r="AB8" s="389">
        <v>7.6</v>
      </c>
    </row>
    <row r="9" spans="2:28">
      <c r="B9" t="s">
        <v>1956</v>
      </c>
      <c r="C9" s="386">
        <v>45839</v>
      </c>
      <c r="D9">
        <v>21</v>
      </c>
      <c r="E9" s="387">
        <f>D9/15.9</f>
        <v>1.320754716981132</v>
      </c>
      <c r="F9">
        <v>36</v>
      </c>
      <c r="G9" s="387">
        <f>F9/15.9</f>
        <v>2.2641509433962264</v>
      </c>
      <c r="H9" s="389">
        <v>11.25</v>
      </c>
      <c r="J9" t="s">
        <v>1956</v>
      </c>
      <c r="K9" s="386">
        <v>45839</v>
      </c>
      <c r="L9">
        <v>11.5</v>
      </c>
      <c r="M9" s="387">
        <f>L9/15.9</f>
        <v>0.72327044025157228</v>
      </c>
      <c r="N9">
        <v>23</v>
      </c>
      <c r="O9" s="387">
        <f t="shared" si="0"/>
        <v>1.4465408805031446</v>
      </c>
      <c r="P9">
        <v>23</v>
      </c>
      <c r="Q9" s="387">
        <f t="shared" si="0"/>
        <v>1.4465408805031446</v>
      </c>
      <c r="R9" s="389">
        <v>3.95</v>
      </c>
      <c r="T9" t="s">
        <v>1956</v>
      </c>
      <c r="U9" s="386">
        <v>45839</v>
      </c>
      <c r="V9">
        <v>11.5</v>
      </c>
      <c r="W9" s="387">
        <f>V9/15.9</f>
        <v>0.72327044025157228</v>
      </c>
      <c r="X9">
        <v>23</v>
      </c>
      <c r="Y9" s="387">
        <f>X9/15.9</f>
        <v>1.4465408805031446</v>
      </c>
      <c r="Z9">
        <v>23</v>
      </c>
      <c r="AA9" s="387">
        <f>Z9/15.9</f>
        <v>1.4465408805031446</v>
      </c>
      <c r="AB9" s="389">
        <v>3.95</v>
      </c>
    </row>
    <row r="10" spans="2:28">
      <c r="B10" t="s">
        <v>1957</v>
      </c>
      <c r="C10" s="386">
        <v>45931</v>
      </c>
      <c r="D10">
        <v>23</v>
      </c>
      <c r="E10" s="387">
        <f>D10/15.9</f>
        <v>1.4465408805031446</v>
      </c>
      <c r="F10">
        <v>41</v>
      </c>
      <c r="G10" s="387">
        <f>F10/15.9</f>
        <v>2.5786163522012577</v>
      </c>
      <c r="H10" s="389">
        <v>-11.33</v>
      </c>
      <c r="J10" t="s">
        <v>1957</v>
      </c>
      <c r="K10" s="386">
        <v>45931</v>
      </c>
      <c r="L10">
        <v>15.1</v>
      </c>
      <c r="M10" s="387">
        <f>L10/15.9</f>
        <v>0.94968553459119498</v>
      </c>
      <c r="N10">
        <v>30</v>
      </c>
      <c r="O10" s="387">
        <f t="shared" si="0"/>
        <v>1.8867924528301887</v>
      </c>
      <c r="P10">
        <v>30</v>
      </c>
      <c r="Q10" s="387">
        <f t="shared" si="0"/>
        <v>1.8867924528301887</v>
      </c>
      <c r="R10" s="389">
        <v>-2.9</v>
      </c>
      <c r="T10" t="s">
        <v>1957</v>
      </c>
      <c r="U10" s="386">
        <v>45931</v>
      </c>
      <c r="V10">
        <v>15.1</v>
      </c>
      <c r="W10" s="387">
        <f>V10/15.9</f>
        <v>0.94968553459119498</v>
      </c>
      <c r="X10">
        <v>30</v>
      </c>
      <c r="Y10" s="387">
        <f>X10/15.9</f>
        <v>1.8867924528301887</v>
      </c>
      <c r="Z10">
        <v>30</v>
      </c>
      <c r="AA10" s="387">
        <f>Z10/15.9</f>
        <v>1.8867924528301887</v>
      </c>
      <c r="AB10" s="389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2" zoomScale="80" zoomScaleNormal="80" zoomScaleSheetLayoutView="85" workbookViewId="0">
      <selection activeCell="G29" sqref="G29"/>
    </sheetView>
  </sheetViews>
  <sheetFormatPr defaultColWidth="9.140625" defaultRowHeight="15.75" outlineLevelCol="1"/>
  <cols>
    <col min="1" max="1" width="18.5703125" style="282" bestFit="1" customWidth="1"/>
    <col min="2" max="2" width="10.140625" style="283" bestFit="1" customWidth="1" outlineLevel="1"/>
    <col min="3" max="5" width="9.28515625" style="284" customWidth="1" outlineLevel="1"/>
    <col min="6" max="6" width="8.4257812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-0.35436235112879666</v>
      </c>
      <c r="F4" s="284">
        <f>'Master P&amp;L'!U5</f>
        <v>2.4733721736894553E-2</v>
      </c>
    </row>
    <row r="5" spans="1:28">
      <c r="A5" s="297" t="s">
        <v>65</v>
      </c>
      <c r="C5" s="298">
        <f>'Master P&amp;L'!V6</f>
        <v>-0.27618961837499539</v>
      </c>
      <c r="F5" s="284">
        <f>'Master P&amp;L'!U6</f>
        <v>-6.4714189032659322E-3</v>
      </c>
    </row>
    <row r="6" spans="1:28" s="304" customFormat="1">
      <c r="A6" s="299" t="s">
        <v>66</v>
      </c>
      <c r="B6" s="300"/>
      <c r="C6" s="301">
        <f>'Master P&amp;L'!V7</f>
        <v>-0.630551969503792</v>
      </c>
      <c r="D6" s="302"/>
      <c r="E6" s="302"/>
      <c r="F6" s="302">
        <f>'Master P&amp;L'!U7</f>
        <v>1.8262302833628619E-2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3.1205140640160486E-2</v>
      </c>
    </row>
    <row r="8" spans="1:28">
      <c r="A8" s="306" t="s">
        <v>68</v>
      </c>
      <c r="B8" s="307"/>
      <c r="C8" s="308">
        <f>'Master P&amp;L'!V7*'Master P&amp;L'!AD5/10000</f>
        <v>-141624.18357019834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-735001.18789261533</v>
      </c>
      <c r="D9" s="312"/>
      <c r="E9" s="312"/>
      <c r="F9" s="312"/>
      <c r="G9" s="313"/>
      <c r="H9" s="312"/>
    </row>
    <row r="10" spans="1:28">
      <c r="A10" s="437" t="s">
        <v>2125</v>
      </c>
      <c r="B10" s="440">
        <f>Options!AI1</f>
        <v>-55.756043230941934</v>
      </c>
      <c r="H10" s="286"/>
    </row>
    <row r="11" spans="1:28">
      <c r="A11" s="314">
        <f ca="1">TODAY()</f>
        <v>46051</v>
      </c>
      <c r="H11" s="286"/>
      <c r="L11" s="284"/>
    </row>
    <row r="12" spans="1:28" s="365" customFormat="1" ht="47.25">
      <c r="A12" s="546" t="s">
        <v>72</v>
      </c>
      <c r="B12" s="553" t="s">
        <v>73</v>
      </c>
      <c r="C12" s="547" t="s">
        <v>74</v>
      </c>
      <c r="D12" s="547" t="s">
        <v>75</v>
      </c>
      <c r="E12" s="547" t="s">
        <v>76</v>
      </c>
      <c r="F12" s="547" t="s">
        <v>77</v>
      </c>
      <c r="G12" s="364"/>
      <c r="I12" s="366"/>
      <c r="L12" s="315"/>
      <c r="AA12" s="367"/>
      <c r="AB12" s="367"/>
    </row>
    <row r="13" spans="1:28">
      <c r="A13" s="552" t="s">
        <v>1907</v>
      </c>
      <c r="B13" s="551">
        <v>-2.0951803801783444E-3</v>
      </c>
      <c r="C13" s="548">
        <v>1.3632051748062167E-2</v>
      </c>
      <c r="D13" s="550">
        <v>7.7247861920856273E-4</v>
      </c>
      <c r="E13" s="550">
        <v>3.8323746504286368E-4</v>
      </c>
      <c r="F13" s="550">
        <v>1.1557160842514264E-3</v>
      </c>
      <c r="G13" s="316"/>
      <c r="H13" s="286"/>
      <c r="L13" s="316"/>
    </row>
    <row r="14" spans="1:28">
      <c r="A14" s="549" t="s">
        <v>38</v>
      </c>
      <c r="B14" s="551">
        <v>7.2786690433750412E-3</v>
      </c>
      <c r="C14" s="548">
        <v>4.6270216973962199E-2</v>
      </c>
      <c r="D14" s="550">
        <v>2.9714367151111981E-4</v>
      </c>
      <c r="E14" s="550">
        <v>3.8323746504286368E-4</v>
      </c>
      <c r="F14" s="550">
        <v>6.8038113655398348E-4</v>
      </c>
      <c r="G14" s="316"/>
      <c r="H14" s="286"/>
      <c r="I14" s="285"/>
      <c r="L14" s="316"/>
    </row>
    <row r="15" spans="1:28">
      <c r="A15" s="549" t="s">
        <v>2141</v>
      </c>
      <c r="B15" s="551">
        <v>-5.7081245639625244E-3</v>
      </c>
      <c r="C15" s="548">
        <v>-1.3183571158961013E-2</v>
      </c>
      <c r="D15" s="550">
        <v>2.2964316117670785E-4</v>
      </c>
      <c r="E15" s="550">
        <v>0</v>
      </c>
      <c r="F15" s="550">
        <v>2.2964316117670785E-4</v>
      </c>
      <c r="G15" s="316"/>
      <c r="H15" s="286"/>
      <c r="I15" s="285"/>
      <c r="L15" s="316"/>
    </row>
    <row r="16" spans="1:28">
      <c r="A16" s="549" t="s">
        <v>461</v>
      </c>
      <c r="B16" s="551">
        <v>-7.8560856199475504E-3</v>
      </c>
      <c r="C16" s="548">
        <v>-1.9454594066939022E-2</v>
      </c>
      <c r="D16" s="550">
        <v>2.4569178652073507E-4</v>
      </c>
      <c r="E16" s="550">
        <v>0</v>
      </c>
      <c r="F16" s="550">
        <v>2.4569178652073507E-4</v>
      </c>
      <c r="G16" s="316"/>
      <c r="H16" s="286"/>
      <c r="I16" s="285"/>
      <c r="L16" s="316"/>
    </row>
    <row r="17" spans="1:12">
      <c r="A17" s="552" t="s">
        <v>78</v>
      </c>
      <c r="B17" s="551">
        <v>-2.0597300651113148E-3</v>
      </c>
      <c r="C17" s="548">
        <v>-0.16874261616203501</v>
      </c>
      <c r="D17" s="550">
        <v>-1.8938512970112912E-3</v>
      </c>
      <c r="E17" s="550">
        <v>-2.8966506937808932E-3</v>
      </c>
      <c r="F17" s="550">
        <v>-4.7905019907921844E-3</v>
      </c>
      <c r="G17" s="316"/>
      <c r="H17" s="286"/>
      <c r="I17" s="285"/>
      <c r="L17" s="316"/>
    </row>
    <row r="18" spans="1:12">
      <c r="A18" s="549" t="s">
        <v>3</v>
      </c>
      <c r="B18" s="551">
        <v>8.8592217169432741E-4</v>
      </c>
      <c r="C18" s="548">
        <v>-6.0757524760286091E-2</v>
      </c>
      <c r="D18" s="550">
        <v>-1.8938512970112912E-3</v>
      </c>
      <c r="E18" s="550">
        <v>0</v>
      </c>
      <c r="F18" s="550">
        <v>-1.8938512970112912E-3</v>
      </c>
      <c r="G18" s="316"/>
      <c r="H18" s="286"/>
      <c r="I18" s="285"/>
      <c r="L18" s="316"/>
    </row>
    <row r="19" spans="1:12">
      <c r="A19" s="549" t="s">
        <v>135</v>
      </c>
      <c r="B19" s="551">
        <v>-1.0896686775528241E-2</v>
      </c>
      <c r="C19" s="548">
        <v>-0.10798509140174892</v>
      </c>
      <c r="D19" s="550">
        <v>0</v>
      </c>
      <c r="E19" s="550">
        <v>-2.8966506937808932E-3</v>
      </c>
      <c r="F19" s="550">
        <v>-2.8966506937808932E-3</v>
      </c>
      <c r="G19" s="316"/>
      <c r="H19" s="286"/>
      <c r="I19" s="285"/>
      <c r="L19" s="316"/>
    </row>
    <row r="20" spans="1:12">
      <c r="A20" s="552" t="s">
        <v>2138</v>
      </c>
      <c r="B20" s="551">
        <v>-3.6719728997756745E-2</v>
      </c>
      <c r="C20" s="548">
        <v>-0.71177220113153716</v>
      </c>
      <c r="D20" s="550">
        <v>1.3178410201926296E-3</v>
      </c>
      <c r="E20" s="550">
        <v>4.3438964390523391E-4</v>
      </c>
      <c r="F20" s="550">
        <v>1.7522306640978635E-3</v>
      </c>
      <c r="G20" s="316"/>
      <c r="H20" s="286"/>
      <c r="L20" s="316"/>
    </row>
    <row r="21" spans="1:12">
      <c r="A21" s="549" t="s">
        <v>131</v>
      </c>
      <c r="B21" s="551">
        <v>-3.6719728997756745E-2</v>
      </c>
      <c r="C21" s="548">
        <v>-0.71177220113153716</v>
      </c>
      <c r="D21" s="550">
        <v>1.3178410201926296E-3</v>
      </c>
      <c r="E21" s="550">
        <v>4.3438964390523391E-4</v>
      </c>
      <c r="F21" s="550">
        <v>1.7522306640978635E-3</v>
      </c>
      <c r="G21" s="316"/>
      <c r="H21" s="286"/>
      <c r="I21" s="285"/>
      <c r="L21" s="316"/>
    </row>
    <row r="22" spans="1:12">
      <c r="A22" s="552" t="s">
        <v>1880</v>
      </c>
      <c r="B22" s="551">
        <v>-8.3172485383399275E-3</v>
      </c>
      <c r="C22" s="548">
        <v>-1.4101570721049754</v>
      </c>
      <c r="D22" s="550">
        <v>2.0110640134929059E-3</v>
      </c>
      <c r="E22" s="550">
        <v>6.2448237550087552E-3</v>
      </c>
      <c r="F22" s="550">
        <v>8.2558877685016598E-3</v>
      </c>
      <c r="G22" s="316"/>
      <c r="H22" s="286"/>
      <c r="I22" s="285"/>
      <c r="L22" s="316"/>
    </row>
    <row r="23" spans="1:12">
      <c r="A23" s="549" t="s">
        <v>94</v>
      </c>
      <c r="B23" s="551">
        <v>-2.0102339181287121E-3</v>
      </c>
      <c r="C23" s="548">
        <v>-0.31853235681513137</v>
      </c>
      <c r="D23" s="550">
        <v>1.0774936380755552E-3</v>
      </c>
      <c r="E23" s="550">
        <v>5.8282808245257002E-4</v>
      </c>
      <c r="F23" s="550">
        <v>1.660321720528125E-3</v>
      </c>
      <c r="G23" s="316"/>
      <c r="H23" s="286"/>
      <c r="I23" s="285"/>
      <c r="L23" s="316"/>
    </row>
    <row r="24" spans="1:12">
      <c r="A24" s="549" t="s">
        <v>96</v>
      </c>
      <c r="B24" s="551">
        <v>-1.8378421884691631E-3</v>
      </c>
      <c r="C24" s="548">
        <v>-1.0328832878360439</v>
      </c>
      <c r="D24" s="550">
        <v>7.2995443409751173E-4</v>
      </c>
      <c r="E24" s="550">
        <v>4.8605396114846768E-3</v>
      </c>
      <c r="F24" s="550">
        <v>5.5904940455821879E-3</v>
      </c>
      <c r="G24" s="316"/>
      <c r="H24" s="291"/>
      <c r="I24" s="285"/>
      <c r="L24" s="316"/>
    </row>
    <row r="25" spans="1:12">
      <c r="A25" s="549" t="s">
        <v>137</v>
      </c>
      <c r="B25" s="551">
        <v>-3.9995163781442744E-3</v>
      </c>
      <c r="C25" s="548">
        <v>-0.13130361113922778</v>
      </c>
      <c r="D25" s="550">
        <v>2.0525618373485477E-4</v>
      </c>
      <c r="E25" s="550">
        <v>8.1576989194056886E-4</v>
      </c>
      <c r="F25" s="550">
        <v>1.0210260756754236E-3</v>
      </c>
      <c r="G25" s="316"/>
      <c r="H25" s="291"/>
      <c r="I25" s="285"/>
      <c r="L25" s="316"/>
    </row>
    <row r="26" spans="1:12">
      <c r="A26" s="549" t="s">
        <v>138</v>
      </c>
      <c r="B26" s="551">
        <v>-4.0779717770868307E-2</v>
      </c>
      <c r="C26" s="548">
        <v>0.11139508322139938</v>
      </c>
      <c r="D26" s="550">
        <v>-1.6402424150159602E-6</v>
      </c>
      <c r="E26" s="550">
        <v>-2.4997373076279138E-4</v>
      </c>
      <c r="F26" s="550">
        <v>-2.5161397317780736E-4</v>
      </c>
      <c r="G26" s="316"/>
      <c r="H26" s="286"/>
      <c r="I26" s="285"/>
      <c r="L26" s="316"/>
    </row>
    <row r="27" spans="1:12">
      <c r="A27" s="549" t="s">
        <v>708</v>
      </c>
      <c r="B27" s="551">
        <v>-6.036659742247763E-3</v>
      </c>
      <c r="C27" s="548">
        <v>-3.8832899535971958E-2</v>
      </c>
      <c r="D27" s="550">
        <v>0</v>
      </c>
      <c r="E27" s="550">
        <v>2.356598998937297E-4</v>
      </c>
      <c r="F27" s="550">
        <v>2.3565989989372973E-4</v>
      </c>
      <c r="G27" s="316"/>
      <c r="H27" s="291"/>
      <c r="I27" s="285"/>
      <c r="L27" s="316"/>
    </row>
    <row r="28" spans="1:12">
      <c r="A28" s="552" t="s">
        <v>2137</v>
      </c>
      <c r="B28" s="551">
        <v>6.1749967921557458E-3</v>
      </c>
      <c r="C28" s="548">
        <v>-0.27414073683372503</v>
      </c>
      <c r="D28" s="550">
        <v>2.6005425258551016E-3</v>
      </c>
      <c r="E28" s="550">
        <v>0</v>
      </c>
      <c r="F28" s="550">
        <v>2.6005425258551016E-3</v>
      </c>
      <c r="G28" s="316"/>
      <c r="H28" s="286"/>
      <c r="I28" s="285"/>
      <c r="L28" s="316"/>
    </row>
    <row r="29" spans="1:12">
      <c r="A29" s="549" t="s">
        <v>1754</v>
      </c>
      <c r="B29" s="551">
        <v>3.0625810892270788E-4</v>
      </c>
      <c r="C29" s="548">
        <v>-0.40133812103769184</v>
      </c>
      <c r="D29" s="550">
        <v>2.0529577868570242E-3</v>
      </c>
      <c r="E29" s="550">
        <v>0</v>
      </c>
      <c r="F29" s="550">
        <v>2.0529577868570242E-3</v>
      </c>
      <c r="G29" s="316"/>
      <c r="H29" s="286"/>
      <c r="I29" s="285"/>
      <c r="L29" s="316"/>
    </row>
    <row r="30" spans="1:12">
      <c r="A30" s="549" t="s">
        <v>2276</v>
      </c>
      <c r="B30" s="551">
        <v>2.378121284185486E-2</v>
      </c>
      <c r="C30" s="548">
        <v>0.12719738420396681</v>
      </c>
      <c r="D30" s="550">
        <v>5.4758473899807719E-4</v>
      </c>
      <c r="E30" s="550">
        <v>0</v>
      </c>
      <c r="F30" s="550">
        <v>5.4758473899807719E-4</v>
      </c>
      <c r="G30" s="316"/>
      <c r="H30" s="286"/>
      <c r="I30" s="285"/>
      <c r="L30" s="316"/>
    </row>
    <row r="31" spans="1:12">
      <c r="A31" s="552" t="s">
        <v>2064</v>
      </c>
      <c r="B31" s="551">
        <v>-1.3193587656348527E-2</v>
      </c>
      <c r="C31" s="548">
        <v>-0.395635041613079</v>
      </c>
      <c r="D31" s="550">
        <v>1.4601101282905636E-3</v>
      </c>
      <c r="E31" s="550">
        <v>4.4473622038746765E-4</v>
      </c>
      <c r="F31" s="550">
        <v>1.9048463486780315E-3</v>
      </c>
      <c r="G31" s="316"/>
      <c r="H31" s="286"/>
      <c r="I31" s="285"/>
      <c r="L31" s="316"/>
    </row>
    <row r="32" spans="1:12">
      <c r="A32" s="549" t="s">
        <v>2063</v>
      </c>
      <c r="B32" s="551">
        <v>-2.5272727272727336E-2</v>
      </c>
      <c r="C32" s="548">
        <v>-0.20055804975821653</v>
      </c>
      <c r="D32" s="550">
        <v>1.4095153130551068E-4</v>
      </c>
      <c r="E32" s="550">
        <v>4.4473622038746765E-4</v>
      </c>
      <c r="F32" s="550">
        <v>5.8568775169297825E-4</v>
      </c>
      <c r="G32" s="316"/>
      <c r="H32" s="286"/>
      <c r="L32" s="316"/>
    </row>
    <row r="33" spans="1:28">
      <c r="A33" s="549" t="s">
        <v>2361</v>
      </c>
      <c r="B33" s="551">
        <v>-3.736068895643152E-3</v>
      </c>
      <c r="C33" s="548">
        <v>-3.7438796355960521E-2</v>
      </c>
      <c r="D33" s="550">
        <v>9.9834675096330825E-4</v>
      </c>
      <c r="E33" s="550">
        <v>0</v>
      </c>
      <c r="F33" s="550">
        <v>9.9834675096330825E-4</v>
      </c>
      <c r="G33" s="316"/>
      <c r="H33" s="286"/>
      <c r="I33" s="285"/>
      <c r="L33" s="316"/>
    </row>
    <row r="34" spans="1:28">
      <c r="A34" s="549" t="s">
        <v>2370</v>
      </c>
      <c r="B34" s="551">
        <v>-1.8415965917390809E-2</v>
      </c>
      <c r="C34" s="548">
        <v>-0.15756016003020765</v>
      </c>
      <c r="D34" s="550">
        <v>2.5947596762807023E-4</v>
      </c>
      <c r="E34" s="550">
        <v>0</v>
      </c>
      <c r="F34" s="550">
        <v>2.5947596762807023E-4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49" t="s">
        <v>2386</v>
      </c>
      <c r="B35" s="551">
        <v>-1.2721027859052825E-4</v>
      </c>
      <c r="C35" s="548">
        <v>-7.8035468694259978E-5</v>
      </c>
      <c r="D35" s="550">
        <v>6.1335878393674388E-5</v>
      </c>
      <c r="E35" s="550">
        <v>0</v>
      </c>
      <c r="F35" s="550">
        <v>6.1335878393674388E-5</v>
      </c>
      <c r="G35" s="286"/>
      <c r="H35" s="286"/>
      <c r="I35" s="285"/>
      <c r="L35" s="316"/>
    </row>
    <row r="36" spans="1:28">
      <c r="A36" s="552" t="s">
        <v>2132</v>
      </c>
      <c r="B36" s="551">
        <v>-5.5076923076923023E-2</v>
      </c>
      <c r="C36" s="548">
        <v>-0.12747273829666486</v>
      </c>
      <c r="D36" s="550">
        <v>2.1869764207209941E-4</v>
      </c>
      <c r="E36" s="550">
        <v>0</v>
      </c>
      <c r="F36" s="550">
        <v>2.1869764207209941E-4</v>
      </c>
      <c r="G36" s="286"/>
      <c r="H36" s="286"/>
      <c r="I36" s="285"/>
      <c r="L36" s="316"/>
    </row>
    <row r="37" spans="1:28">
      <c r="A37" s="549" t="s">
        <v>2131</v>
      </c>
      <c r="B37" s="551">
        <v>-5.5076923076923023E-2</v>
      </c>
      <c r="C37" s="548">
        <v>-0.12747273829666486</v>
      </c>
      <c r="D37" s="550">
        <v>2.1869764207209941E-4</v>
      </c>
      <c r="E37" s="550">
        <v>0</v>
      </c>
      <c r="F37" s="550">
        <v>2.1869764207209941E-4</v>
      </c>
      <c r="G37" s="28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52" t="s">
        <v>2249</v>
      </c>
      <c r="B38" s="551">
        <v>-9.0416875988839074E-3</v>
      </c>
      <c r="C38" s="548">
        <v>0.50566924734662089</v>
      </c>
      <c r="D38" s="550">
        <v>4.5913773069431001E-3</v>
      </c>
      <c r="E38" s="550">
        <v>2.8385797070305794E-3</v>
      </c>
      <c r="F38" s="550">
        <v>7.429957013973679E-3</v>
      </c>
      <c r="G38" s="286"/>
      <c r="H38" s="286"/>
      <c r="I38" s="285"/>
      <c r="L38" s="316"/>
      <c r="AA38" s="319"/>
      <c r="AB38" s="319"/>
    </row>
    <row r="39" spans="1:28">
      <c r="A39" s="549" t="s">
        <v>79</v>
      </c>
      <c r="B39" s="551">
        <v>6.8660344797444317E-3</v>
      </c>
      <c r="C39" s="548">
        <v>-9.0144076300585213E-3</v>
      </c>
      <c r="D39" s="550">
        <v>0</v>
      </c>
      <c r="E39" s="550">
        <v>0</v>
      </c>
      <c r="F39" s="550">
        <v>0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49" t="s">
        <v>89</v>
      </c>
      <c r="B40" s="551">
        <v>-5.9247810407006662E-2</v>
      </c>
      <c r="C40" s="548">
        <v>0.10798509140174893</v>
      </c>
      <c r="D40" s="550">
        <v>-1.7146154513008132E-4</v>
      </c>
      <c r="E40" s="550"/>
      <c r="F40" s="550">
        <v>-1.7146154513008132E-4</v>
      </c>
      <c r="G40" s="286"/>
      <c r="H40" s="286"/>
      <c r="L40" s="316"/>
    </row>
    <row r="41" spans="1:28">
      <c r="A41" s="549" t="s">
        <v>81</v>
      </c>
      <c r="B41" s="551">
        <v>4.2404533684274659E-2</v>
      </c>
      <c r="C41" s="548">
        <v>2.1680380684243525</v>
      </c>
      <c r="D41" s="550">
        <v>1.2306168816302266E-3</v>
      </c>
      <c r="E41" s="550">
        <v>2.8385797070305794E-3</v>
      </c>
      <c r="F41" s="550">
        <v>4.0691965886608065E-3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49" t="s">
        <v>90</v>
      </c>
      <c r="B42" s="551">
        <v>-5.2798397038994332E-2</v>
      </c>
      <c r="C42" s="548">
        <v>-1.6249930421084446</v>
      </c>
      <c r="D42" s="550">
        <v>0</v>
      </c>
      <c r="E42" s="550">
        <v>0</v>
      </c>
      <c r="F42" s="550">
        <v>0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49" t="s">
        <v>399</v>
      </c>
      <c r="B43" s="551">
        <v>-4.3243377706762565E-3</v>
      </c>
      <c r="C43" s="548">
        <v>-0.21295223424901644</v>
      </c>
      <c r="D43" s="550">
        <v>1.5042792732661023E-3</v>
      </c>
      <c r="E43" s="550">
        <v>0</v>
      </c>
      <c r="F43" s="550">
        <v>1.5042792732661023E-3</v>
      </c>
      <c r="G43" s="286"/>
      <c r="H43" s="286"/>
      <c r="I43" s="285"/>
      <c r="L43" s="316"/>
    </row>
    <row r="44" spans="1:28">
      <c r="A44" s="549" t="s">
        <v>2148</v>
      </c>
      <c r="B44" s="551">
        <v>5.7803888538244808E-3</v>
      </c>
      <c r="C44" s="548">
        <v>7.6605771508038809E-2</v>
      </c>
      <c r="D44" s="550">
        <v>2.0279426971768519E-3</v>
      </c>
      <c r="E44" s="550">
        <v>0</v>
      </c>
      <c r="F44" s="550">
        <v>2.0279426971768519E-3</v>
      </c>
      <c r="G44" s="286"/>
      <c r="H44" s="286"/>
      <c r="I44" s="285"/>
      <c r="L44" s="316"/>
      <c r="S44" s="317"/>
      <c r="T44" s="317"/>
      <c r="U44" s="317"/>
    </row>
    <row r="45" spans="1:28">
      <c r="A45" s="552" t="s">
        <v>2250</v>
      </c>
      <c r="B45" s="551">
        <v>1.8979799507603905E-3</v>
      </c>
      <c r="C45" s="548">
        <v>9.229334478645991E-2</v>
      </c>
      <c r="D45" s="550">
        <v>-3.5088373033161598E-5</v>
      </c>
      <c r="E45" s="550">
        <v>0</v>
      </c>
      <c r="F45" s="550">
        <v>-3.5088373033161598E-5</v>
      </c>
      <c r="G45" s="286"/>
      <c r="H45" s="286"/>
      <c r="I45" s="285"/>
      <c r="L45" s="316"/>
    </row>
    <row r="46" spans="1:28">
      <c r="A46" s="549" t="s">
        <v>88</v>
      </c>
      <c r="B46" s="551">
        <v>7.9260237780711673E-3</v>
      </c>
      <c r="C46" s="548">
        <v>8.0190667875732521E-2</v>
      </c>
      <c r="D46" s="550">
        <v>1.0197579931530783E-3</v>
      </c>
      <c r="E46" s="550">
        <v>0</v>
      </c>
      <c r="F46" s="550">
        <v>1.0197579931530783E-3</v>
      </c>
      <c r="G46" s="286"/>
      <c r="H46" s="286"/>
      <c r="I46" s="285"/>
    </row>
    <row r="47" spans="1:28">
      <c r="A47" s="549" t="s">
        <v>4</v>
      </c>
      <c r="B47" s="551">
        <v>-1.1540330417881828E-3</v>
      </c>
      <c r="C47" s="548">
        <v>1.0902842561818964E-2</v>
      </c>
      <c r="D47" s="550">
        <v>-9.4366971541639481E-4</v>
      </c>
      <c r="E47" s="550">
        <v>0</v>
      </c>
      <c r="F47" s="550">
        <v>-9.4366971541639481E-4</v>
      </c>
      <c r="G47" s="286"/>
      <c r="H47" s="286"/>
      <c r="I47" s="285"/>
    </row>
    <row r="48" spans="1:28">
      <c r="A48" s="549" t="s">
        <v>2268</v>
      </c>
      <c r="B48" s="551">
        <v>-1.0780508840018133E-3</v>
      </c>
      <c r="C48" s="548">
        <v>1.1998343489084237E-3</v>
      </c>
      <c r="D48" s="550">
        <v>-1.1117665076984506E-4</v>
      </c>
      <c r="E48" s="550">
        <v>0</v>
      </c>
      <c r="F48" s="550">
        <v>-1.1117665076984506E-4</v>
      </c>
      <c r="G48" s="286"/>
      <c r="H48" s="286"/>
      <c r="I48" s="285"/>
    </row>
    <row r="49" spans="1:35">
      <c r="A49" s="552" t="s">
        <v>97</v>
      </c>
      <c r="B49" s="551">
        <v>-9.6777375308883234E-3</v>
      </c>
      <c r="C49" s="548">
        <v>-2.476325762260875</v>
      </c>
      <c r="D49" s="550">
        <v>1.1043171586010508E-2</v>
      </c>
      <c r="E49" s="550">
        <v>7.4491160975940062E-3</v>
      </c>
      <c r="F49" s="550">
        <v>1.8492287683604513E-2</v>
      </c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  <c r="O50" s="286">
        <v>1.1100000000000001</v>
      </c>
    </row>
    <row r="51" spans="1:35">
      <c r="A51"/>
      <c r="B51"/>
      <c r="C51"/>
      <c r="D51"/>
      <c r="E51"/>
      <c r="F51"/>
      <c r="G51" s="286"/>
      <c r="H51" s="286"/>
      <c r="I51" s="286"/>
      <c r="O51" s="286">
        <v>-1.4</v>
      </c>
      <c r="P51" s="286" t="s">
        <v>2463</v>
      </c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6" priority="10179" operator="lessThan">
      <formula>0</formula>
    </cfRule>
  </conditionalFormatting>
  <conditionalFormatting sqref="H86:H1048576 F1:H9 F12:G12 G10:G11">
    <cfRule type="cellIs" dxfId="1655" priority="10176" operator="lessThan">
      <formula>0</formula>
    </cfRule>
    <cfRule type="cellIs" dxfId="1654" priority="10177" operator="lessThan">
      <formula>0</formula>
    </cfRule>
  </conditionalFormatting>
  <conditionalFormatting sqref="F136:G1048576 G86:G135">
    <cfRule type="cellIs" dxfId="1653" priority="5812" operator="lessThan">
      <formula>0</formula>
    </cfRule>
  </conditionalFormatting>
  <conditionalFormatting sqref="F136:G1048576 G86:G135">
    <cfRule type="cellIs" dxfId="1652" priority="5811" operator="lessThan">
      <formula>0</formula>
    </cfRule>
  </conditionalFormatting>
  <conditionalFormatting sqref="F136:G1048576 G86:G135">
    <cfRule type="cellIs" dxfId="1651" priority="5809" operator="lessThan">
      <formula>0</formula>
    </cfRule>
    <cfRule type="cellIs" dxfId="1650" priority="5810" operator="lessThan">
      <formula>0</formula>
    </cfRule>
  </conditionalFormatting>
  <conditionalFormatting sqref="F136:G1048576 G86:G135">
    <cfRule type="cellIs" dxfId="1649" priority="5808" operator="lessThan">
      <formula>0</formula>
    </cfRule>
  </conditionalFormatting>
  <conditionalFormatting sqref="F136:G1048576 G86:G135">
    <cfRule type="cellIs" dxfId="1648" priority="5807" operator="lessThan">
      <formula>0</formula>
    </cfRule>
  </conditionalFormatting>
  <conditionalFormatting sqref="F136:G1048576 G86:G135">
    <cfRule type="cellIs" dxfId="1647" priority="5806" operator="lessThan">
      <formula>0</formula>
    </cfRule>
  </conditionalFormatting>
  <conditionalFormatting sqref="F136:G1048576 G86:G135">
    <cfRule type="cellIs" dxfId="1646" priority="5805" operator="lessThan">
      <formula>0</formula>
    </cfRule>
  </conditionalFormatting>
  <conditionalFormatting sqref="F136:G1048576 G86:G135">
    <cfRule type="cellIs" dxfId="1645" priority="5804" operator="lessThan">
      <formula>0</formula>
    </cfRule>
  </conditionalFormatting>
  <conditionalFormatting sqref="F136:G1048576 G86:G135">
    <cfRule type="cellIs" dxfId="1644" priority="5803" operator="lessThan">
      <formula>0</formula>
    </cfRule>
  </conditionalFormatting>
  <conditionalFormatting sqref="F136:G1048576 G86:G135">
    <cfRule type="cellIs" dxfId="1643" priority="5802" operator="lessThan">
      <formula>0</formula>
    </cfRule>
  </conditionalFormatting>
  <conditionalFormatting sqref="F136:G1048576 G86:G135">
    <cfRule type="cellIs" dxfId="1642" priority="5801" operator="lessThan">
      <formula>0</formula>
    </cfRule>
  </conditionalFormatting>
  <conditionalFormatting sqref="F136:G1048576 G86:G135">
    <cfRule type="cellIs" dxfId="1641" priority="5800" operator="lessThan">
      <formula>0</formula>
    </cfRule>
  </conditionalFormatting>
  <conditionalFormatting sqref="F136:G1048576 G86:G135">
    <cfRule type="cellIs" dxfId="1640" priority="5799" operator="lessThan">
      <formula>0</formula>
    </cfRule>
  </conditionalFormatting>
  <conditionalFormatting sqref="F136:G1048576 G86:G135">
    <cfRule type="cellIs" dxfId="1639" priority="5798" operator="lessThan">
      <formula>0</formula>
    </cfRule>
  </conditionalFormatting>
  <conditionalFormatting sqref="F136:G1048576 G86:G135">
    <cfRule type="cellIs" dxfId="1638" priority="5797" operator="lessThan">
      <formula>0</formula>
    </cfRule>
  </conditionalFormatting>
  <conditionalFormatting sqref="F136:G1048576 G86:G135">
    <cfRule type="cellIs" dxfId="1637" priority="5796" operator="lessThan">
      <formula>0</formula>
    </cfRule>
  </conditionalFormatting>
  <conditionalFormatting sqref="F136:G1048576 G86:G135">
    <cfRule type="cellIs" dxfId="1636" priority="5795" operator="lessThan">
      <formula>0</formula>
    </cfRule>
  </conditionalFormatting>
  <conditionalFormatting sqref="F136:G1048576 G86:G135">
    <cfRule type="cellIs" dxfId="1635" priority="5794" operator="lessThan">
      <formula>0</formula>
    </cfRule>
  </conditionalFormatting>
  <conditionalFormatting sqref="F136:G1048576 G86:G135">
    <cfRule type="cellIs" dxfId="1634" priority="5793" operator="lessThan">
      <formula>0</formula>
    </cfRule>
  </conditionalFormatting>
  <conditionalFormatting sqref="F136:G1048576 G86:G135">
    <cfRule type="cellIs" dxfId="1633" priority="5792" operator="lessThan">
      <formula>0</formula>
    </cfRule>
  </conditionalFormatting>
  <conditionalFormatting sqref="F136:G1048576 G86:G135">
    <cfRule type="cellIs" dxfId="1632" priority="5791" operator="lessThan">
      <formula>0</formula>
    </cfRule>
  </conditionalFormatting>
  <conditionalFormatting sqref="F136:G1048576 G86:G135">
    <cfRule type="cellIs" dxfId="1631" priority="5790" operator="lessThan">
      <formula>0</formula>
    </cfRule>
  </conditionalFormatting>
  <conditionalFormatting sqref="F136:G1048576 G86:G135">
    <cfRule type="cellIs" dxfId="1630" priority="5789" operator="lessThan">
      <formula>0</formula>
    </cfRule>
  </conditionalFormatting>
  <conditionalFormatting sqref="F136:G1048576 G86:G135">
    <cfRule type="cellIs" dxfId="1629" priority="5788" operator="lessThan">
      <formula>0</formula>
    </cfRule>
  </conditionalFormatting>
  <conditionalFormatting sqref="F136:G1048576 G86:G135">
    <cfRule type="cellIs" dxfId="1628" priority="5787" operator="lessThan">
      <formula>0</formula>
    </cfRule>
  </conditionalFormatting>
  <conditionalFormatting sqref="F136:G1048576 G86:G135">
    <cfRule type="cellIs" dxfId="1627" priority="5786" operator="lessThan">
      <formula>0</formula>
    </cfRule>
  </conditionalFormatting>
  <conditionalFormatting sqref="F136:G1048576 G86:G135">
    <cfRule type="cellIs" dxfId="1626" priority="5785" operator="lessThan">
      <formula>0</formula>
    </cfRule>
  </conditionalFormatting>
  <conditionalFormatting sqref="F136:G1048576 G86:G135">
    <cfRule type="cellIs" dxfId="1625" priority="5784" operator="lessThan">
      <formula>0</formula>
    </cfRule>
  </conditionalFormatting>
  <conditionalFormatting sqref="F136:G1048576 G86:G135">
    <cfRule type="cellIs" dxfId="1624" priority="5783" operator="lessThan">
      <formula>0</formula>
    </cfRule>
  </conditionalFormatting>
  <conditionalFormatting sqref="F136:G1048576 G86:G135">
    <cfRule type="cellIs" dxfId="1623" priority="5782" operator="lessThan">
      <formula>0</formula>
    </cfRule>
  </conditionalFormatting>
  <conditionalFormatting sqref="F136:G1048576 G86:G135">
    <cfRule type="cellIs" dxfId="1622" priority="5781" operator="lessThan">
      <formula>0</formula>
    </cfRule>
  </conditionalFormatting>
  <conditionalFormatting sqref="F136:G1048576 G86:G135">
    <cfRule type="cellIs" dxfId="1621" priority="5780" operator="lessThan">
      <formula>0</formula>
    </cfRule>
  </conditionalFormatting>
  <conditionalFormatting sqref="F136:G1048576 G86:G135">
    <cfRule type="cellIs" dxfId="1620" priority="5779" operator="lessThan">
      <formula>0</formula>
    </cfRule>
  </conditionalFormatting>
  <conditionalFormatting sqref="F136:G1048576 G86:G135">
    <cfRule type="cellIs" dxfId="1619" priority="5778" operator="lessThan">
      <formula>0</formula>
    </cfRule>
  </conditionalFormatting>
  <conditionalFormatting sqref="F136:G1048576 G86:G135">
    <cfRule type="cellIs" dxfId="1618" priority="5777" operator="lessThan">
      <formula>0</formula>
    </cfRule>
  </conditionalFormatting>
  <conditionalFormatting sqref="F136:G1048576 G86:G135">
    <cfRule type="cellIs" dxfId="1617" priority="5776" operator="lessThan">
      <formula>0</formula>
    </cfRule>
  </conditionalFormatting>
  <conditionalFormatting sqref="F136:G1048576 G86:G135">
    <cfRule type="cellIs" dxfId="1616" priority="5775" operator="lessThan">
      <formula>0</formula>
    </cfRule>
  </conditionalFormatting>
  <conditionalFormatting sqref="F136:G1048576 G86:G135">
    <cfRule type="cellIs" dxfId="1615" priority="5774" operator="lessThan">
      <formula>0</formula>
    </cfRule>
  </conditionalFormatting>
  <conditionalFormatting sqref="F136:G1048576 G86:G135">
    <cfRule type="cellIs" dxfId="1614" priority="5773" operator="lessThan">
      <formula>0</formula>
    </cfRule>
  </conditionalFormatting>
  <conditionalFormatting sqref="F136:G1048576 G86:G135">
    <cfRule type="cellIs" dxfId="1613" priority="5772" operator="lessThan">
      <formula>0</formula>
    </cfRule>
  </conditionalFormatting>
  <conditionalFormatting sqref="F136:G1048576 G86:G135">
    <cfRule type="cellIs" dxfId="1612" priority="5771" operator="lessThan">
      <formula>0</formula>
    </cfRule>
  </conditionalFormatting>
  <conditionalFormatting sqref="F136:G1048576 G86:G135">
    <cfRule type="cellIs" dxfId="1611" priority="5770" operator="lessThan">
      <formula>0</formula>
    </cfRule>
  </conditionalFormatting>
  <conditionalFormatting sqref="F136:G1048576 G86:G135">
    <cfRule type="cellIs" dxfId="1610" priority="5769" operator="lessThan">
      <formula>0</formula>
    </cfRule>
  </conditionalFormatting>
  <conditionalFormatting sqref="F136:G1048576 G86:G135">
    <cfRule type="cellIs" dxfId="1609" priority="5768" operator="lessThan">
      <formula>0</formula>
    </cfRule>
  </conditionalFormatting>
  <conditionalFormatting sqref="F136:G1048576 G86:G135">
    <cfRule type="cellIs" dxfId="1608" priority="5767" operator="lessThan">
      <formula>0</formula>
    </cfRule>
  </conditionalFormatting>
  <conditionalFormatting sqref="F136:G1048576 G86:G135">
    <cfRule type="cellIs" dxfId="1607" priority="5766" operator="lessThan">
      <formula>0</formula>
    </cfRule>
  </conditionalFormatting>
  <conditionalFormatting sqref="F136:G1048576 G86:G135">
    <cfRule type="cellIs" dxfId="1606" priority="5765" operator="lessThan">
      <formula>0</formula>
    </cfRule>
  </conditionalFormatting>
  <conditionalFormatting sqref="F136:G1048576 G86:G135">
    <cfRule type="cellIs" dxfId="1605" priority="5764" operator="lessThan">
      <formula>0</formula>
    </cfRule>
  </conditionalFormatting>
  <conditionalFormatting sqref="F136:G1048576 G86:G135">
    <cfRule type="cellIs" dxfId="1604" priority="5763" operator="lessThan">
      <formula>0</formula>
    </cfRule>
  </conditionalFormatting>
  <conditionalFormatting sqref="F136:G1048576 G86:G135">
    <cfRule type="cellIs" dxfId="1603" priority="5762" operator="lessThan">
      <formula>0</formula>
    </cfRule>
  </conditionalFormatting>
  <conditionalFormatting sqref="F136:G1048576 G86:G135">
    <cfRule type="cellIs" dxfId="1602" priority="5761" operator="lessThan">
      <formula>0</formula>
    </cfRule>
  </conditionalFormatting>
  <conditionalFormatting sqref="F136:G1048576 G86:G135">
    <cfRule type="cellIs" dxfId="1601" priority="5760" operator="lessThan">
      <formula>0</formula>
    </cfRule>
  </conditionalFormatting>
  <conditionalFormatting sqref="F136:G1048576 G86:G135">
    <cfRule type="cellIs" dxfId="1600" priority="5759" operator="lessThan">
      <formula>0</formula>
    </cfRule>
  </conditionalFormatting>
  <conditionalFormatting sqref="F136:G1048576 G86:G135">
    <cfRule type="cellIs" dxfId="1599" priority="5758" operator="lessThan">
      <formula>0</formula>
    </cfRule>
  </conditionalFormatting>
  <conditionalFormatting sqref="F136:G1048576 G86:G135">
    <cfRule type="cellIs" dxfId="1598" priority="5757" operator="lessThan">
      <formula>0</formula>
    </cfRule>
  </conditionalFormatting>
  <conditionalFormatting sqref="F136:G1048576 G86:G135">
    <cfRule type="cellIs" dxfId="1597" priority="5756" operator="lessThan">
      <formula>0</formula>
    </cfRule>
  </conditionalFormatting>
  <conditionalFormatting sqref="F136:G1048576 G86:G135">
    <cfRule type="cellIs" dxfId="1596" priority="5755" operator="lessThan">
      <formula>0</formula>
    </cfRule>
  </conditionalFormatting>
  <conditionalFormatting sqref="F136:G1048576 G86:G135">
    <cfRule type="cellIs" dxfId="1595" priority="5754" operator="lessThan">
      <formula>0</formula>
    </cfRule>
  </conditionalFormatting>
  <conditionalFormatting sqref="F136:G1048576 G86:G135">
    <cfRule type="cellIs" dxfId="1594" priority="5753" operator="lessThan">
      <formula>0</formula>
    </cfRule>
  </conditionalFormatting>
  <conditionalFormatting sqref="F136:G1048576 G86:G135">
    <cfRule type="cellIs" dxfId="1593" priority="5752" operator="lessThan">
      <formula>0</formula>
    </cfRule>
  </conditionalFormatting>
  <conditionalFormatting sqref="F136:G1048576 G86:G135">
    <cfRule type="cellIs" dxfId="1592" priority="5751" operator="lessThan">
      <formula>0</formula>
    </cfRule>
  </conditionalFormatting>
  <conditionalFormatting sqref="F136:G1048576 G86:G135">
    <cfRule type="cellIs" dxfId="1591" priority="5750" operator="lessThan">
      <formula>0</formula>
    </cfRule>
  </conditionalFormatting>
  <conditionalFormatting sqref="F136:G1048576 G86:G135">
    <cfRule type="cellIs" dxfId="1590" priority="5749" operator="lessThan">
      <formula>0</formula>
    </cfRule>
  </conditionalFormatting>
  <conditionalFormatting sqref="F136:G1048576 G86:G135">
    <cfRule type="cellIs" dxfId="1589" priority="5748" operator="lessThan">
      <formula>0</formula>
    </cfRule>
  </conditionalFormatting>
  <conditionalFormatting sqref="F136:G1048576 G86:G135">
    <cfRule type="cellIs" dxfId="1588" priority="5747" operator="lessThan">
      <formula>0</formula>
    </cfRule>
  </conditionalFormatting>
  <conditionalFormatting sqref="F136:G1048576 G86:G135">
    <cfRule type="cellIs" dxfId="1587" priority="5746" operator="lessThan">
      <formula>0</formula>
    </cfRule>
  </conditionalFormatting>
  <conditionalFormatting sqref="F136:G1048576 G86:G135">
    <cfRule type="cellIs" dxfId="1586" priority="5745" operator="lessThan">
      <formula>0</formula>
    </cfRule>
  </conditionalFormatting>
  <conditionalFormatting sqref="F136:G1048576 G86:G135">
    <cfRule type="cellIs" dxfId="1585" priority="5744" operator="lessThan">
      <formula>0</formula>
    </cfRule>
  </conditionalFormatting>
  <conditionalFormatting sqref="F136:G1048576 G86:G135">
    <cfRule type="cellIs" dxfId="1584" priority="5743" operator="lessThan">
      <formula>0</formula>
    </cfRule>
  </conditionalFormatting>
  <conditionalFormatting sqref="F136:G1048576 G86:G135">
    <cfRule type="cellIs" dxfId="1583" priority="5742" operator="lessThan">
      <formula>0</formula>
    </cfRule>
  </conditionalFormatting>
  <conditionalFormatting sqref="F136:G1048576 G86:G135">
    <cfRule type="cellIs" dxfId="1582" priority="5741" operator="lessThan">
      <formula>0</formula>
    </cfRule>
  </conditionalFormatting>
  <conditionalFormatting sqref="F136:G1048576 G86:G135">
    <cfRule type="cellIs" dxfId="1581" priority="5740" operator="lessThan">
      <formula>0</formula>
    </cfRule>
  </conditionalFormatting>
  <conditionalFormatting sqref="F136:G1048576 G86:G135">
    <cfRule type="cellIs" dxfId="1580" priority="5739" operator="lessThan">
      <formula>0</formula>
    </cfRule>
  </conditionalFormatting>
  <conditionalFormatting sqref="F136:G1048576 G86:G135">
    <cfRule type="cellIs" dxfId="1579" priority="5738" operator="lessThan">
      <formula>0</formula>
    </cfRule>
  </conditionalFormatting>
  <conditionalFormatting sqref="F136:G1048576 G86:G135">
    <cfRule type="cellIs" dxfId="1578" priority="5737" operator="lessThan">
      <formula>0</formula>
    </cfRule>
  </conditionalFormatting>
  <conditionalFormatting sqref="F136:G1048576 G86:G135">
    <cfRule type="cellIs" dxfId="1577" priority="5736" operator="lessThan">
      <formula>0</formula>
    </cfRule>
  </conditionalFormatting>
  <conditionalFormatting sqref="F136:G1048576 G86:G135">
    <cfRule type="cellIs" dxfId="1576" priority="5735" operator="lessThan">
      <formula>0</formula>
    </cfRule>
  </conditionalFormatting>
  <conditionalFormatting sqref="F136:G1048576 G86:G135">
    <cfRule type="cellIs" dxfId="1575" priority="5734" operator="lessThan">
      <formula>0</formula>
    </cfRule>
  </conditionalFormatting>
  <conditionalFormatting sqref="F136:G1048576 G86:G135">
    <cfRule type="cellIs" dxfId="1574" priority="5733" operator="lessThan">
      <formula>0</formula>
    </cfRule>
  </conditionalFormatting>
  <conditionalFormatting sqref="F136:G1048576 G86:G135">
    <cfRule type="cellIs" dxfId="1573" priority="5732" operator="lessThan">
      <formula>0</formula>
    </cfRule>
  </conditionalFormatting>
  <conditionalFormatting sqref="F136:G1048576 G86:G135">
    <cfRule type="cellIs" dxfId="1572" priority="5731" operator="lessThan">
      <formula>0</formula>
    </cfRule>
  </conditionalFormatting>
  <conditionalFormatting sqref="F136:G1048576 G86:G135">
    <cfRule type="cellIs" dxfId="1571" priority="5730" operator="lessThan">
      <formula>0</formula>
    </cfRule>
  </conditionalFormatting>
  <conditionalFormatting sqref="F136:G1048576 G86:G135">
    <cfRule type="cellIs" dxfId="1570" priority="5729" operator="lessThan">
      <formula>0</formula>
    </cfRule>
  </conditionalFormatting>
  <conditionalFormatting sqref="F136:G1048576 G86:G135">
    <cfRule type="cellIs" dxfId="1569" priority="5728" operator="lessThan">
      <formula>0</formula>
    </cfRule>
  </conditionalFormatting>
  <conditionalFormatting sqref="F136:G1048576 G86:G135">
    <cfRule type="cellIs" dxfId="1568" priority="5727" operator="lessThan">
      <formula>0</formula>
    </cfRule>
  </conditionalFormatting>
  <conditionalFormatting sqref="F136:G1048576 G86:G135">
    <cfRule type="cellIs" dxfId="1567" priority="5726" operator="lessThan">
      <formula>0</formula>
    </cfRule>
  </conditionalFormatting>
  <conditionalFormatting sqref="F136:G1048576 G86:G135">
    <cfRule type="cellIs" dxfId="1566" priority="5725" operator="lessThan">
      <formula>0</formula>
    </cfRule>
  </conditionalFormatting>
  <conditionalFormatting sqref="F136:G1048576 G86:G135">
    <cfRule type="cellIs" dxfId="1565" priority="5724" operator="lessThan">
      <formula>0</formula>
    </cfRule>
  </conditionalFormatting>
  <conditionalFormatting sqref="F136:G1048576 G86:G135">
    <cfRule type="cellIs" dxfId="1564" priority="5723" operator="lessThan">
      <formula>0</formula>
    </cfRule>
  </conditionalFormatting>
  <conditionalFormatting sqref="F136:G1048576 G86:G135">
    <cfRule type="cellIs" dxfId="1563" priority="5722" operator="lessThan">
      <formula>0</formula>
    </cfRule>
  </conditionalFormatting>
  <conditionalFormatting sqref="F136:G1048576 G86:G135">
    <cfRule type="cellIs" dxfId="1562" priority="5721" operator="lessThan">
      <formula>0</formula>
    </cfRule>
  </conditionalFormatting>
  <conditionalFormatting sqref="F136:G1048576 G86:G135">
    <cfRule type="cellIs" dxfId="1561" priority="5720" operator="lessThan">
      <formula>0</formula>
    </cfRule>
  </conditionalFormatting>
  <conditionalFormatting sqref="F136:G1048576 G86:G135">
    <cfRule type="cellIs" dxfId="1560" priority="5719" operator="lessThan">
      <formula>0</formula>
    </cfRule>
  </conditionalFormatting>
  <conditionalFormatting sqref="F136:G1048576 G86:G135">
    <cfRule type="cellIs" dxfId="1559" priority="5718" operator="lessThan">
      <formula>0</formula>
    </cfRule>
  </conditionalFormatting>
  <conditionalFormatting sqref="F136:G1048576 G86:G135">
    <cfRule type="cellIs" dxfId="1558" priority="5717" operator="lessThan">
      <formula>0</formula>
    </cfRule>
  </conditionalFormatting>
  <conditionalFormatting sqref="F136:G1048576 G86:G135">
    <cfRule type="cellIs" dxfId="1557" priority="5716" operator="lessThan">
      <formula>0</formula>
    </cfRule>
  </conditionalFormatting>
  <conditionalFormatting sqref="F136:G1048576 G86:G135">
    <cfRule type="cellIs" dxfId="1556" priority="5715" operator="lessThan">
      <formula>0</formula>
    </cfRule>
  </conditionalFormatting>
  <conditionalFormatting sqref="F136:G1048576 G86:G135">
    <cfRule type="cellIs" dxfId="1555" priority="5714" operator="lessThan">
      <formula>0</formula>
    </cfRule>
  </conditionalFormatting>
  <conditionalFormatting sqref="F136:G1048576 G86:G135">
    <cfRule type="cellIs" dxfId="1554" priority="5713" operator="lessThan">
      <formula>0</formula>
    </cfRule>
  </conditionalFormatting>
  <conditionalFormatting sqref="F136:G1048576 G86:G135">
    <cfRule type="cellIs" dxfId="1553" priority="5712" operator="lessThan">
      <formula>0</formula>
    </cfRule>
  </conditionalFormatting>
  <conditionalFormatting sqref="F136:G1048576 G86:G135">
    <cfRule type="cellIs" dxfId="1552" priority="5711" operator="lessThan">
      <formula>0</formula>
    </cfRule>
  </conditionalFormatting>
  <conditionalFormatting sqref="F136:G1048576 G86:G135">
    <cfRule type="cellIs" dxfId="1551" priority="5710" operator="lessThan">
      <formula>0</formula>
    </cfRule>
  </conditionalFormatting>
  <conditionalFormatting sqref="F136:G1048576 G86:G135">
    <cfRule type="cellIs" dxfId="1550" priority="5709" operator="lessThan">
      <formula>0</formula>
    </cfRule>
  </conditionalFormatting>
  <conditionalFormatting sqref="F136:G1048576 G86:G135">
    <cfRule type="cellIs" dxfId="1549" priority="5708" operator="lessThan">
      <formula>0</formula>
    </cfRule>
  </conditionalFormatting>
  <conditionalFormatting sqref="F136:G1048576 G86:G135">
    <cfRule type="cellIs" dxfId="1548" priority="5707" operator="lessThan">
      <formula>0</formula>
    </cfRule>
  </conditionalFormatting>
  <conditionalFormatting sqref="F136:G1048576 G86:G135">
    <cfRule type="cellIs" dxfId="1547" priority="5706" operator="lessThan">
      <formula>0</formula>
    </cfRule>
  </conditionalFormatting>
  <conditionalFormatting sqref="F136:G1048576 G86:G135">
    <cfRule type="cellIs" dxfId="1546" priority="5705" operator="lessThan">
      <formula>0</formula>
    </cfRule>
  </conditionalFormatting>
  <conditionalFormatting sqref="F136:G1048576 G86:G135">
    <cfRule type="cellIs" dxfId="1545" priority="5704" operator="lessThan">
      <formula>0</formula>
    </cfRule>
  </conditionalFormatting>
  <conditionalFormatting sqref="F136:G1048576 G86:G135">
    <cfRule type="cellIs" dxfId="1544" priority="5703" operator="lessThan">
      <formula>0</formula>
    </cfRule>
  </conditionalFormatting>
  <conditionalFormatting sqref="F136:G1048576 G86:G135">
    <cfRule type="cellIs" dxfId="1543" priority="5702" operator="lessThan">
      <formula>0</formula>
    </cfRule>
  </conditionalFormatting>
  <conditionalFormatting sqref="F136:G1048576 G86:G135">
    <cfRule type="cellIs" dxfId="1542" priority="5701" operator="lessThan">
      <formula>0</formula>
    </cfRule>
  </conditionalFormatting>
  <conditionalFormatting sqref="F136:G1048576 G86:G135">
    <cfRule type="cellIs" dxfId="1541" priority="5700" operator="lessThan">
      <formula>0</formula>
    </cfRule>
  </conditionalFormatting>
  <conditionalFormatting sqref="F136:G1048576 G86:G135">
    <cfRule type="cellIs" dxfId="1540" priority="5699" operator="lessThan">
      <formula>0</formula>
    </cfRule>
  </conditionalFormatting>
  <conditionalFormatting sqref="F136:G1048576 G86:G135">
    <cfRule type="cellIs" dxfId="1539" priority="5698" operator="lessThan">
      <formula>0</formula>
    </cfRule>
  </conditionalFormatting>
  <conditionalFormatting sqref="F136:G1048576 G86:G135">
    <cfRule type="cellIs" dxfId="1538" priority="5697" operator="lessThan">
      <formula>0</formula>
    </cfRule>
  </conditionalFormatting>
  <conditionalFormatting sqref="F136:G1048576 G86:G135">
    <cfRule type="cellIs" dxfId="1537" priority="5696" operator="lessThan">
      <formula>0</formula>
    </cfRule>
  </conditionalFormatting>
  <conditionalFormatting sqref="F136:G1048576 G86:G135">
    <cfRule type="cellIs" dxfId="1536" priority="5695" operator="lessThan">
      <formula>0</formula>
    </cfRule>
  </conditionalFormatting>
  <conditionalFormatting sqref="F136:G1048576 G86:G135">
    <cfRule type="cellIs" dxfId="1535" priority="5694" operator="lessThan">
      <formula>0</formula>
    </cfRule>
  </conditionalFormatting>
  <conditionalFormatting sqref="F136:G1048576 G86:G135">
    <cfRule type="cellIs" dxfId="1534" priority="5693" operator="lessThan">
      <formula>0</formula>
    </cfRule>
  </conditionalFormatting>
  <conditionalFormatting sqref="F136:G1048576 G86:G135">
    <cfRule type="cellIs" dxfId="1533" priority="5692" operator="lessThan">
      <formula>0</formula>
    </cfRule>
  </conditionalFormatting>
  <conditionalFormatting sqref="F136:G1048576 G86:G135">
    <cfRule type="cellIs" dxfId="1532" priority="5691" operator="lessThan">
      <formula>0</formula>
    </cfRule>
  </conditionalFormatting>
  <conditionalFormatting sqref="F136:G1048576 G86:G135">
    <cfRule type="cellIs" dxfId="1531" priority="5690" operator="lessThan">
      <formula>0</formula>
    </cfRule>
  </conditionalFormatting>
  <conditionalFormatting sqref="F136:G1048576 G86:G135">
    <cfRule type="cellIs" dxfId="1530" priority="5689" operator="lessThan">
      <formula>0</formula>
    </cfRule>
  </conditionalFormatting>
  <conditionalFormatting sqref="F136:G1048576 G86:G135">
    <cfRule type="cellIs" dxfId="1529" priority="5688" operator="lessThan">
      <formula>0</formula>
    </cfRule>
  </conditionalFormatting>
  <conditionalFormatting sqref="F136:G1048576 G86:G135">
    <cfRule type="cellIs" dxfId="1528" priority="5687" operator="lessThan">
      <formula>0</formula>
    </cfRule>
  </conditionalFormatting>
  <conditionalFormatting sqref="F136:G1048576 G86:G135">
    <cfRule type="cellIs" dxfId="1527" priority="5686" operator="lessThan">
      <formula>0</formula>
    </cfRule>
  </conditionalFormatting>
  <conditionalFormatting sqref="F136:G1048576 G86:G135">
    <cfRule type="cellIs" dxfId="1526" priority="5685" operator="lessThan">
      <formula>0</formula>
    </cfRule>
  </conditionalFormatting>
  <conditionalFormatting sqref="F136:G1048576 G86:G135">
    <cfRule type="cellIs" dxfId="1525" priority="5684" operator="lessThan">
      <formula>0</formula>
    </cfRule>
  </conditionalFormatting>
  <conditionalFormatting sqref="F136:G1048576 G86:G135">
    <cfRule type="cellIs" dxfId="1524" priority="5683" operator="lessThan">
      <formula>0</formula>
    </cfRule>
  </conditionalFormatting>
  <conditionalFormatting sqref="F136:G1048576 G86:G135">
    <cfRule type="cellIs" dxfId="1523" priority="5682" operator="lessThan">
      <formula>0</formula>
    </cfRule>
  </conditionalFormatting>
  <conditionalFormatting sqref="F136:G1048576 G86:G135">
    <cfRule type="cellIs" dxfId="1522" priority="5681" operator="lessThan">
      <formula>0</formula>
    </cfRule>
  </conditionalFormatting>
  <conditionalFormatting sqref="F136:G1048576 G86:G135">
    <cfRule type="cellIs" dxfId="1521" priority="5680" operator="lessThan">
      <formula>0</formula>
    </cfRule>
  </conditionalFormatting>
  <conditionalFormatting sqref="F136:G1048576 G86:G135">
    <cfRule type="cellIs" dxfId="1520" priority="5679" operator="lessThan">
      <formula>0</formula>
    </cfRule>
  </conditionalFormatting>
  <conditionalFormatting sqref="F136:G1048576 G86:G135">
    <cfRule type="cellIs" dxfId="1519" priority="5678" operator="lessThan">
      <formula>0</formula>
    </cfRule>
  </conditionalFormatting>
  <conditionalFormatting sqref="F136:G1048576 G86:G135">
    <cfRule type="cellIs" dxfId="1518" priority="5677" operator="lessThan">
      <formula>0</formula>
    </cfRule>
  </conditionalFormatting>
  <conditionalFormatting sqref="F136:G1048576 G86:G135">
    <cfRule type="cellIs" dxfId="1517" priority="5676" operator="lessThan">
      <formula>0</formula>
    </cfRule>
  </conditionalFormatting>
  <conditionalFormatting sqref="F136:G1048576 G86:G135">
    <cfRule type="cellIs" dxfId="1516" priority="5675" operator="lessThan">
      <formula>0</formula>
    </cfRule>
  </conditionalFormatting>
  <conditionalFormatting sqref="F136:G1048576 G86:G135">
    <cfRule type="cellIs" dxfId="1515" priority="5674" operator="lessThan">
      <formula>0</formula>
    </cfRule>
  </conditionalFormatting>
  <conditionalFormatting sqref="F136:G1048576 G86:G135">
    <cfRule type="cellIs" dxfId="1514" priority="5673" operator="lessThan">
      <formula>0</formula>
    </cfRule>
  </conditionalFormatting>
  <conditionalFormatting sqref="F136:G1048576 G86:G135">
    <cfRule type="cellIs" dxfId="1513" priority="5672" operator="lessThan">
      <formula>0</formula>
    </cfRule>
  </conditionalFormatting>
  <conditionalFormatting sqref="F136:G1048576 G86:G135">
    <cfRule type="cellIs" dxfId="1512" priority="5671" operator="lessThan">
      <formula>0</formula>
    </cfRule>
  </conditionalFormatting>
  <conditionalFormatting sqref="F136:G1048576 G86:G135">
    <cfRule type="cellIs" dxfId="1511" priority="5670" operator="lessThan">
      <formula>0</formula>
    </cfRule>
  </conditionalFormatting>
  <conditionalFormatting sqref="F136:G1048576 G86:G135">
    <cfRule type="cellIs" dxfId="1510" priority="5669" operator="lessThan">
      <formula>0</formula>
    </cfRule>
  </conditionalFormatting>
  <conditionalFormatting sqref="F136:G1048576 G86:G135">
    <cfRule type="cellIs" dxfId="1509" priority="5668" operator="lessThan">
      <formula>0</formula>
    </cfRule>
  </conditionalFormatting>
  <conditionalFormatting sqref="F136:G1048576 G86:G135">
    <cfRule type="cellIs" dxfId="1508" priority="5667" operator="lessThan">
      <formula>0</formula>
    </cfRule>
  </conditionalFormatting>
  <conditionalFormatting sqref="F136:G1048576 G86:G135">
    <cfRule type="cellIs" dxfId="1507" priority="5666" operator="lessThan">
      <formula>0</formula>
    </cfRule>
  </conditionalFormatting>
  <conditionalFormatting sqref="F136:G1048576 G86:G135">
    <cfRule type="cellIs" dxfId="1506" priority="5665" operator="lessThan">
      <formula>0</formula>
    </cfRule>
  </conditionalFormatting>
  <conditionalFormatting sqref="F136:G1048576 G86:G135">
    <cfRule type="cellIs" dxfId="1505" priority="5664" operator="lessThan">
      <formula>0</formula>
    </cfRule>
  </conditionalFormatting>
  <conditionalFormatting sqref="F136:G1048576 G86:G135">
    <cfRule type="cellIs" dxfId="1504" priority="5663" operator="lessThan">
      <formula>0</formula>
    </cfRule>
  </conditionalFormatting>
  <conditionalFormatting sqref="F136:G1048576 G86:G135">
    <cfRule type="cellIs" dxfId="1503" priority="5662" operator="lessThan">
      <formula>0</formula>
    </cfRule>
  </conditionalFormatting>
  <conditionalFormatting sqref="F136:G1048576 G86:G135">
    <cfRule type="cellIs" dxfId="1502" priority="5661" operator="lessThan">
      <formula>0</formula>
    </cfRule>
  </conditionalFormatting>
  <conditionalFormatting sqref="F136:G1048576 G86:G135">
    <cfRule type="cellIs" dxfId="1501" priority="5660" operator="lessThan">
      <formula>0</formula>
    </cfRule>
  </conditionalFormatting>
  <conditionalFormatting sqref="F136:G1048576 G86:G135">
    <cfRule type="cellIs" dxfId="1500" priority="5659" operator="lessThan">
      <formula>0</formula>
    </cfRule>
  </conditionalFormatting>
  <conditionalFormatting sqref="F136:G1048576 G86:G135">
    <cfRule type="cellIs" dxfId="1499" priority="5658" operator="lessThan">
      <formula>0</formula>
    </cfRule>
  </conditionalFormatting>
  <conditionalFormatting sqref="F136:G1048576 G86:G135">
    <cfRule type="cellIs" dxfId="1498" priority="5657" operator="lessThan">
      <formula>0</formula>
    </cfRule>
  </conditionalFormatting>
  <conditionalFormatting sqref="F136:G1048576 G86:G135">
    <cfRule type="cellIs" dxfId="1497" priority="5656" operator="lessThan">
      <formula>0</formula>
    </cfRule>
  </conditionalFormatting>
  <conditionalFormatting sqref="F136:G1048576 G86:G135">
    <cfRule type="cellIs" dxfId="1496" priority="5655" operator="lessThan">
      <formula>0</formula>
    </cfRule>
  </conditionalFormatting>
  <conditionalFormatting sqref="F136:G1048576 G86:G135">
    <cfRule type="cellIs" dxfId="1495" priority="5654" operator="lessThan">
      <formula>0</formula>
    </cfRule>
  </conditionalFormatting>
  <conditionalFormatting sqref="F136:G1048576 G86:G135">
    <cfRule type="cellIs" dxfId="1494" priority="5653" operator="lessThan">
      <formula>0</formula>
    </cfRule>
  </conditionalFormatting>
  <conditionalFormatting sqref="F136:G1048576 G86:G135">
    <cfRule type="cellIs" dxfId="1493" priority="5652" operator="lessThan">
      <formula>0</formula>
    </cfRule>
  </conditionalFormatting>
  <conditionalFormatting sqref="F136:G1048576 G86:G135">
    <cfRule type="cellIs" dxfId="1492" priority="5651" operator="lessThan">
      <formula>0</formula>
    </cfRule>
  </conditionalFormatting>
  <conditionalFormatting sqref="F136:G1048576 G86:G135">
    <cfRule type="cellIs" dxfId="1491" priority="5650" operator="lessThan">
      <formula>0</formula>
    </cfRule>
  </conditionalFormatting>
  <conditionalFormatting sqref="F136:G1048576 G86:G135">
    <cfRule type="cellIs" dxfId="1490" priority="5649" operator="lessThan">
      <formula>0</formula>
    </cfRule>
  </conditionalFormatting>
  <conditionalFormatting sqref="F136:G1048576 G86:G135">
    <cfRule type="cellIs" dxfId="1489" priority="5648" operator="lessThan">
      <formula>0</formula>
    </cfRule>
  </conditionalFormatting>
  <conditionalFormatting sqref="F136:G1048576 G86:G135">
    <cfRule type="cellIs" dxfId="1488" priority="5647" operator="lessThan">
      <formula>0</formula>
    </cfRule>
  </conditionalFormatting>
  <conditionalFormatting sqref="F136:G1048576 G86:G135">
    <cfRule type="cellIs" dxfId="1487" priority="5646" operator="lessThan">
      <formula>0</formula>
    </cfRule>
  </conditionalFormatting>
  <conditionalFormatting sqref="F136:G1048576 G86:G135">
    <cfRule type="cellIs" dxfId="1486" priority="5645" operator="lessThan">
      <formula>0</formula>
    </cfRule>
  </conditionalFormatting>
  <conditionalFormatting sqref="F136:G1048576 G86:G135">
    <cfRule type="cellIs" dxfId="1485" priority="5644" operator="lessThan">
      <formula>0</formula>
    </cfRule>
  </conditionalFormatting>
  <conditionalFormatting sqref="F136:G1048576 G86:G135">
    <cfRule type="cellIs" dxfId="1484" priority="5643" operator="lessThan">
      <formula>0</formula>
    </cfRule>
  </conditionalFormatting>
  <conditionalFormatting sqref="F136:G1048576 G86:G135">
    <cfRule type="cellIs" dxfId="1483" priority="5642" operator="lessThan">
      <formula>0</formula>
    </cfRule>
  </conditionalFormatting>
  <conditionalFormatting sqref="F136:G1048576 G86:G135">
    <cfRule type="cellIs" dxfId="1482" priority="5641" operator="lessThan">
      <formula>0</formula>
    </cfRule>
  </conditionalFormatting>
  <conditionalFormatting sqref="F136:G1048576 G86:G135">
    <cfRule type="cellIs" dxfId="1481" priority="5640" operator="lessThan">
      <formula>0</formula>
    </cfRule>
  </conditionalFormatting>
  <conditionalFormatting sqref="F136:G1048576 G86:G135">
    <cfRule type="cellIs" dxfId="1480" priority="5639" operator="lessThan">
      <formula>0</formula>
    </cfRule>
  </conditionalFormatting>
  <conditionalFormatting sqref="F136:G1048576 G86:G135">
    <cfRule type="cellIs" dxfId="1479" priority="5638" operator="lessThan">
      <formula>0</formula>
    </cfRule>
  </conditionalFormatting>
  <conditionalFormatting sqref="F136:G1048576 G86:G135">
    <cfRule type="cellIs" dxfId="1478" priority="5637" operator="lessThan">
      <formula>0</formula>
    </cfRule>
  </conditionalFormatting>
  <conditionalFormatting sqref="F136:G1048576 G86:G135">
    <cfRule type="cellIs" dxfId="1477" priority="5636" operator="lessThan">
      <formula>0</formula>
    </cfRule>
  </conditionalFormatting>
  <conditionalFormatting sqref="F136:G1048576 G86:G135">
    <cfRule type="cellIs" dxfId="1476" priority="5635" operator="lessThan">
      <formula>0</formula>
    </cfRule>
  </conditionalFormatting>
  <conditionalFormatting sqref="F136:G1048576 G86:G135">
    <cfRule type="cellIs" dxfId="1475" priority="5634" operator="lessThan">
      <formula>0</formula>
    </cfRule>
  </conditionalFormatting>
  <conditionalFormatting sqref="F136:G1048576 G86:G135">
    <cfRule type="cellIs" dxfId="1474" priority="5633" operator="lessThan">
      <formula>0</formula>
    </cfRule>
  </conditionalFormatting>
  <conditionalFormatting sqref="F136:G1048576 G86:G135">
    <cfRule type="cellIs" dxfId="1473" priority="5632" operator="lessThan">
      <formula>0</formula>
    </cfRule>
  </conditionalFormatting>
  <conditionalFormatting sqref="F136:G1048576 G86:G135">
    <cfRule type="cellIs" dxfId="1472" priority="5631" operator="lessThan">
      <formula>0</formula>
    </cfRule>
  </conditionalFormatting>
  <conditionalFormatting sqref="F136:G1048576 G86:G135">
    <cfRule type="cellIs" dxfId="1471" priority="5630" operator="lessThan">
      <formula>0</formula>
    </cfRule>
  </conditionalFormatting>
  <conditionalFormatting sqref="F136:G1048576 G86:G135">
    <cfRule type="cellIs" dxfId="1470" priority="5629" operator="lessThan">
      <formula>0</formula>
    </cfRule>
  </conditionalFormatting>
  <conditionalFormatting sqref="F136:G1048576 G86:G135">
    <cfRule type="cellIs" dxfId="1469" priority="5628" operator="lessThan">
      <formula>0</formula>
    </cfRule>
  </conditionalFormatting>
  <conditionalFormatting sqref="F136:G1048576 G86:G135">
    <cfRule type="cellIs" dxfId="1468" priority="5627" operator="lessThan">
      <formula>0</formula>
    </cfRule>
  </conditionalFormatting>
  <conditionalFormatting sqref="F136:G1048576 G86:G135">
    <cfRule type="cellIs" dxfId="1467" priority="5626" operator="lessThan">
      <formula>0</formula>
    </cfRule>
  </conditionalFormatting>
  <conditionalFormatting sqref="F136:G1048576 G86:G135">
    <cfRule type="cellIs" dxfId="1466" priority="5625" operator="lessThan">
      <formula>0</formula>
    </cfRule>
  </conditionalFormatting>
  <conditionalFormatting sqref="F136:G1048576 G86:G135">
    <cfRule type="cellIs" dxfId="1465" priority="5624" operator="lessThan">
      <formula>0</formula>
    </cfRule>
  </conditionalFormatting>
  <conditionalFormatting sqref="F136:G1048576 G86:G135">
    <cfRule type="cellIs" dxfId="1464" priority="5623" operator="lessThan">
      <formula>0</formula>
    </cfRule>
  </conditionalFormatting>
  <conditionalFormatting sqref="F136:G1048576 G86:G135">
    <cfRule type="cellIs" dxfId="1463" priority="5622" operator="lessThan">
      <formula>0</formula>
    </cfRule>
  </conditionalFormatting>
  <conditionalFormatting sqref="F136:G1048576 G86:G135">
    <cfRule type="cellIs" dxfId="1462" priority="5621" operator="lessThan">
      <formula>0</formula>
    </cfRule>
  </conditionalFormatting>
  <conditionalFormatting sqref="F136:G1048576 G86:G135">
    <cfRule type="cellIs" dxfId="1461" priority="5620" operator="lessThan">
      <formula>0</formula>
    </cfRule>
  </conditionalFormatting>
  <conditionalFormatting sqref="F136:G1048576 G86:G135">
    <cfRule type="cellIs" dxfId="1460" priority="5619" operator="lessThan">
      <formula>0</formula>
    </cfRule>
  </conditionalFormatting>
  <conditionalFormatting sqref="F136:G1048576 G86:G135">
    <cfRule type="cellIs" dxfId="1459" priority="5618" operator="lessThan">
      <formula>0</formula>
    </cfRule>
  </conditionalFormatting>
  <conditionalFormatting sqref="F136:G1048576 G86:G135">
    <cfRule type="cellIs" dxfId="1458" priority="5617" operator="lessThan">
      <formula>0</formula>
    </cfRule>
  </conditionalFormatting>
  <conditionalFormatting sqref="F136:G1048576 G86:G135">
    <cfRule type="cellIs" dxfId="1457" priority="5616" operator="lessThan">
      <formula>0</formula>
    </cfRule>
  </conditionalFormatting>
  <conditionalFormatting sqref="F136:G1048576 G86:G135">
    <cfRule type="cellIs" dxfId="1456" priority="5615" operator="lessThan">
      <formula>0</formula>
    </cfRule>
  </conditionalFormatting>
  <conditionalFormatting sqref="F136:G1048576 G86:G135">
    <cfRule type="cellIs" dxfId="1455" priority="5614" operator="lessThan">
      <formula>0</formula>
    </cfRule>
  </conditionalFormatting>
  <conditionalFormatting sqref="F136:G1048576 G86:G135">
    <cfRule type="cellIs" dxfId="1454" priority="5613" operator="lessThan">
      <formula>0</formula>
    </cfRule>
  </conditionalFormatting>
  <conditionalFormatting sqref="F136:G1048576 G86:G135">
    <cfRule type="cellIs" dxfId="1453" priority="5612" operator="lessThan">
      <formula>0</formula>
    </cfRule>
  </conditionalFormatting>
  <conditionalFormatting sqref="F136:G1048576 G86:G135">
    <cfRule type="cellIs" dxfId="1452" priority="5611" operator="lessThan">
      <formula>0</formula>
    </cfRule>
  </conditionalFormatting>
  <conditionalFormatting sqref="F136:G1048576 G86:G135">
    <cfRule type="cellIs" dxfId="1451" priority="5610" operator="lessThan">
      <formula>0</formula>
    </cfRule>
  </conditionalFormatting>
  <conditionalFormatting sqref="F136:G1048576 G86:G135">
    <cfRule type="cellIs" dxfId="1450" priority="5609" operator="lessThan">
      <formula>0</formula>
    </cfRule>
  </conditionalFormatting>
  <conditionalFormatting sqref="F136:G1048576 G86:G135">
    <cfRule type="cellIs" dxfId="1449" priority="5608" operator="lessThan">
      <formula>0</formula>
    </cfRule>
  </conditionalFormatting>
  <conditionalFormatting sqref="F136:G1048576 G86:G135">
    <cfRule type="cellIs" dxfId="1448" priority="5607" operator="lessThan">
      <formula>0</formula>
    </cfRule>
  </conditionalFormatting>
  <conditionalFormatting sqref="F136:G1048576 G86:G135">
    <cfRule type="cellIs" dxfId="1447" priority="5606" operator="lessThan">
      <formula>0</formula>
    </cfRule>
  </conditionalFormatting>
  <conditionalFormatting sqref="F136:G1048576 G86:G135">
    <cfRule type="cellIs" dxfId="1446" priority="5605" operator="lessThan">
      <formula>0</formula>
    </cfRule>
  </conditionalFormatting>
  <conditionalFormatting sqref="F136:G1048576 G86:G135">
    <cfRule type="cellIs" dxfId="1445" priority="5604" operator="lessThan">
      <formula>0</formula>
    </cfRule>
  </conditionalFormatting>
  <conditionalFormatting sqref="F136:G1048576 G86:G135">
    <cfRule type="cellIs" dxfId="1444" priority="5603" operator="lessThan">
      <formula>0</formula>
    </cfRule>
  </conditionalFormatting>
  <conditionalFormatting sqref="F136:G1048576 G86:G135">
    <cfRule type="cellIs" dxfId="1443" priority="5602" operator="lessThan">
      <formula>0</formula>
    </cfRule>
  </conditionalFormatting>
  <conditionalFormatting sqref="F136:G1048576 G86:G135">
    <cfRule type="cellIs" dxfId="1442" priority="5601" operator="lessThan">
      <formula>0</formula>
    </cfRule>
  </conditionalFormatting>
  <conditionalFormatting sqref="F136:G1048576 G86:G135">
    <cfRule type="cellIs" dxfId="1441" priority="5600" operator="lessThan">
      <formula>0</formula>
    </cfRule>
  </conditionalFormatting>
  <conditionalFormatting sqref="F136:G1048576 G86:G135">
    <cfRule type="cellIs" dxfId="1440" priority="5599" operator="lessThan">
      <formula>0</formula>
    </cfRule>
  </conditionalFormatting>
  <conditionalFormatting sqref="F136:G1048576 G86:G135">
    <cfRule type="cellIs" dxfId="1439" priority="5598" operator="lessThan">
      <formula>0</formula>
    </cfRule>
  </conditionalFormatting>
  <conditionalFormatting sqref="F136:G1048576 G86:G135">
    <cfRule type="cellIs" dxfId="1438" priority="5597" operator="lessThan">
      <formula>0</formula>
    </cfRule>
  </conditionalFormatting>
  <conditionalFormatting sqref="F136:G1048576 G86:G135">
    <cfRule type="cellIs" dxfId="1437" priority="5596" operator="lessThan">
      <formula>0</formula>
    </cfRule>
  </conditionalFormatting>
  <conditionalFormatting sqref="F136:G1048576 G86:G135">
    <cfRule type="cellIs" dxfId="1436" priority="5595" operator="lessThan">
      <formula>0</formula>
    </cfRule>
  </conditionalFormatting>
  <conditionalFormatting sqref="F136:G1048576 G86:G135">
    <cfRule type="cellIs" dxfId="1435" priority="5594" operator="lessThan">
      <formula>0</formula>
    </cfRule>
  </conditionalFormatting>
  <conditionalFormatting sqref="F136:G1048576 G86:G135">
    <cfRule type="cellIs" dxfId="1434" priority="5593" operator="lessThan">
      <formula>0</formula>
    </cfRule>
  </conditionalFormatting>
  <conditionalFormatting sqref="F136:G1048576 G86:G135">
    <cfRule type="cellIs" dxfId="1433" priority="5592" operator="lessThan">
      <formula>0</formula>
    </cfRule>
  </conditionalFormatting>
  <conditionalFormatting sqref="F136:G1048576 G86:G135">
    <cfRule type="cellIs" dxfId="1432" priority="5591" operator="lessThan">
      <formula>0</formula>
    </cfRule>
  </conditionalFormatting>
  <conditionalFormatting sqref="F136:G1048576 G86:G135">
    <cfRule type="cellIs" dxfId="1431" priority="5590" operator="lessThan">
      <formula>0</formula>
    </cfRule>
  </conditionalFormatting>
  <conditionalFormatting sqref="F136:G1048576 G86:G135">
    <cfRule type="cellIs" dxfId="1430" priority="5589" operator="lessThan">
      <formula>0</formula>
    </cfRule>
  </conditionalFormatting>
  <conditionalFormatting sqref="F136:G1048576 G86:G135">
    <cfRule type="cellIs" dxfId="1429" priority="5588" operator="lessThan">
      <formula>0</formula>
    </cfRule>
  </conditionalFormatting>
  <conditionalFormatting sqref="F136:G1048576 G86:G135">
    <cfRule type="cellIs" dxfId="1428" priority="5587" operator="lessThan">
      <formula>0</formula>
    </cfRule>
  </conditionalFormatting>
  <conditionalFormatting sqref="F136:G1048576 G86:G135">
    <cfRule type="cellIs" dxfId="1427" priority="5586" operator="lessThan">
      <formula>0</formula>
    </cfRule>
  </conditionalFormatting>
  <conditionalFormatting sqref="F136:G1048576 G86:G135">
    <cfRule type="cellIs" dxfId="1426" priority="5585" operator="lessThan">
      <formula>0</formula>
    </cfRule>
  </conditionalFormatting>
  <conditionalFormatting sqref="F136:G1048576 G86:G135">
    <cfRule type="cellIs" dxfId="1425" priority="5584" operator="lessThan">
      <formula>0</formula>
    </cfRule>
  </conditionalFormatting>
  <conditionalFormatting sqref="F136:G1048576 G86:G135">
    <cfRule type="cellIs" dxfId="1424" priority="5583" operator="lessThan">
      <formula>0</formula>
    </cfRule>
  </conditionalFormatting>
  <conditionalFormatting sqref="F136:G1048576 G86:G135">
    <cfRule type="cellIs" dxfId="1423" priority="5582" operator="lessThan">
      <formula>0</formula>
    </cfRule>
  </conditionalFormatting>
  <conditionalFormatting sqref="F136:G1048576 G86:G135">
    <cfRule type="cellIs" dxfId="1422" priority="5581" operator="lessThan">
      <formula>0</formula>
    </cfRule>
  </conditionalFormatting>
  <conditionalFormatting sqref="F136:G1048576 G86:G135">
    <cfRule type="cellIs" dxfId="1421" priority="5580" operator="lessThan">
      <formula>0</formula>
    </cfRule>
  </conditionalFormatting>
  <conditionalFormatting sqref="F136:G1048576 G86:G135">
    <cfRule type="cellIs" dxfId="1420" priority="5579" operator="lessThan">
      <formula>0</formula>
    </cfRule>
  </conditionalFormatting>
  <conditionalFormatting sqref="F136:G1048576 G86:G135">
    <cfRule type="cellIs" dxfId="1419" priority="5578" operator="lessThan">
      <formula>0</formula>
    </cfRule>
  </conditionalFormatting>
  <conditionalFormatting sqref="F136:G1048576 G86:G135">
    <cfRule type="cellIs" dxfId="1418" priority="5577" operator="lessThan">
      <formula>0</formula>
    </cfRule>
  </conditionalFormatting>
  <conditionalFormatting sqref="F136:G1048576 G86:G135">
    <cfRule type="cellIs" dxfId="1417" priority="5576" operator="lessThan">
      <formula>0</formula>
    </cfRule>
  </conditionalFormatting>
  <conditionalFormatting sqref="F136:G1048576 G86:G135">
    <cfRule type="cellIs" dxfId="1416" priority="5575" operator="lessThan">
      <formula>0</formula>
    </cfRule>
  </conditionalFormatting>
  <conditionalFormatting sqref="F136:G1048576 G86:G135">
    <cfRule type="cellIs" dxfId="1415" priority="5574" operator="lessThan">
      <formula>0</formula>
    </cfRule>
  </conditionalFormatting>
  <conditionalFormatting sqref="F136:G1048576 G86:G135">
    <cfRule type="cellIs" dxfId="1414" priority="5573" operator="lessThan">
      <formula>0</formula>
    </cfRule>
  </conditionalFormatting>
  <conditionalFormatting sqref="F136:G1048576 G86:G135">
    <cfRule type="cellIs" dxfId="1413" priority="5572" operator="lessThan">
      <formula>0</formula>
    </cfRule>
  </conditionalFormatting>
  <conditionalFormatting sqref="F136:G1048576 G86:G135">
    <cfRule type="cellIs" dxfId="1412" priority="5571" operator="lessThan">
      <formula>0</formula>
    </cfRule>
  </conditionalFormatting>
  <conditionalFormatting sqref="F136:G1048576 G86:G135">
    <cfRule type="cellIs" dxfId="1411" priority="5570" operator="lessThan">
      <formula>0</formula>
    </cfRule>
  </conditionalFormatting>
  <conditionalFormatting sqref="F136:G1048576 G86:G135">
    <cfRule type="cellIs" dxfId="1410" priority="5569" operator="lessThan">
      <formula>0</formula>
    </cfRule>
  </conditionalFormatting>
  <conditionalFormatting sqref="F136:G1048576 G86:G135">
    <cfRule type="cellIs" dxfId="1409" priority="5568" operator="lessThan">
      <formula>0</formula>
    </cfRule>
  </conditionalFormatting>
  <conditionalFormatting sqref="F136:G1048576 G86:G135">
    <cfRule type="cellIs" dxfId="1408" priority="5567" operator="lessThan">
      <formula>0</formula>
    </cfRule>
  </conditionalFormatting>
  <conditionalFormatting sqref="F136:G1048576 G86:G135">
    <cfRule type="cellIs" dxfId="1407" priority="5566" operator="lessThan">
      <formula>0</formula>
    </cfRule>
  </conditionalFormatting>
  <conditionalFormatting sqref="F136:G1048576 G86:G135">
    <cfRule type="cellIs" dxfId="1406" priority="5565" operator="lessThan">
      <formula>0</formula>
    </cfRule>
  </conditionalFormatting>
  <conditionalFormatting sqref="F136:G1048576 G86:G135">
    <cfRule type="cellIs" dxfId="1405" priority="5564" operator="lessThan">
      <formula>0</formula>
    </cfRule>
  </conditionalFormatting>
  <conditionalFormatting sqref="F136:G1048576 G86:G135">
    <cfRule type="cellIs" dxfId="1404" priority="5563" operator="lessThan">
      <formula>0</formula>
    </cfRule>
  </conditionalFormatting>
  <conditionalFormatting sqref="F136:G1048576 G86:G135">
    <cfRule type="cellIs" dxfId="1403" priority="5562" operator="lessThan">
      <formula>0</formula>
    </cfRule>
  </conditionalFormatting>
  <conditionalFormatting sqref="F136:G1048576 G86:G135">
    <cfRule type="cellIs" dxfId="1402" priority="5561" operator="lessThan">
      <formula>0</formula>
    </cfRule>
  </conditionalFormatting>
  <conditionalFormatting sqref="F136:G1048576 G86:G135">
    <cfRule type="cellIs" dxfId="1401" priority="5560" operator="lessThan">
      <formula>0</formula>
    </cfRule>
  </conditionalFormatting>
  <conditionalFormatting sqref="F136:G1048576 G86:G135">
    <cfRule type="cellIs" dxfId="1400" priority="5559" operator="lessThan">
      <formula>0</formula>
    </cfRule>
  </conditionalFormatting>
  <conditionalFormatting sqref="F136:G1048576 G86:G135">
    <cfRule type="cellIs" dxfId="1399" priority="5558" operator="lessThan">
      <formula>0</formula>
    </cfRule>
  </conditionalFormatting>
  <conditionalFormatting sqref="F136:G1048576 G86:G135">
    <cfRule type="cellIs" dxfId="1398" priority="5557" operator="lessThan">
      <formula>0</formula>
    </cfRule>
  </conditionalFormatting>
  <conditionalFormatting sqref="F136:G1048576 G61:G135">
    <cfRule type="cellIs" dxfId="1397" priority="5556" operator="lessThan">
      <formula>0</formula>
    </cfRule>
  </conditionalFormatting>
  <conditionalFormatting sqref="F136:G1048576 G61:G135">
    <cfRule type="cellIs" dxfId="1396" priority="5555" operator="lessThan">
      <formula>0</formula>
    </cfRule>
  </conditionalFormatting>
  <conditionalFormatting sqref="F136:G1048576 G61:G135">
    <cfRule type="cellIs" dxfId="1395" priority="5554" operator="lessThan">
      <formula>0</formula>
    </cfRule>
  </conditionalFormatting>
  <conditionalFormatting sqref="F136:G1048576 G61:G135">
    <cfRule type="cellIs" dxfId="1394" priority="5553" operator="lessThan">
      <formula>0</formula>
    </cfRule>
  </conditionalFormatting>
  <conditionalFormatting sqref="F136:G1048576 G61:G135">
    <cfRule type="cellIs" dxfId="1393" priority="5552" operator="lessThan">
      <formula>0</formula>
    </cfRule>
  </conditionalFormatting>
  <conditionalFormatting sqref="F136:G1048576 G61:G135">
    <cfRule type="cellIs" dxfId="1392" priority="5551" operator="lessThan">
      <formula>0</formula>
    </cfRule>
  </conditionalFormatting>
  <conditionalFormatting sqref="F136:G1048576 G61:G135">
    <cfRule type="cellIs" dxfId="1391" priority="5550" operator="lessThan">
      <formula>0</formula>
    </cfRule>
  </conditionalFormatting>
  <conditionalFormatting sqref="F136:G1048576 G61:G135">
    <cfRule type="cellIs" dxfId="1390" priority="5549" operator="lessThan">
      <formula>0</formula>
    </cfRule>
  </conditionalFormatting>
  <conditionalFormatting sqref="F136:G1048576 G61:G135">
    <cfRule type="cellIs" dxfId="1389" priority="5548" operator="lessThan">
      <formula>0</formula>
    </cfRule>
  </conditionalFormatting>
  <conditionalFormatting sqref="F136:G1048576 G61:G135">
    <cfRule type="cellIs" dxfId="1388" priority="5547" operator="lessThan">
      <formula>0</formula>
    </cfRule>
  </conditionalFormatting>
  <conditionalFormatting sqref="F136:G1048576 G61:G135">
    <cfRule type="cellIs" dxfId="1387" priority="5546" operator="lessThan">
      <formula>0</formula>
    </cfRule>
  </conditionalFormatting>
  <conditionalFormatting sqref="F136:G1048576 G61:G135">
    <cfRule type="cellIs" dxfId="1386" priority="5545" operator="lessThan">
      <formula>0</formula>
    </cfRule>
  </conditionalFormatting>
  <conditionalFormatting sqref="F136:G1048576 G61:G135">
    <cfRule type="cellIs" dxfId="1385" priority="5544" operator="lessThan">
      <formula>0</formula>
    </cfRule>
  </conditionalFormatting>
  <conditionalFormatting sqref="F136:G1048576 G61:G135">
    <cfRule type="cellIs" dxfId="1384" priority="5543" operator="lessThan">
      <formula>0</formula>
    </cfRule>
  </conditionalFormatting>
  <conditionalFormatting sqref="F136:G1048576 G61:G135">
    <cfRule type="cellIs" dxfId="1383" priority="5542" operator="lessThan">
      <formula>0</formula>
    </cfRule>
  </conditionalFormatting>
  <conditionalFormatting sqref="F136:G1048576 G61:G135">
    <cfRule type="cellIs" dxfId="1382" priority="5541" operator="lessThan">
      <formula>0</formula>
    </cfRule>
  </conditionalFormatting>
  <conditionalFormatting sqref="F136:G1048576 G61:G135">
    <cfRule type="cellIs" dxfId="1381" priority="5540" operator="lessThan">
      <formula>0</formula>
    </cfRule>
  </conditionalFormatting>
  <conditionalFormatting sqref="F136:G1048576 G61:G135">
    <cfRule type="cellIs" dxfId="1380" priority="5539" operator="lessThan">
      <formula>0</formula>
    </cfRule>
  </conditionalFormatting>
  <conditionalFormatting sqref="F136:G1048576 G61:G135">
    <cfRule type="cellIs" dxfId="1379" priority="5538" operator="lessThan">
      <formula>0</formula>
    </cfRule>
  </conditionalFormatting>
  <conditionalFormatting sqref="F136:G1048576 G61:G135">
    <cfRule type="cellIs" dxfId="1378" priority="5537" operator="lessThan">
      <formula>0</formula>
    </cfRule>
  </conditionalFormatting>
  <conditionalFormatting sqref="F136:G1048576 G61:G135">
    <cfRule type="cellIs" dxfId="1377" priority="5536" operator="lessThan">
      <formula>0</formula>
    </cfRule>
  </conditionalFormatting>
  <conditionalFormatting sqref="F136:G1048576 G61:G135">
    <cfRule type="cellIs" dxfId="1376" priority="5535" operator="lessThan">
      <formula>0</formula>
    </cfRule>
  </conditionalFormatting>
  <conditionalFormatting sqref="F136:G1048576 G61:G135">
    <cfRule type="cellIs" dxfId="1375" priority="5534" operator="lessThan">
      <formula>0</formula>
    </cfRule>
  </conditionalFormatting>
  <conditionalFormatting sqref="F136:G1048576 G61:G135">
    <cfRule type="cellIs" dxfId="1374" priority="5533" operator="lessThan">
      <formula>0</formula>
    </cfRule>
  </conditionalFormatting>
  <conditionalFormatting sqref="F136:G1048576 G61:G135">
    <cfRule type="cellIs" dxfId="1373" priority="5532" operator="lessThan">
      <formula>0</formula>
    </cfRule>
  </conditionalFormatting>
  <conditionalFormatting sqref="F136:G1048576 G61:G135">
    <cfRule type="cellIs" dxfId="1372" priority="5531" operator="lessThan">
      <formula>0</formula>
    </cfRule>
  </conditionalFormatting>
  <conditionalFormatting sqref="F136:G1048576 G61:G135">
    <cfRule type="cellIs" dxfId="1371" priority="5530" operator="lessThan">
      <formula>0</formula>
    </cfRule>
  </conditionalFormatting>
  <conditionalFormatting sqref="F136:G1048576 G61:G135">
    <cfRule type="cellIs" dxfId="1370" priority="5529" operator="lessThan">
      <formula>0</formula>
    </cfRule>
  </conditionalFormatting>
  <conditionalFormatting sqref="F136:G1048576 G61:G135">
    <cfRule type="cellIs" dxfId="1369" priority="5528" operator="lessThan">
      <formula>0</formula>
    </cfRule>
  </conditionalFormatting>
  <conditionalFormatting sqref="F136:G1048576 G61:G135">
    <cfRule type="cellIs" dxfId="1368" priority="5527" operator="lessThan">
      <formula>0</formula>
    </cfRule>
  </conditionalFormatting>
  <conditionalFormatting sqref="F136:G1048576 G61:G135">
    <cfRule type="cellIs" dxfId="1367" priority="5526" operator="lessThan">
      <formula>0</formula>
    </cfRule>
  </conditionalFormatting>
  <conditionalFormatting sqref="F136:G1048576 G61:G135">
    <cfRule type="cellIs" dxfId="1366" priority="5525" operator="lessThan">
      <formula>0</formula>
    </cfRule>
  </conditionalFormatting>
  <conditionalFormatting sqref="F136:G1048576 G61:G135">
    <cfRule type="cellIs" dxfId="1365" priority="5524" operator="lessThan">
      <formula>0</formula>
    </cfRule>
  </conditionalFormatting>
  <conditionalFormatting sqref="F136:G1048576 G61:G135">
    <cfRule type="cellIs" dxfId="1364" priority="5523" operator="lessThan">
      <formula>0</formula>
    </cfRule>
  </conditionalFormatting>
  <conditionalFormatting sqref="F136:G1048576 G61:G135">
    <cfRule type="cellIs" dxfId="1363" priority="5522" operator="lessThan">
      <formula>0</formula>
    </cfRule>
  </conditionalFormatting>
  <conditionalFormatting sqref="F136:G1048576 G61:G135">
    <cfRule type="cellIs" dxfId="1362" priority="5521" operator="lessThan">
      <formula>0</formula>
    </cfRule>
  </conditionalFormatting>
  <conditionalFormatting sqref="F136:G1048576 G61:G135">
    <cfRule type="cellIs" dxfId="1361" priority="5520" operator="lessThan">
      <formula>0</formula>
    </cfRule>
  </conditionalFormatting>
  <conditionalFormatting sqref="F136:G1048576 G61:G135">
    <cfRule type="cellIs" dxfId="1360" priority="5519" operator="lessThan">
      <formula>0</formula>
    </cfRule>
  </conditionalFormatting>
  <conditionalFormatting sqref="F136:G1048576 G61:G135">
    <cfRule type="cellIs" dxfId="1359" priority="5518" operator="lessThan">
      <formula>0</formula>
    </cfRule>
  </conditionalFormatting>
  <conditionalFormatting sqref="F136:G1048576 G61:G135">
    <cfRule type="cellIs" dxfId="1358" priority="5517" operator="lessThan">
      <formula>0</formula>
    </cfRule>
  </conditionalFormatting>
  <conditionalFormatting sqref="F136:G1048576 G61:G135">
    <cfRule type="cellIs" dxfId="1357" priority="5516" operator="lessThan">
      <formula>0</formula>
    </cfRule>
  </conditionalFormatting>
  <conditionalFormatting sqref="F136:G1048576 G61:G135">
    <cfRule type="cellIs" dxfId="1356" priority="5515" operator="lessThan">
      <formula>0</formula>
    </cfRule>
  </conditionalFormatting>
  <conditionalFormatting sqref="F136:G1048576 G61:G135">
    <cfRule type="cellIs" dxfId="1355" priority="5514" operator="lessThan">
      <formula>0</formula>
    </cfRule>
  </conditionalFormatting>
  <conditionalFormatting sqref="F136:G1048576 G61:G135">
    <cfRule type="cellIs" dxfId="1354" priority="5513" operator="lessThan">
      <formula>0</formula>
    </cfRule>
  </conditionalFormatting>
  <conditionalFormatting sqref="F136:G1048576 G61:G135">
    <cfRule type="cellIs" dxfId="1353" priority="5512" operator="lessThan">
      <formula>0</formula>
    </cfRule>
  </conditionalFormatting>
  <conditionalFormatting sqref="F136:G1048576 G61:G135">
    <cfRule type="cellIs" dxfId="1352" priority="5511" operator="lessThan">
      <formula>0</formula>
    </cfRule>
  </conditionalFormatting>
  <conditionalFormatting sqref="F136:G1048576 G61:G135">
    <cfRule type="cellIs" dxfId="1351" priority="5510" operator="lessThan">
      <formula>0</formula>
    </cfRule>
  </conditionalFormatting>
  <conditionalFormatting sqref="F136:G1048576 G61:G135">
    <cfRule type="cellIs" dxfId="1350" priority="5509" operator="lessThan">
      <formula>0</formula>
    </cfRule>
  </conditionalFormatting>
  <conditionalFormatting sqref="F136:G1048576 G61:G135">
    <cfRule type="cellIs" dxfId="1349" priority="5508" operator="lessThan">
      <formula>0</formula>
    </cfRule>
  </conditionalFormatting>
  <conditionalFormatting sqref="F136:G1048576 G61:G135">
    <cfRule type="cellIs" dxfId="1348" priority="5507" operator="lessThan">
      <formula>0</formula>
    </cfRule>
  </conditionalFormatting>
  <conditionalFormatting sqref="F136:G1048576 G61:G135">
    <cfRule type="cellIs" dxfId="1347" priority="5506" operator="lessThan">
      <formula>0</formula>
    </cfRule>
  </conditionalFormatting>
  <conditionalFormatting sqref="F136:G1048576 G61:G135">
    <cfRule type="cellIs" dxfId="1346" priority="5505" operator="lessThan">
      <formula>0</formula>
    </cfRule>
  </conditionalFormatting>
  <conditionalFormatting sqref="F136:G1048576 G61:G135">
    <cfRule type="cellIs" dxfId="1345" priority="5504" operator="lessThan">
      <formula>0</formula>
    </cfRule>
  </conditionalFormatting>
  <conditionalFormatting sqref="F136:G1048576 G61:G135">
    <cfRule type="cellIs" dxfId="1344" priority="5503" operator="lessThan">
      <formula>0</formula>
    </cfRule>
  </conditionalFormatting>
  <conditionalFormatting sqref="F136:G1048576 G61:G135">
    <cfRule type="cellIs" dxfId="1343" priority="5502" operator="lessThan">
      <formula>0</formula>
    </cfRule>
  </conditionalFormatting>
  <conditionalFormatting sqref="F136:G1048576 G61:G135">
    <cfRule type="cellIs" dxfId="1342" priority="5501" operator="lessThan">
      <formula>0</formula>
    </cfRule>
  </conditionalFormatting>
  <conditionalFormatting sqref="F136:G1048576 G61:G135">
    <cfRule type="cellIs" dxfId="1341" priority="5500" operator="lessThan">
      <formula>0</formula>
    </cfRule>
  </conditionalFormatting>
  <conditionalFormatting sqref="F136:G1048576 G61:G135">
    <cfRule type="cellIs" dxfId="1340" priority="5499" operator="lessThan">
      <formula>0</formula>
    </cfRule>
  </conditionalFormatting>
  <conditionalFormatting sqref="F136:G1048576 G61:G135">
    <cfRule type="cellIs" dxfId="1339" priority="5498" operator="lessThan">
      <formula>0</formula>
    </cfRule>
  </conditionalFormatting>
  <conditionalFormatting sqref="F136:G1048576 G61:G135">
    <cfRule type="cellIs" dxfId="1338" priority="5497" operator="lessThan">
      <formula>0</formula>
    </cfRule>
  </conditionalFormatting>
  <conditionalFormatting sqref="F136:G1048576 G61:G135">
    <cfRule type="cellIs" dxfId="1337" priority="5496" operator="lessThan">
      <formula>0</formula>
    </cfRule>
  </conditionalFormatting>
  <conditionalFormatting sqref="F136:G1048576 G61:G135">
    <cfRule type="cellIs" dxfId="1336" priority="5495" operator="lessThan">
      <formula>0</formula>
    </cfRule>
  </conditionalFormatting>
  <conditionalFormatting sqref="F136:G1048576 G61:G135">
    <cfRule type="cellIs" dxfId="1335" priority="5494" operator="lessThan">
      <formula>0</formula>
    </cfRule>
  </conditionalFormatting>
  <conditionalFormatting sqref="F136:G1048576 G61:G135">
    <cfRule type="cellIs" dxfId="1334" priority="5493" operator="lessThan">
      <formula>0</formula>
    </cfRule>
  </conditionalFormatting>
  <conditionalFormatting sqref="F136:G1048576 G61:G135">
    <cfRule type="cellIs" dxfId="1333" priority="5492" operator="lessThan">
      <formula>0</formula>
    </cfRule>
  </conditionalFormatting>
  <conditionalFormatting sqref="F136:G1048576 G61:G135">
    <cfRule type="cellIs" dxfId="1332" priority="5491" operator="lessThan">
      <formula>0</formula>
    </cfRule>
  </conditionalFormatting>
  <conditionalFormatting sqref="F136:G1048576 G61:G135">
    <cfRule type="cellIs" dxfId="1331" priority="5490" operator="lessThan">
      <formula>0</formula>
    </cfRule>
  </conditionalFormatting>
  <conditionalFormatting sqref="F136:G1048576 G61:G135">
    <cfRule type="cellIs" dxfId="1330" priority="5489" operator="lessThan">
      <formula>0</formula>
    </cfRule>
  </conditionalFormatting>
  <conditionalFormatting sqref="F136:G1048576 G61:G135">
    <cfRule type="cellIs" dxfId="1329" priority="5488" operator="lessThan">
      <formula>0</formula>
    </cfRule>
  </conditionalFormatting>
  <conditionalFormatting sqref="F136:G1048576 G61:G135">
    <cfRule type="cellIs" dxfId="1328" priority="5487" operator="lessThan">
      <formula>0</formula>
    </cfRule>
  </conditionalFormatting>
  <conditionalFormatting sqref="F136:G1048576 G61:G135">
    <cfRule type="cellIs" dxfId="1327" priority="5486" operator="lessThan">
      <formula>0</formula>
    </cfRule>
  </conditionalFormatting>
  <conditionalFormatting sqref="F136:G1048576 G61:G135">
    <cfRule type="cellIs" dxfId="1326" priority="5485" operator="lessThan">
      <formula>0</formula>
    </cfRule>
  </conditionalFormatting>
  <conditionalFormatting sqref="F136:G1048576 G61:G135">
    <cfRule type="cellIs" dxfId="1325" priority="5484" operator="lessThan">
      <formula>0</formula>
    </cfRule>
  </conditionalFormatting>
  <conditionalFormatting sqref="F136:G1048576 G61:G135">
    <cfRule type="cellIs" dxfId="1324" priority="5483" operator="lessThan">
      <formula>0</formula>
    </cfRule>
  </conditionalFormatting>
  <conditionalFormatting sqref="F136:G1048576 G61:G135">
    <cfRule type="cellIs" dxfId="1323" priority="5482" operator="lessThan">
      <formula>0</formula>
    </cfRule>
  </conditionalFormatting>
  <conditionalFormatting sqref="F136:G1048576 G61:G135">
    <cfRule type="cellIs" dxfId="1322" priority="5481" operator="lessThan">
      <formula>0</formula>
    </cfRule>
  </conditionalFormatting>
  <conditionalFormatting sqref="F136:G1048576 G61:G135">
    <cfRule type="cellIs" dxfId="1321" priority="5480" operator="lessThan">
      <formula>0</formula>
    </cfRule>
  </conditionalFormatting>
  <conditionalFormatting sqref="F136:G1048576 G61:G135">
    <cfRule type="cellIs" dxfId="1320" priority="5479" operator="lessThan">
      <formula>0</formula>
    </cfRule>
  </conditionalFormatting>
  <conditionalFormatting sqref="F136:G1048576 G61:G135">
    <cfRule type="cellIs" dxfId="1319" priority="5478" operator="lessThan">
      <formula>0</formula>
    </cfRule>
  </conditionalFormatting>
  <conditionalFormatting sqref="F136:G1048576 G61:G135">
    <cfRule type="cellIs" dxfId="1318" priority="5477" operator="lessThan">
      <formula>0</formula>
    </cfRule>
  </conditionalFormatting>
  <conditionalFormatting sqref="F136:G1048576 G61:G135">
    <cfRule type="cellIs" dxfId="1317" priority="5476" operator="lessThan">
      <formula>0</formula>
    </cfRule>
  </conditionalFormatting>
  <conditionalFormatting sqref="F136:G1048576 G61:G135">
    <cfRule type="cellIs" dxfId="1316" priority="5475" operator="lessThan">
      <formula>0</formula>
    </cfRule>
  </conditionalFormatting>
  <conditionalFormatting sqref="F136:G1048576 G61:G135">
    <cfRule type="cellIs" dxfId="1315" priority="5474" operator="lessThan">
      <formula>0</formula>
    </cfRule>
  </conditionalFormatting>
  <conditionalFormatting sqref="F136:G1048576 G61:G135">
    <cfRule type="cellIs" dxfId="1314" priority="5473" operator="lessThan">
      <formula>0</formula>
    </cfRule>
  </conditionalFormatting>
  <conditionalFormatting sqref="F136:G1048576 G61:G135">
    <cfRule type="cellIs" dxfId="1313" priority="5472" operator="lessThan">
      <formula>0</formula>
    </cfRule>
  </conditionalFormatting>
  <conditionalFormatting sqref="F136:G1048576 G61:G135">
    <cfRule type="cellIs" dxfId="1312" priority="5471" operator="lessThan">
      <formula>0</formula>
    </cfRule>
  </conditionalFormatting>
  <conditionalFormatting sqref="F136:G1048576 G61:G135">
    <cfRule type="cellIs" dxfId="1311" priority="5470" operator="lessThan">
      <formula>0</formula>
    </cfRule>
  </conditionalFormatting>
  <conditionalFormatting sqref="F136:G1048576 G61:G135">
    <cfRule type="cellIs" dxfId="1310" priority="5469" operator="lessThan">
      <formula>0</formula>
    </cfRule>
  </conditionalFormatting>
  <conditionalFormatting sqref="F136:G1048576 G61:G135">
    <cfRule type="cellIs" dxfId="1309" priority="5468" operator="lessThan">
      <formula>0</formula>
    </cfRule>
  </conditionalFormatting>
  <conditionalFormatting sqref="F136:G1048576 G61:G135">
    <cfRule type="cellIs" dxfId="1308" priority="5467" operator="lessThan">
      <formula>0</formula>
    </cfRule>
  </conditionalFormatting>
  <conditionalFormatting sqref="F136:G1048576 G61:G135">
    <cfRule type="cellIs" dxfId="1307" priority="5466" operator="lessThan">
      <formula>0</formula>
    </cfRule>
  </conditionalFormatting>
  <conditionalFormatting sqref="F136:G1048576 G61:G135">
    <cfRule type="cellIs" dxfId="1306" priority="5465" operator="lessThan">
      <formula>0</formula>
    </cfRule>
  </conditionalFormatting>
  <conditionalFormatting sqref="F136:G1048576 G61:G135">
    <cfRule type="cellIs" dxfId="1305" priority="5464" operator="lessThan">
      <formula>0</formula>
    </cfRule>
  </conditionalFormatting>
  <conditionalFormatting sqref="F136:G1048576 G61:G135">
    <cfRule type="cellIs" dxfId="1304" priority="5463" operator="lessThan">
      <formula>0</formula>
    </cfRule>
  </conditionalFormatting>
  <conditionalFormatting sqref="F136:G1048576 G61:G135">
    <cfRule type="cellIs" dxfId="1303" priority="5462" operator="lessThan">
      <formula>0</formula>
    </cfRule>
  </conditionalFormatting>
  <conditionalFormatting sqref="F136:G1048576 G61:G135">
    <cfRule type="cellIs" dxfId="1302" priority="5461" operator="lessThan">
      <formula>0</formula>
    </cfRule>
  </conditionalFormatting>
  <conditionalFormatting sqref="F136:G1048576 G61:G135">
    <cfRule type="cellIs" dxfId="1301" priority="5460" operator="lessThan">
      <formula>0</formula>
    </cfRule>
  </conditionalFormatting>
  <conditionalFormatting sqref="F136:G1048576 G61:G135">
    <cfRule type="cellIs" dxfId="1300" priority="5459" operator="lessThan">
      <formula>0</formula>
    </cfRule>
  </conditionalFormatting>
  <conditionalFormatting sqref="F136:G1048576 G61:G135">
    <cfRule type="cellIs" dxfId="1299" priority="5458" operator="lessThan">
      <formula>0</formula>
    </cfRule>
  </conditionalFormatting>
  <conditionalFormatting sqref="F136:G1048576 G61:G135">
    <cfRule type="cellIs" dxfId="1298" priority="5457" operator="lessThan">
      <formula>0</formula>
    </cfRule>
  </conditionalFormatting>
  <conditionalFormatting sqref="F136:G1048576 G61:G135">
    <cfRule type="cellIs" dxfId="1297" priority="5456" operator="lessThan">
      <formula>0</formula>
    </cfRule>
  </conditionalFormatting>
  <conditionalFormatting sqref="F136:G1048576 G61:G135">
    <cfRule type="cellIs" dxfId="1296" priority="5455" operator="lessThan">
      <formula>0</formula>
    </cfRule>
  </conditionalFormatting>
  <conditionalFormatting sqref="F136:G1048576 G61:G135">
    <cfRule type="cellIs" dxfId="1295" priority="5454" operator="lessThan">
      <formula>0</formula>
    </cfRule>
  </conditionalFormatting>
  <conditionalFormatting sqref="F136:G1048576 G61:G135">
    <cfRule type="cellIs" dxfId="1294" priority="5453" operator="lessThan">
      <formula>0</formula>
    </cfRule>
  </conditionalFormatting>
  <conditionalFormatting sqref="F136:G1048576 G61:G135">
    <cfRule type="cellIs" dxfId="1293" priority="5452" operator="lessThan">
      <formula>0</formula>
    </cfRule>
  </conditionalFormatting>
  <conditionalFormatting sqref="F136:G1048576 G61:G135">
    <cfRule type="cellIs" dxfId="1292" priority="5451" operator="lessThan">
      <formula>0</formula>
    </cfRule>
  </conditionalFormatting>
  <conditionalFormatting sqref="F136:G1048576 G61:G135">
    <cfRule type="cellIs" dxfId="1291" priority="5450" operator="lessThan">
      <formula>0</formula>
    </cfRule>
  </conditionalFormatting>
  <conditionalFormatting sqref="F136:G1048576 G61:G135">
    <cfRule type="cellIs" dxfId="1290" priority="5449" operator="lessThan">
      <formula>0</formula>
    </cfRule>
  </conditionalFormatting>
  <conditionalFormatting sqref="F136:G1048576 G61:G135">
    <cfRule type="cellIs" dxfId="1289" priority="5448" operator="lessThan">
      <formula>0</formula>
    </cfRule>
  </conditionalFormatting>
  <conditionalFormatting sqref="F136:G1048576 G61:G135">
    <cfRule type="cellIs" dxfId="1288" priority="5447" operator="lessThan">
      <formula>0</formula>
    </cfRule>
  </conditionalFormatting>
  <conditionalFormatting sqref="F136:G1048576 G61:G135">
    <cfRule type="cellIs" dxfId="1287" priority="5446" operator="lessThan">
      <formula>0</formula>
    </cfRule>
  </conditionalFormatting>
  <conditionalFormatting sqref="F136:G1048576 G61:G135">
    <cfRule type="cellIs" dxfId="1286" priority="5445" operator="lessThan">
      <formula>0</formula>
    </cfRule>
  </conditionalFormatting>
  <conditionalFormatting sqref="F136:G1048576 G61:G135">
    <cfRule type="cellIs" dxfId="1285" priority="5444" operator="lessThan">
      <formula>0</formula>
    </cfRule>
  </conditionalFormatting>
  <conditionalFormatting sqref="F136:G1048576 G61:G135">
    <cfRule type="cellIs" dxfId="1284" priority="5443" operator="lessThan">
      <formula>0</formula>
    </cfRule>
  </conditionalFormatting>
  <conditionalFormatting sqref="F136:G1048576 G61:G135">
    <cfRule type="cellIs" dxfId="1283" priority="5442" operator="lessThan">
      <formula>0</formula>
    </cfRule>
  </conditionalFormatting>
  <conditionalFormatting sqref="F136:G1048576 G61:G135">
    <cfRule type="cellIs" dxfId="1282" priority="5441" operator="lessThan">
      <formula>0</formula>
    </cfRule>
  </conditionalFormatting>
  <conditionalFormatting sqref="F136:G1048576 G61:G135">
    <cfRule type="cellIs" dxfId="1281" priority="5440" operator="lessThan">
      <formula>0</formula>
    </cfRule>
  </conditionalFormatting>
  <conditionalFormatting sqref="F136:G1048576 G61:G135">
    <cfRule type="cellIs" dxfId="1280" priority="5439" operator="lessThan">
      <formula>0</formula>
    </cfRule>
  </conditionalFormatting>
  <conditionalFormatting sqref="F136:G1048576 G61:G135">
    <cfRule type="cellIs" dxfId="1279" priority="5438" operator="lessThan">
      <formula>0</formula>
    </cfRule>
  </conditionalFormatting>
  <conditionalFormatting sqref="F136:G1048576 G61:G135">
    <cfRule type="cellIs" dxfId="1278" priority="5437" operator="lessThan">
      <formula>0</formula>
    </cfRule>
  </conditionalFormatting>
  <conditionalFormatting sqref="F136:G1048576 G61:G135">
    <cfRule type="cellIs" dxfId="1277" priority="5436" operator="lessThan">
      <formula>0</formula>
    </cfRule>
  </conditionalFormatting>
  <conditionalFormatting sqref="F136:G1048576 G61:G135">
    <cfRule type="cellIs" dxfId="1276" priority="5435" operator="lessThan">
      <formula>0</formula>
    </cfRule>
  </conditionalFormatting>
  <conditionalFormatting sqref="F136:G1048576 G61:G135">
    <cfRule type="cellIs" dxfId="1275" priority="5434" operator="lessThan">
      <formula>0</formula>
    </cfRule>
  </conditionalFormatting>
  <conditionalFormatting sqref="F136:G1048576 G61:G135">
    <cfRule type="cellIs" dxfId="1274" priority="5433" operator="lessThan">
      <formula>0</formula>
    </cfRule>
  </conditionalFormatting>
  <conditionalFormatting sqref="F136:G1048576 G61:G135">
    <cfRule type="cellIs" dxfId="1273" priority="5432" operator="lessThan">
      <formula>0</formula>
    </cfRule>
  </conditionalFormatting>
  <conditionalFormatting sqref="F136:G1048576 G61:G135">
    <cfRule type="cellIs" dxfId="1272" priority="5431" operator="lessThan">
      <formula>0</formula>
    </cfRule>
  </conditionalFormatting>
  <conditionalFormatting sqref="F136:G1048576 G61:G135">
    <cfRule type="cellIs" dxfId="1271" priority="5430" operator="lessThan">
      <formula>0</formula>
    </cfRule>
  </conditionalFormatting>
  <conditionalFormatting sqref="F136:G1048576 G61:G135">
    <cfRule type="cellIs" dxfId="1270" priority="5429" operator="lessThan">
      <formula>0</formula>
    </cfRule>
  </conditionalFormatting>
  <conditionalFormatting sqref="F136:G1048576 G61:G135">
    <cfRule type="cellIs" dxfId="1269" priority="5428" operator="lessThan">
      <formula>0</formula>
    </cfRule>
  </conditionalFormatting>
  <conditionalFormatting sqref="F136:G1048576 G61:G135">
    <cfRule type="cellIs" dxfId="1268" priority="5427" operator="lessThan">
      <formula>0</formula>
    </cfRule>
  </conditionalFormatting>
  <conditionalFormatting sqref="F136:G1048576 G61:G135">
    <cfRule type="cellIs" dxfId="1267" priority="5426" operator="lessThan">
      <formula>0</formula>
    </cfRule>
  </conditionalFormatting>
  <conditionalFormatting sqref="F136:G1048576 G61:G135">
    <cfRule type="cellIs" dxfId="1266" priority="5425" operator="lessThan">
      <formula>0</formula>
    </cfRule>
  </conditionalFormatting>
  <conditionalFormatting sqref="F136:G1048576 G61:G135">
    <cfRule type="cellIs" dxfId="1265" priority="5424" operator="lessThan">
      <formula>0</formula>
    </cfRule>
  </conditionalFormatting>
  <conditionalFormatting sqref="F136:G1048576 G61:G135">
    <cfRule type="cellIs" dxfId="1264" priority="5423" operator="lessThan">
      <formula>0</formula>
    </cfRule>
  </conditionalFormatting>
  <conditionalFormatting sqref="F136:G1048576 G61:G135">
    <cfRule type="cellIs" dxfId="1263" priority="5422" operator="lessThan">
      <formula>0</formula>
    </cfRule>
  </conditionalFormatting>
  <conditionalFormatting sqref="F136:G1048576 G61:G135">
    <cfRule type="cellIs" dxfId="1262" priority="5421" operator="lessThan">
      <formula>0</formula>
    </cfRule>
  </conditionalFormatting>
  <conditionalFormatting sqref="F136:G1048576 G61:G135">
    <cfRule type="cellIs" dxfId="1261" priority="5420" operator="lessThan">
      <formula>0</formula>
    </cfRule>
  </conditionalFormatting>
  <conditionalFormatting sqref="F136:G1048576 G61:G135">
    <cfRule type="cellIs" dxfId="1260" priority="5419" operator="lessThan">
      <formula>0</formula>
    </cfRule>
  </conditionalFormatting>
  <conditionalFormatting sqref="F136:G1048576 G61:G135">
    <cfRule type="cellIs" dxfId="1259" priority="5418" operator="lessThan">
      <formula>0</formula>
    </cfRule>
  </conditionalFormatting>
  <conditionalFormatting sqref="F136:G1048576 G61:G135">
    <cfRule type="cellIs" dxfId="1258" priority="5417" operator="lessThan">
      <formula>0</formula>
    </cfRule>
  </conditionalFormatting>
  <conditionalFormatting sqref="F136:G1048576 G61:G135">
    <cfRule type="cellIs" dxfId="1257" priority="5416" operator="lessThan">
      <formula>0</formula>
    </cfRule>
  </conditionalFormatting>
  <conditionalFormatting sqref="F136:G1048576 G61:G135">
    <cfRule type="cellIs" dxfId="1256" priority="5415" operator="lessThan">
      <formula>0</formula>
    </cfRule>
  </conditionalFormatting>
  <conditionalFormatting sqref="F136:G1048576 G61:G135">
    <cfRule type="cellIs" dxfId="1255" priority="5414" operator="lessThan">
      <formula>0</formula>
    </cfRule>
  </conditionalFormatting>
  <conditionalFormatting sqref="F136:G1048576 G61:G135">
    <cfRule type="cellIs" dxfId="1254" priority="5413" operator="lessThan">
      <formula>0</formula>
    </cfRule>
  </conditionalFormatting>
  <conditionalFormatting sqref="F136:G1048576 G61:G135">
    <cfRule type="cellIs" dxfId="1253" priority="5412" operator="lessThan">
      <formula>0</formula>
    </cfRule>
  </conditionalFormatting>
  <conditionalFormatting sqref="F136:G1048576 G61:G135">
    <cfRule type="cellIs" dxfId="1252" priority="5411" operator="lessThan">
      <formula>0</formula>
    </cfRule>
  </conditionalFormatting>
  <conditionalFormatting sqref="F136:G1048576 G61:G135">
    <cfRule type="cellIs" dxfId="1251" priority="5410" operator="lessThan">
      <formula>0</formula>
    </cfRule>
  </conditionalFormatting>
  <conditionalFormatting sqref="F136:G1048576 G61:G135">
    <cfRule type="cellIs" dxfId="1250" priority="5409" operator="lessThan">
      <formula>0</formula>
    </cfRule>
  </conditionalFormatting>
  <conditionalFormatting sqref="F136:G1048576 G61:G135">
    <cfRule type="cellIs" dxfId="1249" priority="5408" operator="lessThan">
      <formula>0</formula>
    </cfRule>
  </conditionalFormatting>
  <conditionalFormatting sqref="F136:G1048576 G61:G135">
    <cfRule type="cellIs" dxfId="1248" priority="5407" operator="lessThan">
      <formula>0</formula>
    </cfRule>
  </conditionalFormatting>
  <conditionalFormatting sqref="F136:G1048576 G61:G135">
    <cfRule type="cellIs" dxfId="1247" priority="5406" operator="lessThan">
      <formula>0</formula>
    </cfRule>
  </conditionalFormatting>
  <conditionalFormatting sqref="F136:G1048576 G61:G135">
    <cfRule type="cellIs" dxfId="1246" priority="5405" operator="lessThan">
      <formula>0</formula>
    </cfRule>
  </conditionalFormatting>
  <conditionalFormatting sqref="F136:G1048576 G61:G135">
    <cfRule type="cellIs" dxfId="1245" priority="5404" operator="lessThan">
      <formula>0</formula>
    </cfRule>
  </conditionalFormatting>
  <conditionalFormatting sqref="F136:G1048576 G61:G135">
    <cfRule type="cellIs" dxfId="1244" priority="5403" operator="lessThan">
      <formula>0</formula>
    </cfRule>
  </conditionalFormatting>
  <conditionalFormatting sqref="F136:G1048576 G61:G135">
    <cfRule type="cellIs" dxfId="1243" priority="5402" operator="lessThan">
      <formula>0</formula>
    </cfRule>
  </conditionalFormatting>
  <conditionalFormatting sqref="F136:G1048576 G61:G135">
    <cfRule type="cellIs" dxfId="1242" priority="5401" operator="lessThan">
      <formula>0</formula>
    </cfRule>
  </conditionalFormatting>
  <conditionalFormatting sqref="F136:G1048576 G61:G135">
    <cfRule type="cellIs" dxfId="1241" priority="5400" operator="lessThan">
      <formula>0</formula>
    </cfRule>
  </conditionalFormatting>
  <conditionalFormatting sqref="F136:G1048576 G61:G135">
    <cfRule type="cellIs" dxfId="1240" priority="5399" operator="lessThan">
      <formula>0</formula>
    </cfRule>
  </conditionalFormatting>
  <conditionalFormatting sqref="F136:G1048576 G61:G135">
    <cfRule type="cellIs" dxfId="1239" priority="5398" operator="lessThan">
      <formula>0</formula>
    </cfRule>
  </conditionalFormatting>
  <conditionalFormatting sqref="F136:G1048576 G61:G135">
    <cfRule type="cellIs" dxfId="1238" priority="5397" operator="lessThan">
      <formula>0</formula>
    </cfRule>
  </conditionalFormatting>
  <conditionalFormatting sqref="F136:G1048576 G61:G135">
    <cfRule type="cellIs" dxfId="1237" priority="5396" operator="lessThan">
      <formula>0</formula>
    </cfRule>
  </conditionalFormatting>
  <conditionalFormatting sqref="G42">
    <cfRule type="cellIs" dxfId="1236" priority="4693" operator="lessThan">
      <formula>0</formula>
    </cfRule>
  </conditionalFormatting>
  <conditionalFormatting sqref="G42">
    <cfRule type="cellIs" dxfId="1235" priority="4692" operator="lessThan">
      <formula>0</formula>
    </cfRule>
  </conditionalFormatting>
  <conditionalFormatting sqref="G42">
    <cfRule type="cellIs" dxfId="1234" priority="4691" operator="lessThan">
      <formula>0</formula>
    </cfRule>
  </conditionalFormatting>
  <conditionalFormatting sqref="G42">
    <cfRule type="cellIs" dxfId="1233" priority="4690" operator="lessThan">
      <formula>0</formula>
    </cfRule>
  </conditionalFormatting>
  <conditionalFormatting sqref="G42">
    <cfRule type="cellIs" dxfId="1232" priority="4689" operator="lessThan">
      <formula>0</formula>
    </cfRule>
  </conditionalFormatting>
  <conditionalFormatting sqref="G42">
    <cfRule type="cellIs" dxfId="1231" priority="4688" operator="lessThan">
      <formula>0</formula>
    </cfRule>
  </conditionalFormatting>
  <conditionalFormatting sqref="G42">
    <cfRule type="cellIs" dxfId="1230" priority="4687" operator="lessThan">
      <formula>0</formula>
    </cfRule>
  </conditionalFormatting>
  <conditionalFormatting sqref="G42">
    <cfRule type="cellIs" dxfId="1229" priority="4686" operator="lessThan">
      <formula>0</formula>
    </cfRule>
  </conditionalFormatting>
  <conditionalFormatting sqref="G42">
    <cfRule type="cellIs" dxfId="1228" priority="4685" operator="lessThan">
      <formula>0</formula>
    </cfRule>
  </conditionalFormatting>
  <conditionalFormatting sqref="G42">
    <cfRule type="cellIs" dxfId="1227" priority="4684" operator="lessThan">
      <formula>0</formula>
    </cfRule>
  </conditionalFormatting>
  <conditionalFormatting sqref="G42">
    <cfRule type="cellIs" dxfId="1226" priority="4683" operator="lessThan">
      <formula>0</formula>
    </cfRule>
  </conditionalFormatting>
  <conditionalFormatting sqref="G42">
    <cfRule type="cellIs" dxfId="1225" priority="4682" operator="lessThan">
      <formula>0</formula>
    </cfRule>
  </conditionalFormatting>
  <conditionalFormatting sqref="G42">
    <cfRule type="cellIs" dxfId="1224" priority="4681" operator="lessThan">
      <formula>0</formula>
    </cfRule>
  </conditionalFormatting>
  <conditionalFormatting sqref="G42">
    <cfRule type="cellIs" dxfId="1223" priority="4680" operator="lessThan">
      <formula>0</formula>
    </cfRule>
  </conditionalFormatting>
  <conditionalFormatting sqref="G42">
    <cfRule type="cellIs" dxfId="1222" priority="4679" operator="lessThan">
      <formula>0</formula>
    </cfRule>
  </conditionalFormatting>
  <conditionalFormatting sqref="G42">
    <cfRule type="cellIs" dxfId="1221" priority="4678" operator="lessThan">
      <formula>0</formula>
    </cfRule>
  </conditionalFormatting>
  <conditionalFormatting sqref="G42">
    <cfRule type="cellIs" dxfId="1220" priority="4677" operator="lessThan">
      <formula>0</formula>
    </cfRule>
  </conditionalFormatting>
  <conditionalFormatting sqref="G42">
    <cfRule type="cellIs" dxfId="1219" priority="4676" operator="lessThan">
      <formula>0</formula>
    </cfRule>
  </conditionalFormatting>
  <conditionalFormatting sqref="G42">
    <cfRule type="cellIs" dxfId="1218" priority="4675" operator="lessThan">
      <formula>0</formula>
    </cfRule>
  </conditionalFormatting>
  <conditionalFormatting pivot="1" sqref="F13:F49">
    <cfRule type="cellIs" dxfId="1217" priority="3620" operator="lessThan">
      <formula>0</formula>
    </cfRule>
  </conditionalFormatting>
  <conditionalFormatting sqref="H86:H1048576">
    <cfRule type="cellIs" dxfId="1216" priority="3416" operator="lessThan">
      <formula>0</formula>
    </cfRule>
  </conditionalFormatting>
  <conditionalFormatting sqref="H86:H1048576">
    <cfRule type="cellIs" dxfId="1215" priority="3415" operator="lessThan">
      <formula>0</formula>
    </cfRule>
  </conditionalFormatting>
  <conditionalFormatting sqref="H86:H1048576">
    <cfRule type="cellIs" dxfId="1214" priority="3414" operator="lessThan">
      <formula>0</formula>
    </cfRule>
  </conditionalFormatting>
  <conditionalFormatting sqref="H86:H1048576">
    <cfRule type="cellIs" dxfId="1213" priority="3413" operator="lessThan">
      <formula>0</formula>
    </cfRule>
  </conditionalFormatting>
  <conditionalFormatting sqref="H86:H1048576">
    <cfRule type="cellIs" dxfId="1212" priority="3412" operator="lessThan">
      <formula>0</formula>
    </cfRule>
  </conditionalFormatting>
  <conditionalFormatting sqref="H86:H1048576">
    <cfRule type="cellIs" dxfId="1211" priority="3411" operator="lessThan">
      <formula>0</formula>
    </cfRule>
  </conditionalFormatting>
  <conditionalFormatting sqref="H86:H1048576">
    <cfRule type="cellIs" dxfId="1210" priority="3410" operator="lessThan">
      <formula>0</formula>
    </cfRule>
  </conditionalFormatting>
  <conditionalFormatting sqref="H86:H1048576">
    <cfRule type="cellIs" dxfId="1209" priority="3409" operator="lessThan">
      <formula>0</formula>
    </cfRule>
  </conditionalFormatting>
  <conditionalFormatting sqref="H86:H1048576">
    <cfRule type="cellIs" dxfId="1208" priority="3408" operator="lessThan">
      <formula>0</formula>
    </cfRule>
  </conditionalFormatting>
  <conditionalFormatting sqref="H86:H1048576">
    <cfRule type="cellIs" dxfId="1207" priority="3407" operator="lessThan">
      <formula>0</formula>
    </cfRule>
  </conditionalFormatting>
  <conditionalFormatting sqref="H86:H1048576">
    <cfRule type="cellIs" dxfId="1206" priority="3406" operator="lessThan">
      <formula>0</formula>
    </cfRule>
  </conditionalFormatting>
  <conditionalFormatting sqref="H86:H1048576">
    <cfRule type="cellIs" dxfId="1205" priority="3405" operator="lessThan">
      <formula>0</formula>
    </cfRule>
  </conditionalFormatting>
  <conditionalFormatting sqref="H86:H1048576">
    <cfRule type="cellIs" dxfId="1204" priority="3404" operator="lessThan">
      <formula>0</formula>
    </cfRule>
  </conditionalFormatting>
  <conditionalFormatting sqref="H86:H1048576">
    <cfRule type="cellIs" dxfId="1203" priority="3403" operator="lessThan">
      <formula>0</formula>
    </cfRule>
  </conditionalFormatting>
  <conditionalFormatting sqref="H86:H1048576">
    <cfRule type="cellIs" dxfId="1202" priority="3402" operator="lessThan">
      <formula>0</formula>
    </cfRule>
  </conditionalFormatting>
  <conditionalFormatting sqref="H86:H1048576">
    <cfRule type="cellIs" dxfId="1201" priority="3401" operator="lessThan">
      <formula>0</formula>
    </cfRule>
  </conditionalFormatting>
  <conditionalFormatting sqref="H86:H1048576">
    <cfRule type="cellIs" dxfId="1200" priority="3400" operator="lessThan">
      <formula>0</formula>
    </cfRule>
  </conditionalFormatting>
  <conditionalFormatting sqref="H86:H1048576">
    <cfRule type="cellIs" dxfId="1199" priority="3399" operator="lessThan">
      <formula>0</formula>
    </cfRule>
  </conditionalFormatting>
  <conditionalFormatting sqref="H86:H1048576">
    <cfRule type="cellIs" dxfId="1198" priority="3398" operator="lessThan">
      <formula>0</formula>
    </cfRule>
  </conditionalFormatting>
  <conditionalFormatting sqref="H86:H1048576">
    <cfRule type="cellIs" dxfId="1197" priority="3397" operator="lessThan">
      <formula>0</formula>
    </cfRule>
  </conditionalFormatting>
  <conditionalFormatting sqref="H86:H1048576">
    <cfRule type="cellIs" dxfId="1196" priority="3396" operator="lessThan">
      <formula>0</formula>
    </cfRule>
  </conditionalFormatting>
  <conditionalFormatting sqref="H86:H1048576">
    <cfRule type="cellIs" dxfId="1195" priority="3395" operator="lessThan">
      <formula>0</formula>
    </cfRule>
  </conditionalFormatting>
  <conditionalFormatting sqref="H86:H1048576">
    <cfRule type="cellIs" dxfId="1194" priority="3394" operator="lessThan">
      <formula>0</formula>
    </cfRule>
  </conditionalFormatting>
  <conditionalFormatting sqref="H86:H1048576">
    <cfRule type="cellIs" dxfId="1193" priority="3393" operator="lessThan">
      <formula>0</formula>
    </cfRule>
  </conditionalFormatting>
  <conditionalFormatting sqref="H86:H1048576">
    <cfRule type="cellIs" dxfId="1192" priority="3392" operator="lessThan">
      <formula>0</formula>
    </cfRule>
  </conditionalFormatting>
  <conditionalFormatting sqref="H86:H1048576">
    <cfRule type="cellIs" dxfId="1191" priority="3391" operator="lessThan">
      <formula>0</formula>
    </cfRule>
  </conditionalFormatting>
  <conditionalFormatting sqref="H86:H1048576">
    <cfRule type="cellIs" dxfId="1190" priority="3390" operator="lessThan">
      <formula>0</formula>
    </cfRule>
  </conditionalFormatting>
  <conditionalFormatting sqref="H86:H1048576">
    <cfRule type="cellIs" dxfId="1189" priority="3389" operator="lessThan">
      <formula>0</formula>
    </cfRule>
  </conditionalFormatting>
  <conditionalFormatting sqref="H86:H1048576">
    <cfRule type="cellIs" dxfId="1188" priority="3388" operator="lessThan">
      <formula>0</formula>
    </cfRule>
  </conditionalFormatting>
  <conditionalFormatting sqref="H86:H1048576">
    <cfRule type="cellIs" dxfId="1187" priority="3387" operator="lessThan">
      <formula>0</formula>
    </cfRule>
  </conditionalFormatting>
  <conditionalFormatting sqref="H86:H1048576">
    <cfRule type="cellIs" dxfId="1186" priority="3386" operator="lessThan">
      <formula>0</formula>
    </cfRule>
  </conditionalFormatting>
  <conditionalFormatting sqref="H86:H1048576">
    <cfRule type="cellIs" dxfId="1185" priority="3385" operator="lessThan">
      <formula>0</formula>
    </cfRule>
  </conditionalFormatting>
  <conditionalFormatting sqref="H86:H1048576">
    <cfRule type="cellIs" dxfId="1184" priority="3384" operator="lessThan">
      <formula>0</formula>
    </cfRule>
  </conditionalFormatting>
  <conditionalFormatting sqref="H86:H1048576">
    <cfRule type="cellIs" dxfId="1183" priority="3383" operator="lessThan">
      <formula>0</formula>
    </cfRule>
  </conditionalFormatting>
  <conditionalFormatting sqref="H86:H1048576">
    <cfRule type="cellIs" dxfId="1182" priority="3382" operator="lessThan">
      <formula>0</formula>
    </cfRule>
  </conditionalFormatting>
  <conditionalFormatting sqref="H86:H1048576">
    <cfRule type="cellIs" dxfId="1181" priority="3381" operator="lessThan">
      <formula>0</formula>
    </cfRule>
  </conditionalFormatting>
  <conditionalFormatting sqref="H86:H1048576">
    <cfRule type="cellIs" dxfId="1180" priority="3380" operator="lessThan">
      <formula>0</formula>
    </cfRule>
  </conditionalFormatting>
  <conditionalFormatting sqref="H86:H1048576">
    <cfRule type="cellIs" dxfId="1179" priority="3379" operator="lessThan">
      <formula>0</formula>
    </cfRule>
  </conditionalFormatting>
  <conditionalFormatting sqref="H86:H1048576">
    <cfRule type="cellIs" dxfId="1178" priority="3378" operator="lessThan">
      <formula>0</formula>
    </cfRule>
  </conditionalFormatting>
  <conditionalFormatting sqref="H86:H1048576">
    <cfRule type="cellIs" dxfId="1177" priority="3377" operator="lessThan">
      <formula>0</formula>
    </cfRule>
  </conditionalFormatting>
  <conditionalFormatting sqref="H86:H1048576">
    <cfRule type="cellIs" dxfId="1176" priority="3376" operator="lessThan">
      <formula>0</formula>
    </cfRule>
  </conditionalFormatting>
  <conditionalFormatting sqref="H86:H1048576">
    <cfRule type="cellIs" dxfId="1175" priority="3375" operator="lessThan">
      <formula>0</formula>
    </cfRule>
  </conditionalFormatting>
  <conditionalFormatting sqref="H86:H1048576">
    <cfRule type="cellIs" dxfId="1174" priority="3374" operator="lessThan">
      <formula>0</formula>
    </cfRule>
  </conditionalFormatting>
  <conditionalFormatting sqref="H86:H1048576">
    <cfRule type="cellIs" dxfId="1173" priority="3373" operator="lessThan">
      <formula>0</formula>
    </cfRule>
  </conditionalFormatting>
  <conditionalFormatting sqref="H86:H1048576">
    <cfRule type="cellIs" dxfId="1172" priority="3372" operator="lessThan">
      <formula>0</formula>
    </cfRule>
  </conditionalFormatting>
  <conditionalFormatting sqref="H86:H1048576">
    <cfRule type="cellIs" dxfId="1171" priority="3371" operator="lessThan">
      <formula>0</formula>
    </cfRule>
  </conditionalFormatting>
  <conditionalFormatting sqref="H86:H1048576">
    <cfRule type="cellIs" dxfId="1170" priority="3370" operator="lessThan">
      <formula>0</formula>
    </cfRule>
  </conditionalFormatting>
  <conditionalFormatting sqref="H86:H1048576">
    <cfRule type="cellIs" dxfId="1169" priority="3369" operator="lessThan">
      <formula>0</formula>
    </cfRule>
  </conditionalFormatting>
  <conditionalFormatting sqref="H86:H1048576">
    <cfRule type="cellIs" dxfId="1168" priority="3368" operator="lessThan">
      <formula>0</formula>
    </cfRule>
  </conditionalFormatting>
  <conditionalFormatting sqref="H86:H1048576">
    <cfRule type="cellIs" dxfId="1167" priority="3367" operator="lessThan">
      <formula>0</formula>
    </cfRule>
  </conditionalFormatting>
  <conditionalFormatting sqref="H86:H1048576">
    <cfRule type="cellIs" dxfId="1166" priority="3366" operator="lessThan">
      <formula>0</formula>
    </cfRule>
  </conditionalFormatting>
  <conditionalFormatting sqref="H86:H1048576">
    <cfRule type="cellIs" dxfId="1165" priority="3365" operator="lessThan">
      <formula>0</formula>
    </cfRule>
  </conditionalFormatting>
  <conditionalFormatting sqref="H86:H1048576">
    <cfRule type="cellIs" dxfId="1164" priority="3364" operator="lessThan">
      <formula>0</formula>
    </cfRule>
  </conditionalFormatting>
  <conditionalFormatting sqref="H86:H1048576">
    <cfRule type="cellIs" dxfId="1163" priority="3363" operator="lessThan">
      <formula>0</formula>
    </cfRule>
  </conditionalFormatting>
  <conditionalFormatting sqref="H86:H1048576">
    <cfRule type="cellIs" dxfId="1162" priority="3362" operator="lessThan">
      <formula>0</formula>
    </cfRule>
  </conditionalFormatting>
  <conditionalFormatting sqref="H86:H1048576">
    <cfRule type="cellIs" dxfId="1161" priority="3361" operator="lessThan">
      <formula>0</formula>
    </cfRule>
  </conditionalFormatting>
  <conditionalFormatting sqref="H86:H1048576">
    <cfRule type="cellIs" dxfId="1160" priority="3360" operator="lessThan">
      <formula>0</formula>
    </cfRule>
  </conditionalFormatting>
  <conditionalFormatting sqref="H86:H1048576">
    <cfRule type="cellIs" dxfId="1159" priority="3359" operator="lessThan">
      <formula>0</formula>
    </cfRule>
  </conditionalFormatting>
  <conditionalFormatting sqref="H86:H1048576">
    <cfRule type="cellIs" dxfId="1158" priority="3358" operator="lessThan">
      <formula>0</formula>
    </cfRule>
  </conditionalFormatting>
  <conditionalFormatting sqref="H86:H1048576">
    <cfRule type="cellIs" dxfId="1157" priority="3357" operator="lessThan">
      <formula>0</formula>
    </cfRule>
  </conditionalFormatting>
  <conditionalFormatting sqref="H86:H1048576">
    <cfRule type="cellIs" dxfId="1156" priority="3356" operator="lessThan">
      <formula>0</formula>
    </cfRule>
  </conditionalFormatting>
  <conditionalFormatting sqref="H86:H1048576">
    <cfRule type="cellIs" dxfId="1155" priority="3355" operator="lessThan">
      <formula>0</formula>
    </cfRule>
  </conditionalFormatting>
  <conditionalFormatting sqref="H86:H1048576">
    <cfRule type="cellIs" dxfId="1154" priority="3354" operator="lessThan">
      <formula>0</formula>
    </cfRule>
  </conditionalFormatting>
  <conditionalFormatting sqref="H86:H1048576">
    <cfRule type="cellIs" dxfId="1153" priority="3353" operator="lessThan">
      <formula>0</formula>
    </cfRule>
  </conditionalFormatting>
  <conditionalFormatting sqref="H86:H1048576">
    <cfRule type="cellIs" dxfId="1152" priority="3352" operator="lessThan">
      <formula>0</formula>
    </cfRule>
  </conditionalFormatting>
  <conditionalFormatting sqref="H86:H1048576">
    <cfRule type="cellIs" dxfId="1151" priority="3351" operator="lessThan">
      <formula>0</formula>
    </cfRule>
  </conditionalFormatting>
  <conditionalFormatting sqref="H86:H1048576">
    <cfRule type="cellIs" dxfId="1150" priority="3350" operator="lessThan">
      <formula>0</formula>
    </cfRule>
  </conditionalFormatting>
  <conditionalFormatting sqref="H86:H1048576">
    <cfRule type="cellIs" dxfId="1149" priority="3349" operator="lessThan">
      <formula>0</formula>
    </cfRule>
  </conditionalFormatting>
  <conditionalFormatting sqref="H86:H1048576">
    <cfRule type="cellIs" dxfId="1148" priority="3348" operator="lessThan">
      <formula>0</formula>
    </cfRule>
  </conditionalFormatting>
  <conditionalFormatting sqref="H86:H1048576">
    <cfRule type="cellIs" dxfId="1147" priority="3347" operator="lessThan">
      <formula>0</formula>
    </cfRule>
  </conditionalFormatting>
  <conditionalFormatting sqref="H86:H1048576">
    <cfRule type="cellIs" dxfId="1146" priority="3346" operator="lessThan">
      <formula>0</formula>
    </cfRule>
  </conditionalFormatting>
  <conditionalFormatting sqref="H86:H1048576">
    <cfRule type="cellIs" dxfId="1145" priority="3345" operator="lessThan">
      <formula>0</formula>
    </cfRule>
  </conditionalFormatting>
  <conditionalFormatting sqref="H86:H1048576">
    <cfRule type="cellIs" dxfId="1144" priority="3344" operator="lessThan">
      <formula>0</formula>
    </cfRule>
  </conditionalFormatting>
  <conditionalFormatting sqref="H86:H1048576">
    <cfRule type="cellIs" dxfId="1143" priority="3343" operator="lessThan">
      <formula>0</formula>
    </cfRule>
  </conditionalFormatting>
  <conditionalFormatting sqref="H86:H1048576">
    <cfRule type="cellIs" dxfId="1142" priority="3342" operator="lessThan">
      <formula>0</formula>
    </cfRule>
  </conditionalFormatting>
  <conditionalFormatting sqref="H86:H1048576">
    <cfRule type="cellIs" dxfId="1141" priority="3341" operator="lessThan">
      <formula>0</formula>
    </cfRule>
  </conditionalFormatting>
  <conditionalFormatting sqref="H86:H1048576">
    <cfRule type="cellIs" dxfId="1140" priority="3340" operator="lessThan">
      <formula>0</formula>
    </cfRule>
  </conditionalFormatting>
  <conditionalFormatting sqref="H86:H1048576">
    <cfRule type="cellIs" dxfId="1139" priority="3339" operator="lessThan">
      <formula>0</formula>
    </cfRule>
  </conditionalFormatting>
  <conditionalFormatting sqref="H86:H1048576">
    <cfRule type="cellIs" dxfId="1138" priority="3338" operator="lessThan">
      <formula>0</formula>
    </cfRule>
  </conditionalFormatting>
  <conditionalFormatting sqref="H86:H1048576">
    <cfRule type="cellIs" dxfId="1137" priority="3337" operator="lessThan">
      <formula>0</formula>
    </cfRule>
  </conditionalFormatting>
  <conditionalFormatting sqref="H86:H1048576">
    <cfRule type="cellIs" dxfId="1136" priority="3336" operator="lessThan">
      <formula>0</formula>
    </cfRule>
  </conditionalFormatting>
  <conditionalFormatting sqref="H86:H1048576">
    <cfRule type="cellIs" dxfId="1135" priority="3335" operator="lessThan">
      <formula>0</formula>
    </cfRule>
  </conditionalFormatting>
  <conditionalFormatting sqref="H86:H1048576">
    <cfRule type="cellIs" dxfId="1134" priority="3334" operator="lessThan">
      <formula>0</formula>
    </cfRule>
  </conditionalFormatting>
  <conditionalFormatting sqref="H86:H1048576">
    <cfRule type="cellIs" dxfId="1133" priority="3333" operator="lessThan">
      <formula>0</formula>
    </cfRule>
  </conditionalFormatting>
  <conditionalFormatting sqref="H86:H1048576">
    <cfRule type="cellIs" dxfId="1132" priority="3332" operator="lessThan">
      <formula>0</formula>
    </cfRule>
  </conditionalFormatting>
  <conditionalFormatting sqref="H86:H1048576">
    <cfRule type="cellIs" dxfId="1131" priority="3331" operator="lessThan">
      <formula>0</formula>
    </cfRule>
  </conditionalFormatting>
  <conditionalFormatting sqref="H86:H1048576">
    <cfRule type="cellIs" dxfId="1130" priority="3330" operator="lessThan">
      <formula>0</formula>
    </cfRule>
  </conditionalFormatting>
  <conditionalFormatting sqref="H86:H1048576">
    <cfRule type="cellIs" dxfId="1129" priority="3329" operator="lessThan">
      <formula>0</formula>
    </cfRule>
  </conditionalFormatting>
  <conditionalFormatting sqref="H86:H1048576">
    <cfRule type="cellIs" dxfId="1128" priority="3328" operator="lessThan">
      <formula>0</formula>
    </cfRule>
  </conditionalFormatting>
  <conditionalFormatting sqref="H86:H1048576">
    <cfRule type="cellIs" dxfId="1127" priority="3327" operator="lessThan">
      <formula>0</formula>
    </cfRule>
  </conditionalFormatting>
  <conditionalFormatting sqref="H86:H1048576">
    <cfRule type="cellIs" dxfId="1126" priority="3326" operator="lessThan">
      <formula>0</formula>
    </cfRule>
  </conditionalFormatting>
  <conditionalFormatting sqref="H86:H1048576">
    <cfRule type="cellIs" dxfId="1125" priority="3325" operator="lessThan">
      <formula>0</formula>
    </cfRule>
  </conditionalFormatting>
  <conditionalFormatting sqref="H86:H1048576">
    <cfRule type="cellIs" dxfId="1124" priority="3324" operator="lessThan">
      <formula>0</formula>
    </cfRule>
  </conditionalFormatting>
  <conditionalFormatting sqref="H86:H1048576">
    <cfRule type="cellIs" dxfId="1123" priority="3323" operator="lessThan">
      <formula>0</formula>
    </cfRule>
  </conditionalFormatting>
  <conditionalFormatting sqref="H86:H1048576">
    <cfRule type="cellIs" dxfId="1122" priority="3322" operator="lessThan">
      <formula>0</formula>
    </cfRule>
  </conditionalFormatting>
  <conditionalFormatting sqref="H86:H1048576">
    <cfRule type="cellIs" dxfId="1121" priority="3321" operator="lessThan">
      <formula>0</formula>
    </cfRule>
  </conditionalFormatting>
  <conditionalFormatting sqref="H86:H1048576">
    <cfRule type="cellIs" dxfId="1120" priority="3320" operator="lessThan">
      <formula>0</formula>
    </cfRule>
  </conditionalFormatting>
  <conditionalFormatting sqref="H86:H1048576">
    <cfRule type="cellIs" dxfId="1119" priority="3319" operator="lessThan">
      <formula>0</formula>
    </cfRule>
  </conditionalFormatting>
  <conditionalFormatting sqref="H86:H1048576">
    <cfRule type="cellIs" dxfId="1118" priority="3318" operator="lessThan">
      <formula>0</formula>
    </cfRule>
  </conditionalFormatting>
  <conditionalFormatting sqref="H86:H1048576">
    <cfRule type="cellIs" dxfId="1117" priority="3317" operator="lessThan">
      <formula>0</formula>
    </cfRule>
  </conditionalFormatting>
  <conditionalFormatting sqref="H86:H1048576">
    <cfRule type="cellIs" dxfId="1116" priority="3316" operator="lessThan">
      <formula>0</formula>
    </cfRule>
  </conditionalFormatting>
  <conditionalFormatting sqref="H86:H1048576">
    <cfRule type="cellIs" dxfId="1115" priority="3315" operator="lessThan">
      <formula>0</formula>
    </cfRule>
  </conditionalFormatting>
  <conditionalFormatting sqref="H86:H1048576">
    <cfRule type="cellIs" dxfId="1114" priority="3314" operator="lessThan">
      <formula>0</formula>
    </cfRule>
  </conditionalFormatting>
  <conditionalFormatting sqref="H86:H1048576">
    <cfRule type="cellIs" dxfId="1113" priority="3313" operator="lessThan">
      <formula>0</formula>
    </cfRule>
  </conditionalFormatting>
  <conditionalFormatting sqref="H86:H1048576">
    <cfRule type="cellIs" dxfId="1112" priority="3312" operator="lessThan">
      <formula>0</formula>
    </cfRule>
  </conditionalFormatting>
  <conditionalFormatting sqref="H86:H1048576">
    <cfRule type="cellIs" dxfId="1111" priority="3311" operator="lessThan">
      <formula>0</formula>
    </cfRule>
  </conditionalFormatting>
  <conditionalFormatting sqref="H86:H1048576">
    <cfRule type="cellIs" dxfId="1110" priority="3310" operator="lessThan">
      <formula>0</formula>
    </cfRule>
  </conditionalFormatting>
  <conditionalFormatting sqref="H86:H1048576">
    <cfRule type="cellIs" dxfId="1109" priority="3309" operator="lessThan">
      <formula>0</formula>
    </cfRule>
  </conditionalFormatting>
  <conditionalFormatting sqref="H86:H1048576">
    <cfRule type="cellIs" dxfId="1108" priority="3308" operator="lessThan">
      <formula>0</formula>
    </cfRule>
  </conditionalFormatting>
  <conditionalFormatting sqref="H86:H1048576">
    <cfRule type="cellIs" dxfId="1107" priority="3307" operator="lessThan">
      <formula>0</formula>
    </cfRule>
  </conditionalFormatting>
  <conditionalFormatting sqref="H86:H1048576">
    <cfRule type="cellIs" dxfId="1106" priority="3306" operator="lessThan">
      <formula>0</formula>
    </cfRule>
  </conditionalFormatting>
  <conditionalFormatting sqref="H86:H1048576">
    <cfRule type="cellIs" dxfId="1105" priority="3305" operator="lessThan">
      <formula>0</formula>
    </cfRule>
  </conditionalFormatting>
  <conditionalFormatting sqref="H86:H1048576">
    <cfRule type="cellIs" dxfId="1104" priority="3304" operator="lessThan">
      <formula>0</formula>
    </cfRule>
  </conditionalFormatting>
  <conditionalFormatting sqref="H86:H1048576">
    <cfRule type="cellIs" dxfId="1103" priority="3303" operator="lessThan">
      <formula>0</formula>
    </cfRule>
  </conditionalFormatting>
  <conditionalFormatting sqref="H86:H1048576">
    <cfRule type="cellIs" dxfId="1102" priority="3302" operator="lessThan">
      <formula>0</formula>
    </cfRule>
  </conditionalFormatting>
  <conditionalFormatting sqref="H86:H1048576">
    <cfRule type="cellIs" dxfId="1101" priority="3301" operator="lessThan">
      <formula>0</formula>
    </cfRule>
  </conditionalFormatting>
  <conditionalFormatting sqref="H86:H1048576">
    <cfRule type="cellIs" dxfId="1100" priority="3300" operator="lessThan">
      <formula>0</formula>
    </cfRule>
  </conditionalFormatting>
  <conditionalFormatting sqref="H86:H1048576">
    <cfRule type="cellIs" dxfId="1099" priority="3299" operator="lessThan">
      <formula>0</formula>
    </cfRule>
  </conditionalFormatting>
  <conditionalFormatting sqref="H86:H1048576">
    <cfRule type="cellIs" dxfId="1098" priority="3298" operator="lessThan">
      <formula>0</formula>
    </cfRule>
  </conditionalFormatting>
  <conditionalFormatting sqref="H86:H1048576">
    <cfRule type="cellIs" dxfId="1097" priority="3297" operator="lessThan">
      <formula>0</formula>
    </cfRule>
  </conditionalFormatting>
  <conditionalFormatting sqref="H86:H1048576">
    <cfRule type="cellIs" dxfId="1096" priority="3296" operator="lessThan">
      <formula>0</formula>
    </cfRule>
  </conditionalFormatting>
  <conditionalFormatting sqref="H86:H1048576">
    <cfRule type="cellIs" dxfId="1095" priority="3295" operator="lessThan">
      <formula>0</formula>
    </cfRule>
  </conditionalFormatting>
  <conditionalFormatting sqref="H86:H1048576">
    <cfRule type="cellIs" dxfId="1094" priority="3294" operator="lessThan">
      <formula>0</formula>
    </cfRule>
  </conditionalFormatting>
  <conditionalFormatting sqref="H86:H1048576">
    <cfRule type="cellIs" dxfId="1093" priority="3293" operator="lessThan">
      <formula>0</formula>
    </cfRule>
  </conditionalFormatting>
  <conditionalFormatting sqref="H86:H1048576">
    <cfRule type="cellIs" dxfId="1092" priority="3292" operator="lessThan">
      <formula>0</formula>
    </cfRule>
  </conditionalFormatting>
  <conditionalFormatting sqref="H86:H1048576">
    <cfRule type="cellIs" dxfId="1091" priority="3291" operator="lessThan">
      <formula>0</formula>
    </cfRule>
  </conditionalFormatting>
  <conditionalFormatting sqref="H86:H1048576">
    <cfRule type="cellIs" dxfId="1090" priority="3290" operator="lessThan">
      <formula>0</formula>
    </cfRule>
  </conditionalFormatting>
  <conditionalFormatting sqref="H86:H1048576">
    <cfRule type="cellIs" dxfId="1089" priority="3289" operator="lessThan">
      <formula>0</formula>
    </cfRule>
  </conditionalFormatting>
  <conditionalFormatting sqref="H86:H1048576">
    <cfRule type="cellIs" dxfId="1088" priority="3288" operator="lessThan">
      <formula>0</formula>
    </cfRule>
  </conditionalFormatting>
  <conditionalFormatting sqref="H86:H1048576">
    <cfRule type="cellIs" dxfId="1087" priority="3287" operator="lessThan">
      <formula>0</formula>
    </cfRule>
  </conditionalFormatting>
  <conditionalFormatting sqref="H86:H1048576">
    <cfRule type="cellIs" dxfId="1086" priority="3286" operator="lessThan">
      <formula>0</formula>
    </cfRule>
  </conditionalFormatting>
  <conditionalFormatting sqref="H86:H1048576">
    <cfRule type="cellIs" dxfId="1085" priority="3285" operator="lessThan">
      <formula>0</formula>
    </cfRule>
  </conditionalFormatting>
  <conditionalFormatting sqref="H86:H1048576">
    <cfRule type="cellIs" dxfId="1084" priority="3284" operator="lessThan">
      <formula>0</formula>
    </cfRule>
  </conditionalFormatting>
  <conditionalFormatting sqref="H86:H1048576">
    <cfRule type="cellIs" dxfId="1083" priority="3283" operator="lessThan">
      <formula>0</formula>
    </cfRule>
  </conditionalFormatting>
  <conditionalFormatting sqref="H86:H1048576">
    <cfRule type="cellIs" dxfId="1082" priority="3282" operator="lessThan">
      <formula>0</formula>
    </cfRule>
  </conditionalFormatting>
  <conditionalFormatting sqref="H86:H1048576">
    <cfRule type="cellIs" dxfId="1081" priority="3281" operator="lessThan">
      <formula>0</formula>
    </cfRule>
  </conditionalFormatting>
  <conditionalFormatting sqref="H86:H1048576">
    <cfRule type="cellIs" dxfId="1080" priority="3280" operator="lessThan">
      <formula>0</formula>
    </cfRule>
  </conditionalFormatting>
  <conditionalFormatting sqref="H86:H1048576">
    <cfRule type="cellIs" dxfId="1079" priority="3279" operator="lessThan">
      <formula>0</formula>
    </cfRule>
  </conditionalFormatting>
  <conditionalFormatting sqref="H86:H1048576">
    <cfRule type="cellIs" dxfId="1078" priority="3278" operator="lessThan">
      <formula>0</formula>
    </cfRule>
  </conditionalFormatting>
  <conditionalFormatting sqref="H86:H1048576">
    <cfRule type="cellIs" dxfId="1077" priority="3277" operator="lessThan">
      <formula>0</formula>
    </cfRule>
  </conditionalFormatting>
  <conditionalFormatting sqref="H86:H1048576">
    <cfRule type="cellIs" dxfId="1076" priority="3276" operator="lessThan">
      <formula>0</formula>
    </cfRule>
  </conditionalFormatting>
  <conditionalFormatting sqref="H86:H1048576">
    <cfRule type="cellIs" dxfId="1075" priority="3275" operator="lessThan">
      <formula>0</formula>
    </cfRule>
  </conditionalFormatting>
  <conditionalFormatting sqref="H86:H1048576">
    <cfRule type="cellIs" dxfId="1074" priority="3274" operator="lessThan">
      <formula>0</formula>
    </cfRule>
  </conditionalFormatting>
  <conditionalFormatting sqref="H86:H1048576">
    <cfRule type="cellIs" dxfId="1073" priority="3273" operator="lessThan">
      <formula>0</formula>
    </cfRule>
  </conditionalFormatting>
  <conditionalFormatting sqref="H86:H1048576">
    <cfRule type="cellIs" dxfId="1072" priority="3272" operator="lessThan">
      <formula>0</formula>
    </cfRule>
  </conditionalFormatting>
  <conditionalFormatting sqref="H86:H1048576">
    <cfRule type="cellIs" dxfId="1071" priority="3271" operator="lessThan">
      <formula>0</formula>
    </cfRule>
  </conditionalFormatting>
  <conditionalFormatting sqref="H86:H1048576">
    <cfRule type="cellIs" dxfId="1070" priority="3270" operator="lessThan">
      <formula>0</formula>
    </cfRule>
  </conditionalFormatting>
  <conditionalFormatting sqref="H86:H1048576">
    <cfRule type="cellIs" dxfId="1069" priority="3269" operator="lessThan">
      <formula>0</formula>
    </cfRule>
  </conditionalFormatting>
  <conditionalFormatting sqref="H86:H1048576">
    <cfRule type="cellIs" dxfId="1068" priority="3268" operator="lessThan">
      <formula>0</formula>
    </cfRule>
  </conditionalFormatting>
  <conditionalFormatting sqref="H86:H1048576">
    <cfRule type="cellIs" dxfId="1067" priority="3267" operator="lessThan">
      <formula>0</formula>
    </cfRule>
  </conditionalFormatting>
  <conditionalFormatting sqref="H86:H1048576">
    <cfRule type="cellIs" dxfId="1066" priority="3266" operator="lessThan">
      <formula>0</formula>
    </cfRule>
  </conditionalFormatting>
  <conditionalFormatting sqref="H86:H1048576">
    <cfRule type="cellIs" dxfId="1065" priority="3265" operator="lessThan">
      <formula>0</formula>
    </cfRule>
  </conditionalFormatting>
  <conditionalFormatting sqref="H86:H1048576">
    <cfRule type="cellIs" dxfId="1064" priority="3264" operator="lessThan">
      <formula>0</formula>
    </cfRule>
  </conditionalFormatting>
  <conditionalFormatting sqref="H86:H1048576">
    <cfRule type="cellIs" dxfId="1063" priority="3263" operator="lessThan">
      <formula>0</formula>
    </cfRule>
  </conditionalFormatting>
  <conditionalFormatting sqref="H86:H1048576">
    <cfRule type="cellIs" dxfId="1062" priority="3262" operator="lessThan">
      <formula>0</formula>
    </cfRule>
  </conditionalFormatting>
  <conditionalFormatting sqref="H86:H1048576">
    <cfRule type="cellIs" dxfId="1061" priority="3261" operator="lessThan">
      <formula>0</formula>
    </cfRule>
  </conditionalFormatting>
  <conditionalFormatting sqref="H86:H1048576">
    <cfRule type="cellIs" dxfId="1060" priority="3260" operator="lessThan">
      <formula>0</formula>
    </cfRule>
  </conditionalFormatting>
  <conditionalFormatting sqref="H86:H1048576">
    <cfRule type="cellIs" dxfId="1059" priority="3259" operator="lessThan">
      <formula>0</formula>
    </cfRule>
  </conditionalFormatting>
  <conditionalFormatting sqref="H86:H1048576">
    <cfRule type="cellIs" dxfId="1058" priority="3258" operator="lessThan">
      <formula>0</formula>
    </cfRule>
  </conditionalFormatting>
  <conditionalFormatting sqref="H86:H1048576">
    <cfRule type="cellIs" dxfId="1057" priority="3257" operator="lessThan">
      <formula>0</formula>
    </cfRule>
  </conditionalFormatting>
  <conditionalFormatting sqref="H86:H1048576">
    <cfRule type="cellIs" dxfId="1056" priority="3256" operator="lessThan">
      <formula>0</formula>
    </cfRule>
  </conditionalFormatting>
  <conditionalFormatting sqref="H86:H1048576">
    <cfRule type="cellIs" dxfId="1055" priority="3255" operator="lessThan">
      <formula>0</formula>
    </cfRule>
  </conditionalFormatting>
  <conditionalFormatting sqref="H86:H1048576">
    <cfRule type="cellIs" dxfId="1054" priority="3254" operator="lessThan">
      <formula>0</formula>
    </cfRule>
  </conditionalFormatting>
  <conditionalFormatting sqref="H86:H1048576">
    <cfRule type="cellIs" dxfId="1053" priority="3253" operator="lessThan">
      <formula>0</formula>
    </cfRule>
  </conditionalFormatting>
  <conditionalFormatting sqref="H86:H1048576">
    <cfRule type="cellIs" dxfId="1052" priority="3252" operator="lessThan">
      <formula>0</formula>
    </cfRule>
  </conditionalFormatting>
  <conditionalFormatting sqref="H86:H1048576">
    <cfRule type="cellIs" dxfId="1051" priority="3251" operator="lessThan">
      <formula>0</formula>
    </cfRule>
  </conditionalFormatting>
  <conditionalFormatting sqref="H86:H1048576">
    <cfRule type="cellIs" dxfId="1050" priority="3250" operator="lessThan">
      <formula>0</formula>
    </cfRule>
  </conditionalFormatting>
  <conditionalFormatting sqref="H86:H1048576">
    <cfRule type="cellIs" dxfId="1049" priority="3249" operator="lessThan">
      <formula>0</formula>
    </cfRule>
  </conditionalFormatting>
  <conditionalFormatting sqref="H86:H1048576">
    <cfRule type="cellIs" dxfId="1048" priority="3248" operator="lessThan">
      <formula>0</formula>
    </cfRule>
  </conditionalFormatting>
  <conditionalFormatting sqref="H86:H1048576">
    <cfRule type="cellIs" dxfId="1047" priority="3247" operator="lessThan">
      <formula>0</formula>
    </cfRule>
  </conditionalFormatting>
  <conditionalFormatting sqref="H86:H1048576">
    <cfRule type="cellIs" dxfId="1046" priority="3246" operator="lessThan">
      <formula>0</formula>
    </cfRule>
  </conditionalFormatting>
  <conditionalFormatting sqref="H86:H1048576">
    <cfRule type="cellIs" dxfId="1045" priority="3245" operator="lessThan">
      <formula>0</formula>
    </cfRule>
  </conditionalFormatting>
  <conditionalFormatting sqref="H86:H1048576">
    <cfRule type="cellIs" dxfId="1044" priority="3244" operator="lessThan">
      <formula>0</formula>
    </cfRule>
  </conditionalFormatting>
  <conditionalFormatting sqref="H86:H1048576">
    <cfRule type="cellIs" dxfId="1043" priority="3243" operator="lessThan">
      <formula>0</formula>
    </cfRule>
  </conditionalFormatting>
  <conditionalFormatting sqref="H86:H1048576">
    <cfRule type="cellIs" dxfId="1042" priority="3242" operator="lessThan">
      <formula>0</formula>
    </cfRule>
  </conditionalFormatting>
  <conditionalFormatting sqref="H86:H1048576">
    <cfRule type="cellIs" dxfId="1041" priority="3241" operator="lessThan">
      <formula>0</formula>
    </cfRule>
  </conditionalFormatting>
  <conditionalFormatting sqref="H86:H1048576">
    <cfRule type="cellIs" dxfId="1040" priority="3240" operator="lessThan">
      <formula>0</formula>
    </cfRule>
  </conditionalFormatting>
  <conditionalFormatting sqref="H86:H1048576">
    <cfRule type="cellIs" dxfId="1039" priority="3239" operator="lessThan">
      <formula>0</formula>
    </cfRule>
  </conditionalFormatting>
  <conditionalFormatting sqref="H86:H1048576">
    <cfRule type="cellIs" dxfId="1038" priority="3238" operator="lessThan">
      <formula>0</formula>
    </cfRule>
  </conditionalFormatting>
  <conditionalFormatting sqref="H86:H1048576">
    <cfRule type="cellIs" dxfId="1037" priority="3237" operator="lessThan">
      <formula>0</formula>
    </cfRule>
  </conditionalFormatting>
  <conditionalFormatting sqref="H86:H1048576">
    <cfRule type="cellIs" dxfId="1036" priority="3236" operator="lessThan">
      <formula>0</formula>
    </cfRule>
  </conditionalFormatting>
  <conditionalFormatting sqref="H86:H1048576">
    <cfRule type="cellIs" dxfId="1035" priority="3235" operator="lessThan">
      <formula>0</formula>
    </cfRule>
  </conditionalFormatting>
  <conditionalFormatting sqref="H86:H1048576">
    <cfRule type="cellIs" dxfId="1034" priority="3234" operator="lessThan">
      <formula>0</formula>
    </cfRule>
  </conditionalFormatting>
  <conditionalFormatting sqref="H86:H1048576">
    <cfRule type="cellIs" dxfId="1033" priority="3233" operator="lessThan">
      <formula>0</formula>
    </cfRule>
  </conditionalFormatting>
  <conditionalFormatting sqref="H86:H1048576">
    <cfRule type="cellIs" dxfId="1032" priority="3232" operator="lessThan">
      <formula>0</formula>
    </cfRule>
  </conditionalFormatting>
  <conditionalFormatting sqref="H86:H1048576">
    <cfRule type="cellIs" dxfId="1031" priority="3231" operator="lessThan">
      <formula>0</formula>
    </cfRule>
  </conditionalFormatting>
  <conditionalFormatting sqref="H86:H1048576">
    <cfRule type="cellIs" dxfId="1030" priority="3230" operator="lessThan">
      <formula>0</formula>
    </cfRule>
  </conditionalFormatting>
  <conditionalFormatting sqref="H86:H1048576">
    <cfRule type="cellIs" dxfId="1029" priority="3229" operator="lessThan">
      <formula>0</formula>
    </cfRule>
  </conditionalFormatting>
  <conditionalFormatting sqref="H86:H1048576">
    <cfRule type="cellIs" dxfId="1028" priority="3228" operator="lessThan">
      <formula>0</formula>
    </cfRule>
  </conditionalFormatting>
  <conditionalFormatting sqref="H86:H1048576">
    <cfRule type="cellIs" dxfId="1027" priority="3227" operator="lessThan">
      <formula>0</formula>
    </cfRule>
  </conditionalFormatting>
  <conditionalFormatting sqref="H86:H1048576">
    <cfRule type="cellIs" dxfId="1026" priority="3226" operator="lessThan">
      <formula>0</formula>
    </cfRule>
  </conditionalFormatting>
  <conditionalFormatting sqref="H86:H1048576">
    <cfRule type="cellIs" dxfId="1025" priority="3225" operator="lessThan">
      <formula>0</formula>
    </cfRule>
  </conditionalFormatting>
  <conditionalFormatting sqref="H86:H1048576">
    <cfRule type="cellIs" dxfId="1024" priority="3224" operator="lessThan">
      <formula>0</formula>
    </cfRule>
  </conditionalFormatting>
  <conditionalFormatting sqref="H86:H1048576">
    <cfRule type="cellIs" dxfId="1023" priority="3223" operator="lessThan">
      <formula>0</formula>
    </cfRule>
  </conditionalFormatting>
  <conditionalFormatting sqref="H86:H1048576">
    <cfRule type="cellIs" dxfId="1022" priority="3222" operator="lessThan">
      <formula>0</formula>
    </cfRule>
  </conditionalFormatting>
  <conditionalFormatting sqref="H86:H1048576">
    <cfRule type="cellIs" dxfId="1021" priority="3221" operator="lessThan">
      <formula>0</formula>
    </cfRule>
  </conditionalFormatting>
  <conditionalFormatting sqref="H86:H1048576">
    <cfRule type="cellIs" dxfId="1020" priority="3220" operator="lessThan">
      <formula>0</formula>
    </cfRule>
  </conditionalFormatting>
  <conditionalFormatting sqref="H86:H1048576">
    <cfRule type="cellIs" dxfId="1019" priority="3219" operator="lessThan">
      <formula>0</formula>
    </cfRule>
  </conditionalFormatting>
  <conditionalFormatting sqref="H86:H1048576">
    <cfRule type="cellIs" dxfId="1018" priority="3218" operator="lessThan">
      <formula>0</formula>
    </cfRule>
  </conditionalFormatting>
  <conditionalFormatting sqref="H86:H1048576">
    <cfRule type="cellIs" dxfId="1017" priority="3217" operator="lessThan">
      <formula>0</formula>
    </cfRule>
  </conditionalFormatting>
  <conditionalFormatting sqref="H86:H1048576">
    <cfRule type="cellIs" dxfId="1016" priority="3216" operator="lessThan">
      <formula>0</formula>
    </cfRule>
  </conditionalFormatting>
  <conditionalFormatting sqref="H86:H1048576">
    <cfRule type="cellIs" dxfId="1015" priority="3215" operator="lessThan">
      <formula>0</formula>
    </cfRule>
  </conditionalFormatting>
  <conditionalFormatting sqref="H86:H1048576">
    <cfRule type="cellIs" dxfId="1014" priority="3214" operator="lessThan">
      <formula>0</formula>
    </cfRule>
  </conditionalFormatting>
  <conditionalFormatting sqref="H86:H1048576">
    <cfRule type="cellIs" dxfId="1013" priority="3213" operator="lessThan">
      <formula>0</formula>
    </cfRule>
  </conditionalFormatting>
  <conditionalFormatting sqref="H86:H1048576">
    <cfRule type="cellIs" dxfId="1012" priority="3212" operator="lessThan">
      <formula>0</formula>
    </cfRule>
  </conditionalFormatting>
  <conditionalFormatting sqref="H86:H1048576">
    <cfRule type="cellIs" dxfId="1011" priority="3211" operator="lessThan">
      <formula>0</formula>
    </cfRule>
  </conditionalFormatting>
  <conditionalFormatting sqref="H86:H1048576">
    <cfRule type="cellIs" dxfId="1010" priority="3210" operator="lessThan">
      <formula>0</formula>
    </cfRule>
  </conditionalFormatting>
  <conditionalFormatting sqref="H86:H1048576">
    <cfRule type="cellIs" dxfId="1009" priority="3209" operator="lessThan">
      <formula>0</formula>
    </cfRule>
  </conditionalFormatting>
  <conditionalFormatting sqref="H86:H1048576">
    <cfRule type="cellIs" dxfId="1008" priority="3208" operator="lessThan">
      <formula>0</formula>
    </cfRule>
  </conditionalFormatting>
  <conditionalFormatting sqref="H86:H1048576">
    <cfRule type="cellIs" dxfId="1007" priority="3207" operator="lessThan">
      <formula>0</formula>
    </cfRule>
  </conditionalFormatting>
  <conditionalFormatting sqref="H86:H1048576">
    <cfRule type="cellIs" dxfId="1006" priority="3206" operator="lessThan">
      <formula>0</formula>
    </cfRule>
  </conditionalFormatting>
  <conditionalFormatting sqref="H86:H1048576">
    <cfRule type="cellIs" dxfId="1005" priority="3205" operator="lessThan">
      <formula>0</formula>
    </cfRule>
  </conditionalFormatting>
  <conditionalFormatting sqref="H86:H1048576">
    <cfRule type="cellIs" dxfId="1004" priority="3204" operator="lessThan">
      <formula>0</formula>
    </cfRule>
  </conditionalFormatting>
  <conditionalFormatting sqref="H86:H1048576">
    <cfRule type="cellIs" dxfId="1003" priority="3203" operator="lessThan">
      <formula>0</formula>
    </cfRule>
  </conditionalFormatting>
  <conditionalFormatting sqref="H86:H1048576">
    <cfRule type="cellIs" dxfId="1002" priority="3202" operator="lessThan">
      <formula>0</formula>
    </cfRule>
  </conditionalFormatting>
  <conditionalFormatting sqref="H86:H1048576">
    <cfRule type="cellIs" dxfId="1001" priority="3201" operator="lessThan">
      <formula>0</formula>
    </cfRule>
  </conditionalFormatting>
  <conditionalFormatting sqref="H86:H1048576">
    <cfRule type="cellIs" dxfId="1000" priority="3200" operator="lessThan">
      <formula>0</formula>
    </cfRule>
  </conditionalFormatting>
  <conditionalFormatting sqref="H86:H1048576">
    <cfRule type="cellIs" dxfId="999" priority="3199" operator="lessThan">
      <formula>0</formula>
    </cfRule>
  </conditionalFormatting>
  <conditionalFormatting sqref="H86:H1048576">
    <cfRule type="cellIs" dxfId="998" priority="3198" operator="lessThan">
      <formula>0</formula>
    </cfRule>
  </conditionalFormatting>
  <conditionalFormatting sqref="H86:H1048576">
    <cfRule type="cellIs" dxfId="997" priority="3197" operator="lessThan">
      <formula>0</formula>
    </cfRule>
  </conditionalFormatting>
  <conditionalFormatting sqref="H86:H1048576">
    <cfRule type="cellIs" dxfId="996" priority="3196" operator="lessThan">
      <formula>0</formula>
    </cfRule>
  </conditionalFormatting>
  <conditionalFormatting sqref="H86:H1048576">
    <cfRule type="cellIs" dxfId="995" priority="3195" operator="lessThan">
      <formula>0</formula>
    </cfRule>
  </conditionalFormatting>
  <conditionalFormatting sqref="H86:H1048576">
    <cfRule type="cellIs" dxfId="994" priority="3194" operator="lessThan">
      <formula>0</formula>
    </cfRule>
  </conditionalFormatting>
  <conditionalFormatting sqref="H86:H1048576">
    <cfRule type="cellIs" dxfId="993" priority="3193" operator="lessThan">
      <formula>0</formula>
    </cfRule>
  </conditionalFormatting>
  <conditionalFormatting sqref="H86:H1048576">
    <cfRule type="cellIs" dxfId="992" priority="3192" operator="lessThan">
      <formula>0</formula>
    </cfRule>
  </conditionalFormatting>
  <conditionalFormatting sqref="H86:H1048576">
    <cfRule type="cellIs" dxfId="991" priority="3191" operator="lessThan">
      <formula>0</formula>
    </cfRule>
  </conditionalFormatting>
  <conditionalFormatting sqref="H86:H1048576">
    <cfRule type="cellIs" dxfId="990" priority="3190" operator="lessThan">
      <formula>0</formula>
    </cfRule>
  </conditionalFormatting>
  <conditionalFormatting sqref="H86:H1048576">
    <cfRule type="cellIs" dxfId="989" priority="3189" operator="lessThan">
      <formula>0</formula>
    </cfRule>
  </conditionalFormatting>
  <conditionalFormatting sqref="H86:H1048576">
    <cfRule type="cellIs" dxfId="988" priority="3188" operator="lessThan">
      <formula>0</formula>
    </cfRule>
  </conditionalFormatting>
  <conditionalFormatting sqref="H86:H1048576">
    <cfRule type="cellIs" dxfId="987" priority="3187" operator="lessThan">
      <formula>0</formula>
    </cfRule>
  </conditionalFormatting>
  <conditionalFormatting sqref="H86:H1048576">
    <cfRule type="cellIs" dxfId="986" priority="3186" operator="lessThan">
      <formula>0</formula>
    </cfRule>
  </conditionalFormatting>
  <conditionalFormatting sqref="H86:H1048576">
    <cfRule type="cellIs" dxfId="985" priority="3185" operator="lessThan">
      <formula>0</formula>
    </cfRule>
  </conditionalFormatting>
  <conditionalFormatting sqref="H86:H1048576">
    <cfRule type="cellIs" dxfId="984" priority="3184" operator="lessThan">
      <formula>0</formula>
    </cfRule>
  </conditionalFormatting>
  <conditionalFormatting sqref="H86:H1048576">
    <cfRule type="cellIs" dxfId="983" priority="3183" operator="lessThan">
      <formula>0</formula>
    </cfRule>
  </conditionalFormatting>
  <conditionalFormatting sqref="H86:H1048576">
    <cfRule type="cellIs" dxfId="982" priority="3182" operator="lessThan">
      <formula>0</formula>
    </cfRule>
  </conditionalFormatting>
  <conditionalFormatting sqref="H86:H1048576">
    <cfRule type="cellIs" dxfId="981" priority="3181" operator="lessThan">
      <formula>0</formula>
    </cfRule>
  </conditionalFormatting>
  <conditionalFormatting sqref="H86:H1048576">
    <cfRule type="cellIs" dxfId="980" priority="3180" operator="lessThan">
      <formula>0</formula>
    </cfRule>
  </conditionalFormatting>
  <conditionalFormatting sqref="H86:H1048576">
    <cfRule type="cellIs" dxfId="979" priority="3179" operator="lessThan">
      <formula>0</formula>
    </cfRule>
  </conditionalFormatting>
  <conditionalFormatting sqref="H86:H1048576">
    <cfRule type="cellIs" dxfId="978" priority="3178" operator="lessThan">
      <formula>0</formula>
    </cfRule>
  </conditionalFormatting>
  <conditionalFormatting sqref="H86:H1048576">
    <cfRule type="cellIs" dxfId="977" priority="3177" operator="lessThan">
      <formula>0</formula>
    </cfRule>
  </conditionalFormatting>
  <conditionalFormatting sqref="H86:H1048576">
    <cfRule type="cellIs" dxfId="976" priority="3176" operator="lessThan">
      <formula>0</formula>
    </cfRule>
  </conditionalFormatting>
  <conditionalFormatting sqref="H86:H1048576">
    <cfRule type="cellIs" dxfId="975" priority="3175" operator="lessThan">
      <formula>0</formula>
    </cfRule>
  </conditionalFormatting>
  <conditionalFormatting sqref="H86:H1048576">
    <cfRule type="cellIs" dxfId="974" priority="3174" operator="lessThan">
      <formula>0</formula>
    </cfRule>
  </conditionalFormatting>
  <conditionalFormatting sqref="H86:H1048576">
    <cfRule type="cellIs" dxfId="973" priority="3173" operator="lessThan">
      <formula>0</formula>
    </cfRule>
  </conditionalFormatting>
  <conditionalFormatting sqref="H86:H1048576">
    <cfRule type="cellIs" dxfId="972" priority="3172" operator="lessThan">
      <formula>0</formula>
    </cfRule>
  </conditionalFormatting>
  <conditionalFormatting sqref="H86:H1048576">
    <cfRule type="cellIs" dxfId="971" priority="3171" operator="lessThan">
      <formula>0</formula>
    </cfRule>
  </conditionalFormatting>
  <conditionalFormatting sqref="H86:H1048576">
    <cfRule type="cellIs" dxfId="970" priority="3170" operator="lessThan">
      <formula>0</formula>
    </cfRule>
  </conditionalFormatting>
  <conditionalFormatting sqref="H86:H1048576">
    <cfRule type="cellIs" dxfId="969" priority="3169" operator="lessThan">
      <formula>0</formula>
    </cfRule>
  </conditionalFormatting>
  <conditionalFormatting sqref="H86:H1048576">
    <cfRule type="cellIs" dxfId="968" priority="3168" operator="lessThan">
      <formula>0</formula>
    </cfRule>
  </conditionalFormatting>
  <conditionalFormatting sqref="H86:H1048576">
    <cfRule type="cellIs" dxfId="967" priority="3167" operator="lessThan">
      <formula>0</formula>
    </cfRule>
  </conditionalFormatting>
  <conditionalFormatting sqref="H86:H1048576">
    <cfRule type="cellIs" dxfId="966" priority="3166" operator="lessThan">
      <formula>0</formula>
    </cfRule>
  </conditionalFormatting>
  <conditionalFormatting sqref="H86:H1048576">
    <cfRule type="cellIs" dxfId="965" priority="3165" operator="lessThan">
      <formula>0</formula>
    </cfRule>
  </conditionalFormatting>
  <conditionalFormatting sqref="H86:H1048576">
    <cfRule type="cellIs" dxfId="964" priority="3164" operator="lessThan">
      <formula>0</formula>
    </cfRule>
  </conditionalFormatting>
  <conditionalFormatting sqref="H10:H1048576">
    <cfRule type="cellIs" dxfId="963" priority="3163" operator="lessThan">
      <formula>0</formula>
    </cfRule>
  </conditionalFormatting>
  <conditionalFormatting sqref="H10:H1048576">
    <cfRule type="cellIs" dxfId="962" priority="3162" operator="lessThan">
      <formula>0</formula>
    </cfRule>
  </conditionalFormatting>
  <conditionalFormatting sqref="H10:H1048576">
    <cfRule type="cellIs" dxfId="961" priority="3161" operator="lessThan">
      <formula>0</formula>
    </cfRule>
  </conditionalFormatting>
  <conditionalFormatting sqref="H10:H1048576">
    <cfRule type="cellIs" dxfId="960" priority="3160" operator="lessThan">
      <formula>0</formula>
    </cfRule>
  </conditionalFormatting>
  <conditionalFormatting sqref="H10:H1048576">
    <cfRule type="cellIs" dxfId="959" priority="3159" operator="lessThan">
      <formula>0</formula>
    </cfRule>
  </conditionalFormatting>
  <conditionalFormatting sqref="H10:H1048576">
    <cfRule type="cellIs" dxfId="958" priority="3158" operator="lessThan">
      <formula>0</formula>
    </cfRule>
  </conditionalFormatting>
  <conditionalFormatting sqref="H10:H1048576">
    <cfRule type="cellIs" dxfId="957" priority="3157" operator="lessThan">
      <formula>0</formula>
    </cfRule>
  </conditionalFormatting>
  <conditionalFormatting sqref="H10:H1048576">
    <cfRule type="cellIs" dxfId="956" priority="3156" operator="lessThan">
      <formula>0</formula>
    </cfRule>
  </conditionalFormatting>
  <conditionalFormatting sqref="H10:H1048576">
    <cfRule type="cellIs" dxfId="955" priority="3155" operator="lessThan">
      <formula>0</formula>
    </cfRule>
  </conditionalFormatting>
  <conditionalFormatting sqref="H10:H1048576">
    <cfRule type="cellIs" dxfId="954" priority="3154" operator="lessThan">
      <formula>0</formula>
    </cfRule>
  </conditionalFormatting>
  <conditionalFormatting sqref="H10:H1048576">
    <cfRule type="cellIs" dxfId="953" priority="3153" operator="lessThan">
      <formula>0</formula>
    </cfRule>
  </conditionalFormatting>
  <conditionalFormatting sqref="H10:H1048576">
    <cfRule type="cellIs" dxfId="952" priority="3152" operator="lessThan">
      <formula>0</formula>
    </cfRule>
  </conditionalFormatting>
  <conditionalFormatting sqref="H10:H1048576">
    <cfRule type="cellIs" dxfId="951" priority="3151" operator="lessThan">
      <formula>0</formula>
    </cfRule>
  </conditionalFormatting>
  <conditionalFormatting sqref="H10:H1048576">
    <cfRule type="cellIs" dxfId="950" priority="3150" operator="lessThan">
      <formula>0</formula>
    </cfRule>
  </conditionalFormatting>
  <conditionalFormatting sqref="H10:H1048576">
    <cfRule type="cellIs" dxfId="949" priority="3149" operator="lessThan">
      <formula>0</formula>
    </cfRule>
  </conditionalFormatting>
  <conditionalFormatting sqref="H10:H1048576">
    <cfRule type="cellIs" dxfId="948" priority="3148" operator="lessThan">
      <formula>0</formula>
    </cfRule>
  </conditionalFormatting>
  <conditionalFormatting sqref="H10:H1048576">
    <cfRule type="cellIs" dxfId="947" priority="3147" operator="lessThan">
      <formula>0</formula>
    </cfRule>
  </conditionalFormatting>
  <conditionalFormatting sqref="H10:H1048576">
    <cfRule type="cellIs" dxfId="946" priority="3146" operator="lessThan">
      <formula>0</formula>
    </cfRule>
  </conditionalFormatting>
  <conditionalFormatting sqref="H10:H1048576">
    <cfRule type="cellIs" dxfId="945" priority="3145" operator="lessThan">
      <formula>0</formula>
    </cfRule>
  </conditionalFormatting>
  <conditionalFormatting sqref="H10:H1048576">
    <cfRule type="cellIs" dxfId="944" priority="3144" operator="lessThan">
      <formula>0</formula>
    </cfRule>
  </conditionalFormatting>
  <conditionalFormatting sqref="H10:H1048576">
    <cfRule type="cellIs" dxfId="943" priority="3143" operator="lessThan">
      <formula>0</formula>
    </cfRule>
  </conditionalFormatting>
  <conditionalFormatting sqref="H10:H1048576">
    <cfRule type="cellIs" dxfId="942" priority="3142" operator="lessThan">
      <formula>0</formula>
    </cfRule>
  </conditionalFormatting>
  <conditionalFormatting sqref="H10:H1048576">
    <cfRule type="cellIs" dxfId="941" priority="3141" operator="lessThan">
      <formula>0</formula>
    </cfRule>
  </conditionalFormatting>
  <conditionalFormatting sqref="H10:H1048576">
    <cfRule type="cellIs" dxfId="940" priority="3140" operator="lessThan">
      <formula>0</formula>
    </cfRule>
  </conditionalFormatting>
  <conditionalFormatting sqref="H10:H1048576">
    <cfRule type="cellIs" dxfId="939" priority="3139" operator="lessThan">
      <formula>0</formula>
    </cfRule>
  </conditionalFormatting>
  <conditionalFormatting sqref="H10:H1048576">
    <cfRule type="cellIs" dxfId="938" priority="3138" operator="lessThan">
      <formula>0</formula>
    </cfRule>
  </conditionalFormatting>
  <conditionalFormatting sqref="H10:H1048576">
    <cfRule type="cellIs" dxfId="937" priority="3137" operator="lessThan">
      <formula>0</formula>
    </cfRule>
  </conditionalFormatting>
  <conditionalFormatting sqref="H10:H1048576">
    <cfRule type="cellIs" dxfId="936" priority="3136" operator="lessThan">
      <formula>0</formula>
    </cfRule>
  </conditionalFormatting>
  <conditionalFormatting sqref="H10:H1048576">
    <cfRule type="cellIs" dxfId="935" priority="3135" operator="lessThan">
      <formula>0</formula>
    </cfRule>
  </conditionalFormatting>
  <conditionalFormatting sqref="H10:H1048576">
    <cfRule type="cellIs" dxfId="934" priority="3134" operator="lessThan">
      <formula>0</formula>
    </cfRule>
  </conditionalFormatting>
  <conditionalFormatting sqref="H10:H1048576">
    <cfRule type="cellIs" dxfId="933" priority="3133" operator="lessThan">
      <formula>0</formula>
    </cfRule>
  </conditionalFormatting>
  <conditionalFormatting sqref="H10:H1048576">
    <cfRule type="cellIs" dxfId="932" priority="3132" operator="lessThan">
      <formula>0</formula>
    </cfRule>
  </conditionalFormatting>
  <conditionalFormatting sqref="H10:H1048576">
    <cfRule type="cellIs" dxfId="931" priority="3131" operator="lessThan">
      <formula>0</formula>
    </cfRule>
  </conditionalFormatting>
  <conditionalFormatting sqref="H10:H1048576">
    <cfRule type="cellIs" dxfId="930" priority="3130" operator="lessThan">
      <formula>0</formula>
    </cfRule>
  </conditionalFormatting>
  <conditionalFormatting sqref="H10:H1048576">
    <cfRule type="cellIs" dxfId="929" priority="3129" operator="lessThan">
      <formula>0</formula>
    </cfRule>
  </conditionalFormatting>
  <conditionalFormatting sqref="H10:H1048576">
    <cfRule type="cellIs" dxfId="928" priority="3128" operator="lessThan">
      <formula>0</formula>
    </cfRule>
  </conditionalFormatting>
  <conditionalFormatting sqref="H10:H1048576">
    <cfRule type="cellIs" dxfId="927" priority="3127" operator="lessThan">
      <formula>0</formula>
    </cfRule>
  </conditionalFormatting>
  <conditionalFormatting sqref="H10:H1048576">
    <cfRule type="cellIs" dxfId="926" priority="3126" operator="lessThan">
      <formula>0</formula>
    </cfRule>
  </conditionalFormatting>
  <conditionalFormatting sqref="H10:H1048576">
    <cfRule type="cellIs" dxfId="925" priority="3125" operator="lessThan">
      <formula>0</formula>
    </cfRule>
  </conditionalFormatting>
  <conditionalFormatting sqref="H10:H1048576">
    <cfRule type="cellIs" dxfId="924" priority="3124" operator="lessThan">
      <formula>0</formula>
    </cfRule>
  </conditionalFormatting>
  <conditionalFormatting sqref="H10:H1048576">
    <cfRule type="cellIs" dxfId="923" priority="3123" operator="lessThan">
      <formula>0</formula>
    </cfRule>
  </conditionalFormatting>
  <conditionalFormatting sqref="H10:H1048576">
    <cfRule type="cellIs" dxfId="922" priority="3122" operator="lessThan">
      <formula>0</formula>
    </cfRule>
  </conditionalFormatting>
  <conditionalFormatting sqref="H10:H1048576">
    <cfRule type="cellIs" dxfId="921" priority="3121" operator="lessThan">
      <formula>0</formula>
    </cfRule>
  </conditionalFormatting>
  <conditionalFormatting sqref="H10:H1048576">
    <cfRule type="cellIs" dxfId="920" priority="3120" operator="lessThan">
      <formula>0</formula>
    </cfRule>
  </conditionalFormatting>
  <conditionalFormatting sqref="H10:H1048576">
    <cfRule type="cellIs" dxfId="919" priority="3119" operator="lessThan">
      <formula>0</formula>
    </cfRule>
  </conditionalFormatting>
  <conditionalFormatting sqref="H10:H1048576">
    <cfRule type="cellIs" dxfId="918" priority="3118" operator="lessThan">
      <formula>0</formula>
    </cfRule>
  </conditionalFormatting>
  <conditionalFormatting sqref="H10:H1048576">
    <cfRule type="cellIs" dxfId="917" priority="3117" operator="lessThan">
      <formula>0</formula>
    </cfRule>
  </conditionalFormatting>
  <conditionalFormatting sqref="H10:H1048576">
    <cfRule type="cellIs" dxfId="916" priority="3116" operator="lessThan">
      <formula>0</formula>
    </cfRule>
  </conditionalFormatting>
  <conditionalFormatting sqref="H10:H1048576">
    <cfRule type="cellIs" dxfId="915" priority="3115" operator="lessThan">
      <formula>0</formula>
    </cfRule>
  </conditionalFormatting>
  <conditionalFormatting sqref="H10:H1048576">
    <cfRule type="cellIs" dxfId="914" priority="3114" operator="lessThan">
      <formula>0</formula>
    </cfRule>
  </conditionalFormatting>
  <conditionalFormatting sqref="H10:H1048576">
    <cfRule type="cellIs" dxfId="913" priority="3113" operator="lessThan">
      <formula>0</formula>
    </cfRule>
  </conditionalFormatting>
  <conditionalFormatting sqref="H10:H1048576">
    <cfRule type="cellIs" dxfId="912" priority="3112" operator="lessThan">
      <formula>0</formula>
    </cfRule>
  </conditionalFormatting>
  <conditionalFormatting sqref="H10:H1048576">
    <cfRule type="cellIs" dxfId="911" priority="3111" operator="lessThan">
      <formula>0</formula>
    </cfRule>
  </conditionalFormatting>
  <conditionalFormatting sqref="H10:H1048576">
    <cfRule type="cellIs" dxfId="910" priority="3110" operator="lessThan">
      <formula>0</formula>
    </cfRule>
  </conditionalFormatting>
  <conditionalFormatting sqref="H10:H1048576">
    <cfRule type="cellIs" dxfId="909" priority="3109" operator="lessThan">
      <formula>0</formula>
    </cfRule>
  </conditionalFormatting>
  <conditionalFormatting sqref="H10:H1048576">
    <cfRule type="cellIs" dxfId="908" priority="3108" operator="lessThan">
      <formula>0</formula>
    </cfRule>
  </conditionalFormatting>
  <conditionalFormatting sqref="H10:H1048576">
    <cfRule type="cellIs" dxfId="907" priority="3107" operator="lessThan">
      <formula>0</formula>
    </cfRule>
  </conditionalFormatting>
  <conditionalFormatting sqref="H10:H1048576">
    <cfRule type="cellIs" dxfId="906" priority="3106" operator="lessThan">
      <formula>0</formula>
    </cfRule>
  </conditionalFormatting>
  <conditionalFormatting sqref="H10:H1048576">
    <cfRule type="cellIs" dxfId="905" priority="3105" operator="lessThan">
      <formula>0</formula>
    </cfRule>
  </conditionalFormatting>
  <conditionalFormatting sqref="H10:H1048576">
    <cfRule type="cellIs" dxfId="904" priority="3104" operator="lessThan">
      <formula>0</formula>
    </cfRule>
  </conditionalFormatting>
  <conditionalFormatting sqref="H10:H1048576">
    <cfRule type="cellIs" dxfId="903" priority="3103" operator="lessThan">
      <formula>0</formula>
    </cfRule>
  </conditionalFormatting>
  <conditionalFormatting sqref="H10:H1048576">
    <cfRule type="cellIs" dxfId="902" priority="3102" operator="lessThan">
      <formula>0</formula>
    </cfRule>
  </conditionalFormatting>
  <conditionalFormatting sqref="H10:H1048576">
    <cfRule type="cellIs" dxfId="901" priority="3101" operator="lessThan">
      <formula>0</formula>
    </cfRule>
  </conditionalFormatting>
  <conditionalFormatting sqref="H10:H1048576">
    <cfRule type="cellIs" dxfId="900" priority="3100" operator="lessThan">
      <formula>0</formula>
    </cfRule>
  </conditionalFormatting>
  <conditionalFormatting sqref="H10:H1048576">
    <cfRule type="cellIs" dxfId="899" priority="3099" operator="lessThan">
      <formula>0</formula>
    </cfRule>
  </conditionalFormatting>
  <conditionalFormatting sqref="H10:H1048576">
    <cfRule type="cellIs" dxfId="898" priority="3098" operator="lessThan">
      <formula>0</formula>
    </cfRule>
  </conditionalFormatting>
  <conditionalFormatting sqref="H10:H1048576">
    <cfRule type="cellIs" dxfId="897" priority="3097" operator="lessThan">
      <formula>0</formula>
    </cfRule>
  </conditionalFormatting>
  <conditionalFormatting sqref="H10:H1048576">
    <cfRule type="cellIs" dxfId="896" priority="3096" operator="lessThan">
      <formula>0</formula>
    </cfRule>
  </conditionalFormatting>
  <conditionalFormatting sqref="H10:H1048576">
    <cfRule type="cellIs" dxfId="895" priority="3095" operator="lessThan">
      <formula>0</formula>
    </cfRule>
  </conditionalFormatting>
  <conditionalFormatting sqref="H10:H1048576">
    <cfRule type="cellIs" dxfId="894" priority="3094" operator="lessThan">
      <formula>0</formula>
    </cfRule>
  </conditionalFormatting>
  <conditionalFormatting sqref="H10:H1048576">
    <cfRule type="cellIs" dxfId="893" priority="3093" operator="lessThan">
      <formula>0</formula>
    </cfRule>
  </conditionalFormatting>
  <conditionalFormatting sqref="H10:H1048576">
    <cfRule type="cellIs" dxfId="892" priority="3092" operator="lessThan">
      <formula>0</formula>
    </cfRule>
  </conditionalFormatting>
  <conditionalFormatting sqref="H10:H1048576">
    <cfRule type="cellIs" dxfId="891" priority="3091" operator="lessThan">
      <formula>0</formula>
    </cfRule>
  </conditionalFormatting>
  <conditionalFormatting sqref="H10:H1048576">
    <cfRule type="cellIs" dxfId="890" priority="3090" operator="lessThan">
      <formula>0</formula>
    </cfRule>
  </conditionalFormatting>
  <conditionalFormatting sqref="H10:H1048576">
    <cfRule type="cellIs" dxfId="889" priority="3089" operator="lessThan">
      <formula>0</formula>
    </cfRule>
  </conditionalFormatting>
  <conditionalFormatting sqref="H10:H1048576">
    <cfRule type="cellIs" dxfId="888" priority="3088" operator="lessThan">
      <formula>0</formula>
    </cfRule>
  </conditionalFormatting>
  <conditionalFormatting sqref="H10:H1048576">
    <cfRule type="cellIs" dxfId="887" priority="3087" operator="lessThan">
      <formula>0</formula>
    </cfRule>
  </conditionalFormatting>
  <conditionalFormatting sqref="H10:H1048576">
    <cfRule type="cellIs" dxfId="886" priority="3086" operator="lessThan">
      <formula>0</formula>
    </cfRule>
  </conditionalFormatting>
  <conditionalFormatting sqref="H10:H1048576">
    <cfRule type="cellIs" dxfId="885" priority="3085" operator="lessThan">
      <formula>0</formula>
    </cfRule>
  </conditionalFormatting>
  <conditionalFormatting sqref="H10:H1048576">
    <cfRule type="cellIs" dxfId="884" priority="3084" operator="lessThan">
      <formula>0</formula>
    </cfRule>
  </conditionalFormatting>
  <conditionalFormatting sqref="H10:H1048576">
    <cfRule type="cellIs" dxfId="883" priority="3083" operator="lessThan">
      <formula>0</formula>
    </cfRule>
  </conditionalFormatting>
  <conditionalFormatting sqref="H10:H1048576">
    <cfRule type="cellIs" dxfId="882" priority="3082" operator="lessThan">
      <formula>0</formula>
    </cfRule>
  </conditionalFormatting>
  <conditionalFormatting sqref="H10:H1048576">
    <cfRule type="cellIs" dxfId="881" priority="3081" operator="lessThan">
      <formula>0</formula>
    </cfRule>
  </conditionalFormatting>
  <conditionalFormatting sqref="H10:H1048576">
    <cfRule type="cellIs" dxfId="880" priority="3080" operator="lessThan">
      <formula>0</formula>
    </cfRule>
  </conditionalFormatting>
  <conditionalFormatting sqref="H10:H1048576">
    <cfRule type="cellIs" dxfId="879" priority="3079" operator="lessThan">
      <formula>0</formula>
    </cfRule>
  </conditionalFormatting>
  <conditionalFormatting sqref="H10:H1048576">
    <cfRule type="cellIs" dxfId="878" priority="3078" operator="lessThan">
      <formula>0</formula>
    </cfRule>
  </conditionalFormatting>
  <conditionalFormatting sqref="H10:H1048576">
    <cfRule type="cellIs" dxfId="877" priority="3077" operator="lessThan">
      <formula>0</formula>
    </cfRule>
  </conditionalFormatting>
  <conditionalFormatting sqref="H10:H1048576">
    <cfRule type="cellIs" dxfId="876" priority="3076" operator="lessThan">
      <formula>0</formula>
    </cfRule>
  </conditionalFormatting>
  <conditionalFormatting sqref="H10:H1048576">
    <cfRule type="cellIs" dxfId="875" priority="3075" operator="lessThan">
      <formula>0</formula>
    </cfRule>
  </conditionalFormatting>
  <conditionalFormatting sqref="H10:H1048576">
    <cfRule type="cellIs" dxfId="874" priority="3074" operator="lessThan">
      <formula>0</formula>
    </cfRule>
  </conditionalFormatting>
  <conditionalFormatting sqref="H10:H1048576">
    <cfRule type="cellIs" dxfId="873" priority="3073" operator="lessThan">
      <formula>0</formula>
    </cfRule>
  </conditionalFormatting>
  <conditionalFormatting sqref="H10:H1048576">
    <cfRule type="cellIs" dxfId="872" priority="3072" operator="lessThan">
      <formula>0</formula>
    </cfRule>
  </conditionalFormatting>
  <conditionalFormatting sqref="H10:H1048576">
    <cfRule type="cellIs" dxfId="871" priority="3071" operator="lessThan">
      <formula>0</formula>
    </cfRule>
  </conditionalFormatting>
  <conditionalFormatting sqref="H10:H1048576">
    <cfRule type="cellIs" dxfId="870" priority="3070" operator="lessThan">
      <formula>0</formula>
    </cfRule>
  </conditionalFormatting>
  <conditionalFormatting sqref="H10:H1048576">
    <cfRule type="cellIs" dxfId="869" priority="3069" operator="lessThan">
      <formula>0</formula>
    </cfRule>
  </conditionalFormatting>
  <conditionalFormatting sqref="H10:H1048576">
    <cfRule type="cellIs" dxfId="868" priority="3068" operator="lessThan">
      <formula>0</formula>
    </cfRule>
  </conditionalFormatting>
  <conditionalFormatting sqref="H10:H1048576">
    <cfRule type="cellIs" dxfId="867" priority="3067" operator="lessThan">
      <formula>0</formula>
    </cfRule>
  </conditionalFormatting>
  <conditionalFormatting sqref="H10:H1048576">
    <cfRule type="cellIs" dxfId="866" priority="3066" operator="lessThan">
      <formula>0</formula>
    </cfRule>
  </conditionalFormatting>
  <conditionalFormatting sqref="H10:H1048576">
    <cfRule type="cellIs" dxfId="865" priority="3065" operator="lessThan">
      <formula>0</formula>
    </cfRule>
  </conditionalFormatting>
  <conditionalFormatting sqref="H10:H1048576">
    <cfRule type="cellIs" dxfId="864" priority="3064" operator="lessThan">
      <formula>0</formula>
    </cfRule>
  </conditionalFormatting>
  <conditionalFormatting sqref="H10:H1048576">
    <cfRule type="cellIs" dxfId="863" priority="3063" operator="lessThan">
      <formula>0</formula>
    </cfRule>
  </conditionalFormatting>
  <conditionalFormatting sqref="H10:H1048576">
    <cfRule type="cellIs" dxfId="862" priority="3062" operator="lessThan">
      <formula>0</formula>
    </cfRule>
  </conditionalFormatting>
  <conditionalFormatting sqref="H10:H1048576">
    <cfRule type="cellIs" dxfId="861" priority="3061" operator="lessThan">
      <formula>0</formula>
    </cfRule>
  </conditionalFormatting>
  <conditionalFormatting sqref="H10:H1048576">
    <cfRule type="cellIs" dxfId="860" priority="3060" operator="lessThan">
      <formula>0</formula>
    </cfRule>
  </conditionalFormatting>
  <conditionalFormatting sqref="H10:H1048576">
    <cfRule type="cellIs" dxfId="859" priority="3059" operator="lessThan">
      <formula>0</formula>
    </cfRule>
  </conditionalFormatting>
  <conditionalFormatting sqref="H10:H1048576">
    <cfRule type="cellIs" dxfId="858" priority="3058" operator="lessThan">
      <formula>0</formula>
    </cfRule>
  </conditionalFormatting>
  <conditionalFormatting sqref="H10:H1048576">
    <cfRule type="cellIs" dxfId="857" priority="3057" operator="lessThan">
      <formula>0</formula>
    </cfRule>
  </conditionalFormatting>
  <conditionalFormatting sqref="H10:H1048576">
    <cfRule type="cellIs" dxfId="856" priority="3056" operator="lessThan">
      <formula>0</formula>
    </cfRule>
  </conditionalFormatting>
  <conditionalFormatting sqref="H10:H1048576">
    <cfRule type="cellIs" dxfId="855" priority="3055" operator="lessThan">
      <formula>0</formula>
    </cfRule>
  </conditionalFormatting>
  <conditionalFormatting sqref="H10:H1048576">
    <cfRule type="cellIs" dxfId="854" priority="3054" operator="lessThan">
      <formula>0</formula>
    </cfRule>
  </conditionalFormatting>
  <conditionalFormatting sqref="H10:H1048576">
    <cfRule type="cellIs" dxfId="853" priority="3053" operator="lessThan">
      <formula>0</formula>
    </cfRule>
  </conditionalFormatting>
  <conditionalFormatting sqref="H10:H1048576">
    <cfRule type="cellIs" dxfId="852" priority="3052" operator="lessThan">
      <formula>0</formula>
    </cfRule>
  </conditionalFormatting>
  <conditionalFormatting sqref="H10:H1048576">
    <cfRule type="cellIs" dxfId="851" priority="3051" operator="lessThan">
      <formula>0</formula>
    </cfRule>
  </conditionalFormatting>
  <conditionalFormatting sqref="H10:H1048576">
    <cfRule type="cellIs" dxfId="850" priority="3050" operator="lessThan">
      <formula>0</formula>
    </cfRule>
  </conditionalFormatting>
  <conditionalFormatting sqref="H10:H1048576">
    <cfRule type="cellIs" dxfId="849" priority="3049" operator="lessThan">
      <formula>0</formula>
    </cfRule>
  </conditionalFormatting>
  <conditionalFormatting sqref="H10:H1048576">
    <cfRule type="cellIs" dxfId="848" priority="3048" operator="lessThan">
      <formula>0</formula>
    </cfRule>
  </conditionalFormatting>
  <conditionalFormatting sqref="H10:H1048576">
    <cfRule type="cellIs" dxfId="847" priority="3047" operator="lessThan">
      <formula>0</formula>
    </cfRule>
  </conditionalFormatting>
  <conditionalFormatting sqref="H10:H1048576">
    <cfRule type="cellIs" dxfId="846" priority="3046" operator="lessThan">
      <formula>0</formula>
    </cfRule>
  </conditionalFormatting>
  <conditionalFormatting sqref="H10:H1048576">
    <cfRule type="cellIs" dxfId="845" priority="3045" operator="lessThan">
      <formula>0</formula>
    </cfRule>
  </conditionalFormatting>
  <conditionalFormatting sqref="H10:H1048576">
    <cfRule type="cellIs" dxfId="844" priority="3044" operator="lessThan">
      <formula>0</formula>
    </cfRule>
  </conditionalFormatting>
  <conditionalFormatting sqref="H10:H1048576">
    <cfRule type="cellIs" dxfId="843" priority="3043" operator="lessThan">
      <formula>0</formula>
    </cfRule>
  </conditionalFormatting>
  <conditionalFormatting sqref="H10:H1048576">
    <cfRule type="cellIs" dxfId="842" priority="3042" operator="lessThan">
      <formula>0</formula>
    </cfRule>
  </conditionalFormatting>
  <conditionalFormatting sqref="H10:H1048576">
    <cfRule type="cellIs" dxfId="841" priority="3041" operator="lessThan">
      <formula>0</formula>
    </cfRule>
  </conditionalFormatting>
  <conditionalFormatting sqref="H10:H1048576">
    <cfRule type="cellIs" dxfId="840" priority="3040" operator="lessThan">
      <formula>0</formula>
    </cfRule>
  </conditionalFormatting>
  <conditionalFormatting sqref="H10:H1048576">
    <cfRule type="cellIs" dxfId="839" priority="3039" operator="lessThan">
      <formula>0</formula>
    </cfRule>
  </conditionalFormatting>
  <conditionalFormatting sqref="H10:H1048576">
    <cfRule type="cellIs" dxfId="838" priority="3038" operator="lessThan">
      <formula>0</formula>
    </cfRule>
  </conditionalFormatting>
  <conditionalFormatting sqref="H10:H1048576">
    <cfRule type="cellIs" dxfId="837" priority="3037" operator="lessThan">
      <formula>0</formula>
    </cfRule>
  </conditionalFormatting>
  <conditionalFormatting sqref="H10:H1048576">
    <cfRule type="cellIs" dxfId="836" priority="3036" operator="lessThan">
      <formula>0</formula>
    </cfRule>
  </conditionalFormatting>
  <conditionalFormatting sqref="H10:H1048576">
    <cfRule type="cellIs" dxfId="835" priority="3035" operator="lessThan">
      <formula>0</formula>
    </cfRule>
  </conditionalFormatting>
  <conditionalFormatting sqref="H10:H1048576">
    <cfRule type="cellIs" dxfId="834" priority="3034" operator="lessThan">
      <formula>0</formula>
    </cfRule>
  </conditionalFormatting>
  <conditionalFormatting sqref="H10:H1048576">
    <cfRule type="cellIs" dxfId="833" priority="3033" operator="lessThan">
      <formula>0</formula>
    </cfRule>
  </conditionalFormatting>
  <conditionalFormatting sqref="H10:H1048576">
    <cfRule type="cellIs" dxfId="832" priority="3032" operator="lessThan">
      <formula>0</formula>
    </cfRule>
  </conditionalFormatting>
  <conditionalFormatting sqref="H10:H1048576">
    <cfRule type="cellIs" dxfId="831" priority="3031" operator="lessThan">
      <formula>0</formula>
    </cfRule>
  </conditionalFormatting>
  <conditionalFormatting sqref="H10:H1048576">
    <cfRule type="cellIs" dxfId="830" priority="3030" operator="lessThan">
      <formula>0</formula>
    </cfRule>
  </conditionalFormatting>
  <conditionalFormatting sqref="H10:H1048576">
    <cfRule type="cellIs" dxfId="829" priority="3029" operator="lessThan">
      <formula>0</formula>
    </cfRule>
  </conditionalFormatting>
  <conditionalFormatting sqref="H10:H1048576">
    <cfRule type="cellIs" dxfId="828" priority="3028" operator="lessThan">
      <formula>0</formula>
    </cfRule>
  </conditionalFormatting>
  <conditionalFormatting sqref="H10:H1048576">
    <cfRule type="cellIs" dxfId="827" priority="3027" operator="lessThan">
      <formula>0</formula>
    </cfRule>
  </conditionalFormatting>
  <conditionalFormatting sqref="H10:H1048576">
    <cfRule type="cellIs" dxfId="826" priority="3026" operator="lessThan">
      <formula>0</formula>
    </cfRule>
  </conditionalFormatting>
  <conditionalFormatting sqref="H10:H1048576">
    <cfRule type="cellIs" dxfId="825" priority="3025" operator="lessThan">
      <formula>0</formula>
    </cfRule>
  </conditionalFormatting>
  <conditionalFormatting sqref="H10:H1048576">
    <cfRule type="cellIs" dxfId="824" priority="3024" operator="lessThan">
      <formula>0</formula>
    </cfRule>
  </conditionalFormatting>
  <conditionalFormatting sqref="H10:H1048576">
    <cfRule type="cellIs" dxfId="823" priority="3023" operator="lessThan">
      <formula>0</formula>
    </cfRule>
  </conditionalFormatting>
  <conditionalFormatting sqref="H10:H1048576">
    <cfRule type="cellIs" dxfId="822" priority="3022" operator="lessThan">
      <formula>0</formula>
    </cfRule>
  </conditionalFormatting>
  <conditionalFormatting sqref="H10:H1048576">
    <cfRule type="cellIs" dxfId="821" priority="3021" operator="lessThan">
      <formula>0</formula>
    </cfRule>
  </conditionalFormatting>
  <conditionalFormatting sqref="H10:H1048576">
    <cfRule type="cellIs" dxfId="820" priority="3020" operator="lessThan">
      <formula>0</formula>
    </cfRule>
  </conditionalFormatting>
  <conditionalFormatting sqref="H10:H1048576">
    <cfRule type="cellIs" dxfId="819" priority="3019" operator="lessThan">
      <formula>0</formula>
    </cfRule>
  </conditionalFormatting>
  <conditionalFormatting sqref="H10:H1048576">
    <cfRule type="cellIs" dxfId="818" priority="3018" operator="lessThan">
      <formula>0</formula>
    </cfRule>
  </conditionalFormatting>
  <conditionalFormatting sqref="H10:H1048576">
    <cfRule type="cellIs" dxfId="817" priority="3017" operator="lessThan">
      <formula>0</formula>
    </cfRule>
  </conditionalFormatting>
  <conditionalFormatting sqref="H10:H1048576">
    <cfRule type="cellIs" dxfId="816" priority="3016" operator="lessThan">
      <formula>0</formula>
    </cfRule>
  </conditionalFormatting>
  <conditionalFormatting sqref="H10:H1048576">
    <cfRule type="cellIs" dxfId="815" priority="3015" operator="lessThan">
      <formula>0</formula>
    </cfRule>
  </conditionalFormatting>
  <conditionalFormatting sqref="H10:H1048576">
    <cfRule type="cellIs" dxfId="814" priority="3014" operator="lessThan">
      <formula>0</formula>
    </cfRule>
  </conditionalFormatting>
  <conditionalFormatting sqref="H10:H1048576">
    <cfRule type="cellIs" dxfId="813" priority="3013" operator="lessThan">
      <formula>0</formula>
    </cfRule>
  </conditionalFormatting>
  <conditionalFormatting sqref="H10:H1048576">
    <cfRule type="cellIs" dxfId="812" priority="3012" operator="lessThan">
      <formula>0</formula>
    </cfRule>
  </conditionalFormatting>
  <conditionalFormatting sqref="H10:H1048576">
    <cfRule type="cellIs" dxfId="811" priority="3011" operator="lessThan">
      <formula>0</formula>
    </cfRule>
  </conditionalFormatting>
  <conditionalFormatting sqref="H10:H1048576">
    <cfRule type="cellIs" dxfId="810" priority="3010" operator="lessThan">
      <formula>0</formula>
    </cfRule>
  </conditionalFormatting>
  <conditionalFormatting sqref="H10:H1048576">
    <cfRule type="cellIs" dxfId="809" priority="3009" operator="lessThan">
      <formula>0</formula>
    </cfRule>
  </conditionalFormatting>
  <conditionalFormatting sqref="H10:H1048576">
    <cfRule type="cellIs" dxfId="808" priority="3008" operator="lessThan">
      <formula>0</formula>
    </cfRule>
  </conditionalFormatting>
  <conditionalFormatting sqref="H10:H1048576">
    <cfRule type="cellIs" dxfId="807" priority="3007" operator="lessThan">
      <formula>0</formula>
    </cfRule>
  </conditionalFormatting>
  <conditionalFormatting sqref="H10:H1048576">
    <cfRule type="cellIs" dxfId="806" priority="3006" operator="lessThan">
      <formula>0</formula>
    </cfRule>
  </conditionalFormatting>
  <conditionalFormatting sqref="H10:H1048576">
    <cfRule type="cellIs" dxfId="805" priority="3005" operator="lessThan">
      <formula>0</formula>
    </cfRule>
  </conditionalFormatting>
  <conditionalFormatting sqref="H10:H1048576">
    <cfRule type="cellIs" dxfId="804" priority="3004" operator="lessThan">
      <formula>0</formula>
    </cfRule>
  </conditionalFormatting>
  <conditionalFormatting sqref="H10:H1048576">
    <cfRule type="cellIs" dxfId="803" priority="3003" operator="lessThan">
      <formula>0</formula>
    </cfRule>
  </conditionalFormatting>
  <conditionalFormatting sqref="H10:H1048576">
    <cfRule type="cellIs" dxfId="802" priority="3002" operator="lessThan">
      <formula>0</formula>
    </cfRule>
  </conditionalFormatting>
  <conditionalFormatting sqref="H10:H1048576">
    <cfRule type="cellIs" dxfId="801" priority="3001" operator="lessThan">
      <formula>0</formula>
    </cfRule>
  </conditionalFormatting>
  <conditionalFormatting sqref="H10:H1048576">
    <cfRule type="cellIs" dxfId="800" priority="3000" operator="lessThan">
      <formula>0</formula>
    </cfRule>
  </conditionalFormatting>
  <conditionalFormatting sqref="H10:H1048576">
    <cfRule type="cellIs" dxfId="799" priority="2999" operator="lessThan">
      <formula>0</formula>
    </cfRule>
  </conditionalFormatting>
  <conditionalFormatting sqref="H10:H1048576">
    <cfRule type="cellIs" dxfId="798" priority="2998" operator="lessThan">
      <formula>0</formula>
    </cfRule>
  </conditionalFormatting>
  <conditionalFormatting sqref="H10:H1048576">
    <cfRule type="cellIs" dxfId="797" priority="2997" operator="lessThan">
      <formula>0</formula>
    </cfRule>
  </conditionalFormatting>
  <conditionalFormatting sqref="H10:H1048576">
    <cfRule type="cellIs" dxfId="796" priority="2996" operator="lessThan">
      <formula>0</formula>
    </cfRule>
  </conditionalFormatting>
  <conditionalFormatting sqref="H10:H1048576">
    <cfRule type="cellIs" dxfId="795" priority="2995" operator="lessThan">
      <formula>0</formula>
    </cfRule>
  </conditionalFormatting>
  <conditionalFormatting sqref="H10:H1048576">
    <cfRule type="cellIs" dxfId="794" priority="2994" operator="lessThan">
      <formula>0</formula>
    </cfRule>
  </conditionalFormatting>
  <conditionalFormatting sqref="H10:H1048576">
    <cfRule type="cellIs" dxfId="793" priority="2993" operator="lessThan">
      <formula>0</formula>
    </cfRule>
  </conditionalFormatting>
  <conditionalFormatting sqref="H10:H1048576">
    <cfRule type="cellIs" dxfId="792" priority="2992" operator="lessThan">
      <formula>0</formula>
    </cfRule>
  </conditionalFormatting>
  <conditionalFormatting sqref="H10:H1048576">
    <cfRule type="cellIs" dxfId="791" priority="2991" operator="lessThan">
      <formula>0</formula>
    </cfRule>
  </conditionalFormatting>
  <conditionalFormatting sqref="H10:H1048576">
    <cfRule type="cellIs" dxfId="790" priority="2990" operator="lessThan">
      <formula>0</formula>
    </cfRule>
  </conditionalFormatting>
  <conditionalFormatting sqref="H10:H1048576">
    <cfRule type="cellIs" dxfId="789" priority="2989" operator="lessThan">
      <formula>0</formula>
    </cfRule>
  </conditionalFormatting>
  <conditionalFormatting sqref="H10:H1048576">
    <cfRule type="cellIs" dxfId="788" priority="2988" operator="lessThan">
      <formula>0</formula>
    </cfRule>
  </conditionalFormatting>
  <conditionalFormatting sqref="H10:H1048576">
    <cfRule type="cellIs" dxfId="787" priority="2987" operator="lessThan">
      <formula>0</formula>
    </cfRule>
  </conditionalFormatting>
  <conditionalFormatting sqref="H10:H1048576">
    <cfRule type="cellIs" dxfId="786" priority="2986" operator="lessThan">
      <formula>0</formula>
    </cfRule>
  </conditionalFormatting>
  <conditionalFormatting sqref="H10:H1048576">
    <cfRule type="cellIs" dxfId="785" priority="2985" operator="lessThan">
      <formula>0</formula>
    </cfRule>
  </conditionalFormatting>
  <conditionalFormatting sqref="H10:H1048576">
    <cfRule type="cellIs" dxfId="784" priority="2984" operator="lessThan">
      <formula>0</formula>
    </cfRule>
  </conditionalFormatting>
  <conditionalFormatting sqref="H10:H1048576">
    <cfRule type="cellIs" dxfId="783" priority="2983" operator="lessThan">
      <formula>0</formula>
    </cfRule>
  </conditionalFormatting>
  <conditionalFormatting sqref="H10:H1048576">
    <cfRule type="cellIs" dxfId="782" priority="2982" operator="lessThan">
      <formula>0</formula>
    </cfRule>
  </conditionalFormatting>
  <conditionalFormatting sqref="H10:H1048576">
    <cfRule type="cellIs" dxfId="781" priority="2981" operator="lessThan">
      <formula>0</formula>
    </cfRule>
  </conditionalFormatting>
  <conditionalFormatting sqref="H10:H1048576">
    <cfRule type="cellIs" dxfId="780" priority="2980" operator="lessThan">
      <formula>0</formula>
    </cfRule>
  </conditionalFormatting>
  <conditionalFormatting sqref="H10:H1048576">
    <cfRule type="cellIs" dxfId="779" priority="2979" operator="lessThan">
      <formula>0</formula>
    </cfRule>
  </conditionalFormatting>
  <conditionalFormatting sqref="H10:H1048576">
    <cfRule type="cellIs" dxfId="778" priority="2978" operator="lessThan">
      <formula>0</formula>
    </cfRule>
  </conditionalFormatting>
  <conditionalFormatting sqref="H10:H1048576">
    <cfRule type="cellIs" dxfId="777" priority="2977" operator="lessThan">
      <formula>0</formula>
    </cfRule>
  </conditionalFormatting>
  <conditionalFormatting sqref="H10:H1048576">
    <cfRule type="cellIs" dxfId="776" priority="2976" operator="lessThan">
      <formula>0</formula>
    </cfRule>
  </conditionalFormatting>
  <conditionalFormatting sqref="H10:H1048576">
    <cfRule type="cellIs" dxfId="775" priority="2975" operator="lessThan">
      <formula>0</formula>
    </cfRule>
  </conditionalFormatting>
  <conditionalFormatting sqref="H10:H1048576">
    <cfRule type="cellIs" dxfId="774" priority="2974" operator="lessThan">
      <formula>0</formula>
    </cfRule>
  </conditionalFormatting>
  <conditionalFormatting sqref="H10:H1048576">
    <cfRule type="cellIs" dxfId="773" priority="2973" operator="lessThan">
      <formula>0</formula>
    </cfRule>
  </conditionalFormatting>
  <conditionalFormatting sqref="H10:H1048576">
    <cfRule type="cellIs" dxfId="772" priority="2972" operator="lessThan">
      <formula>0</formula>
    </cfRule>
  </conditionalFormatting>
  <conditionalFormatting sqref="H10:H1048576">
    <cfRule type="cellIs" dxfId="771" priority="2971" operator="lessThan">
      <formula>0</formula>
    </cfRule>
  </conditionalFormatting>
  <conditionalFormatting sqref="H10:H1048576">
    <cfRule type="cellIs" dxfId="770" priority="2970" operator="lessThan">
      <formula>0</formula>
    </cfRule>
  </conditionalFormatting>
  <conditionalFormatting sqref="H10:H1048576">
    <cfRule type="cellIs" dxfId="769" priority="2969" operator="lessThan">
      <formula>0</formula>
    </cfRule>
  </conditionalFormatting>
  <conditionalFormatting sqref="H10:H1048576">
    <cfRule type="cellIs" dxfId="768" priority="2968" operator="lessThan">
      <formula>0</formula>
    </cfRule>
  </conditionalFormatting>
  <conditionalFormatting sqref="H10:H1048576">
    <cfRule type="cellIs" dxfId="767" priority="2967" operator="lessThan">
      <formula>0</formula>
    </cfRule>
  </conditionalFormatting>
  <conditionalFormatting sqref="H10:H1048576">
    <cfRule type="cellIs" dxfId="766" priority="2966" operator="lessThan">
      <formula>0</formula>
    </cfRule>
  </conditionalFormatting>
  <conditionalFormatting sqref="H10:H1048576">
    <cfRule type="cellIs" dxfId="765" priority="2965" operator="lessThan">
      <formula>0</formula>
    </cfRule>
  </conditionalFormatting>
  <conditionalFormatting sqref="H10:H1048576">
    <cfRule type="cellIs" dxfId="764" priority="2964" operator="lessThan">
      <formula>0</formula>
    </cfRule>
  </conditionalFormatting>
  <conditionalFormatting sqref="H10:H1048576">
    <cfRule type="cellIs" dxfId="763" priority="2963" operator="lessThan">
      <formula>0</formula>
    </cfRule>
  </conditionalFormatting>
  <conditionalFormatting sqref="H10:H1048576">
    <cfRule type="cellIs" dxfId="762" priority="2962" operator="lessThan">
      <formula>0</formula>
    </cfRule>
  </conditionalFormatting>
  <conditionalFormatting sqref="H10:H1048576">
    <cfRule type="cellIs" dxfId="761" priority="2961" operator="lessThan">
      <formula>0</formula>
    </cfRule>
  </conditionalFormatting>
  <conditionalFormatting sqref="H10:H1048576">
    <cfRule type="cellIs" dxfId="760" priority="2960" operator="lessThan">
      <formula>0</formula>
    </cfRule>
  </conditionalFormatting>
  <conditionalFormatting sqref="H10:H1048576">
    <cfRule type="cellIs" dxfId="759" priority="2959" operator="lessThan">
      <formula>0</formula>
    </cfRule>
  </conditionalFormatting>
  <conditionalFormatting sqref="H10:H1048576">
    <cfRule type="cellIs" dxfId="758" priority="2958" operator="lessThan">
      <formula>0</formula>
    </cfRule>
  </conditionalFormatting>
  <conditionalFormatting sqref="H10:H1048576">
    <cfRule type="cellIs" dxfId="757" priority="2957" operator="lessThan">
      <formula>0</formula>
    </cfRule>
  </conditionalFormatting>
  <conditionalFormatting sqref="H10:H1048576">
    <cfRule type="cellIs" dxfId="756" priority="2956" operator="lessThan">
      <formula>0</formula>
    </cfRule>
  </conditionalFormatting>
  <conditionalFormatting sqref="H10:H1048576">
    <cfRule type="cellIs" dxfId="755" priority="2955" operator="lessThan">
      <formula>0</formula>
    </cfRule>
  </conditionalFormatting>
  <conditionalFormatting sqref="H10:H1048576">
    <cfRule type="cellIs" dxfId="754" priority="2954" operator="lessThan">
      <formula>0</formula>
    </cfRule>
  </conditionalFormatting>
  <conditionalFormatting sqref="H10:H1048576">
    <cfRule type="cellIs" dxfId="753" priority="2953" operator="lessThan">
      <formula>0</formula>
    </cfRule>
  </conditionalFormatting>
  <conditionalFormatting sqref="H10:H1048576">
    <cfRule type="cellIs" dxfId="752" priority="2952" operator="lessThan">
      <formula>0</formula>
    </cfRule>
  </conditionalFormatting>
  <conditionalFormatting sqref="H10:H1048576">
    <cfRule type="cellIs" dxfId="751" priority="2951" operator="lessThan">
      <formula>0</formula>
    </cfRule>
  </conditionalFormatting>
  <conditionalFormatting sqref="H10:H1048576">
    <cfRule type="cellIs" dxfId="750" priority="2950" operator="lessThan">
      <formula>0</formula>
    </cfRule>
  </conditionalFormatting>
  <conditionalFormatting sqref="H10:H1048576">
    <cfRule type="cellIs" dxfId="749" priority="2949" operator="lessThan">
      <formula>0</formula>
    </cfRule>
  </conditionalFormatting>
  <conditionalFormatting sqref="H10:H1048576">
    <cfRule type="cellIs" dxfId="748" priority="2948" operator="lessThan">
      <formula>0</formula>
    </cfRule>
  </conditionalFormatting>
  <conditionalFormatting sqref="H10:H1048576">
    <cfRule type="cellIs" dxfId="747" priority="2947" operator="lessThan">
      <formula>0</formula>
    </cfRule>
  </conditionalFormatting>
  <conditionalFormatting sqref="H10:H1048576">
    <cfRule type="cellIs" dxfId="746" priority="2946" operator="lessThan">
      <formula>0</formula>
    </cfRule>
  </conditionalFormatting>
  <conditionalFormatting sqref="H10:H1048576">
    <cfRule type="cellIs" dxfId="745" priority="2945" operator="lessThan">
      <formula>0</formula>
    </cfRule>
  </conditionalFormatting>
  <conditionalFormatting sqref="H10:H1048576">
    <cfRule type="cellIs" dxfId="744" priority="2944" operator="lessThan">
      <formula>0</formula>
    </cfRule>
  </conditionalFormatting>
  <conditionalFormatting sqref="H10:H1048576">
    <cfRule type="cellIs" dxfId="743" priority="2943" operator="lessThan">
      <formula>0</formula>
    </cfRule>
  </conditionalFormatting>
  <conditionalFormatting sqref="H10:H1048576">
    <cfRule type="cellIs" dxfId="742" priority="2942" operator="lessThan">
      <formula>0</formula>
    </cfRule>
  </conditionalFormatting>
  <conditionalFormatting sqref="H10:H1048576">
    <cfRule type="cellIs" dxfId="741" priority="2941" operator="lessThan">
      <formula>0</formula>
    </cfRule>
  </conditionalFormatting>
  <conditionalFormatting sqref="H10:H1048576">
    <cfRule type="cellIs" dxfId="740" priority="2940" operator="lessThan">
      <formula>0</formula>
    </cfRule>
  </conditionalFormatting>
  <conditionalFormatting sqref="H10:H1048576">
    <cfRule type="cellIs" dxfId="739" priority="2939" operator="lessThan">
      <formula>0</formula>
    </cfRule>
  </conditionalFormatting>
  <conditionalFormatting sqref="H10:H1048576">
    <cfRule type="cellIs" dxfId="738" priority="2938" operator="lessThan">
      <formula>0</formula>
    </cfRule>
  </conditionalFormatting>
  <conditionalFormatting sqref="H10:H1048576">
    <cfRule type="cellIs" dxfId="737" priority="2937" operator="lessThan">
      <formula>0</formula>
    </cfRule>
  </conditionalFormatting>
  <conditionalFormatting sqref="H10:H1048576">
    <cfRule type="cellIs" dxfId="736" priority="2936" operator="lessThan">
      <formula>0</formula>
    </cfRule>
  </conditionalFormatting>
  <conditionalFormatting sqref="H10:H1048576">
    <cfRule type="cellIs" dxfId="735" priority="2935" operator="lessThan">
      <formula>0</formula>
    </cfRule>
  </conditionalFormatting>
  <conditionalFormatting sqref="H10:H1048576">
    <cfRule type="cellIs" dxfId="734" priority="2934" operator="lessThan">
      <formula>0</formula>
    </cfRule>
  </conditionalFormatting>
  <conditionalFormatting sqref="H10:H1048576">
    <cfRule type="cellIs" dxfId="733" priority="2933" operator="lessThan">
      <formula>0</formula>
    </cfRule>
  </conditionalFormatting>
  <conditionalFormatting sqref="H10:H1048576">
    <cfRule type="cellIs" dxfId="732" priority="2932" operator="lessThan">
      <formula>0</formula>
    </cfRule>
  </conditionalFormatting>
  <conditionalFormatting sqref="H10:H1048576">
    <cfRule type="cellIs" dxfId="731" priority="2931" operator="lessThan">
      <formula>0</formula>
    </cfRule>
  </conditionalFormatting>
  <conditionalFormatting sqref="H10:H1048576">
    <cfRule type="cellIs" dxfId="730" priority="2930" operator="lessThan">
      <formula>0</formula>
    </cfRule>
  </conditionalFormatting>
  <conditionalFormatting sqref="H10:H1048576">
    <cfRule type="cellIs" dxfId="729" priority="2929" operator="lessThan">
      <formula>0</formula>
    </cfRule>
  </conditionalFormatting>
  <conditionalFormatting sqref="H10:H1048576">
    <cfRule type="cellIs" dxfId="728" priority="2928" operator="lessThan">
      <formula>0</formula>
    </cfRule>
  </conditionalFormatting>
  <conditionalFormatting sqref="H10:H1048576">
    <cfRule type="cellIs" dxfId="727" priority="2927" operator="lessThan">
      <formula>0</formula>
    </cfRule>
  </conditionalFormatting>
  <conditionalFormatting sqref="H10:H1048576">
    <cfRule type="cellIs" dxfId="726" priority="2926" operator="lessThan">
      <formula>0</formula>
    </cfRule>
  </conditionalFormatting>
  <conditionalFormatting sqref="H10:H1048576">
    <cfRule type="cellIs" dxfId="725" priority="2925" operator="lessThan">
      <formula>0</formula>
    </cfRule>
  </conditionalFormatting>
  <conditionalFormatting sqref="H10:H1048576">
    <cfRule type="cellIs" dxfId="724" priority="2924" operator="lessThan">
      <formula>0</formula>
    </cfRule>
  </conditionalFormatting>
  <conditionalFormatting sqref="H10:H1048576">
    <cfRule type="cellIs" dxfId="723" priority="2923" operator="lessThan">
      <formula>0</formula>
    </cfRule>
  </conditionalFormatting>
  <conditionalFormatting sqref="H10:H1048576">
    <cfRule type="cellIs" dxfId="722" priority="2922" operator="lessThan">
      <formula>0</formula>
    </cfRule>
  </conditionalFormatting>
  <conditionalFormatting sqref="H10:H1048576">
    <cfRule type="cellIs" dxfId="721" priority="2921" operator="lessThan">
      <formula>0</formula>
    </cfRule>
  </conditionalFormatting>
  <conditionalFormatting sqref="H10:H1048576">
    <cfRule type="cellIs" dxfId="720" priority="2920" operator="lessThan">
      <formula>0</formula>
    </cfRule>
  </conditionalFormatting>
  <conditionalFormatting sqref="H10:H1048576">
    <cfRule type="cellIs" dxfId="719" priority="2919" operator="lessThan">
      <formula>0</formula>
    </cfRule>
  </conditionalFormatting>
  <conditionalFormatting sqref="H10:H1048576">
    <cfRule type="cellIs" dxfId="718" priority="2918" operator="lessThan">
      <formula>0</formula>
    </cfRule>
  </conditionalFormatting>
  <conditionalFormatting sqref="H10:H1048576">
    <cfRule type="cellIs" dxfId="717" priority="2917" operator="lessThan">
      <formula>0</formula>
    </cfRule>
  </conditionalFormatting>
  <conditionalFormatting sqref="H10:H1048576">
    <cfRule type="cellIs" dxfId="716" priority="2916" operator="lessThan">
      <formula>0</formula>
    </cfRule>
  </conditionalFormatting>
  <conditionalFormatting sqref="H10:H1048576">
    <cfRule type="cellIs" dxfId="715" priority="2915" operator="lessThan">
      <formula>0</formula>
    </cfRule>
  </conditionalFormatting>
  <conditionalFormatting sqref="H10:H1048576">
    <cfRule type="cellIs" dxfId="714" priority="2914" operator="lessThan">
      <formula>0</formula>
    </cfRule>
  </conditionalFormatting>
  <conditionalFormatting sqref="H10:H1048576">
    <cfRule type="cellIs" dxfId="713" priority="2913" operator="lessThan">
      <formula>0</formula>
    </cfRule>
  </conditionalFormatting>
  <conditionalFormatting sqref="H10:H1048576">
    <cfRule type="cellIs" dxfId="712" priority="2912" operator="lessThan">
      <formula>0</formula>
    </cfRule>
  </conditionalFormatting>
  <conditionalFormatting sqref="H10:H1048576">
    <cfRule type="cellIs" dxfId="711" priority="2911" operator="lessThan">
      <formula>0</formula>
    </cfRule>
  </conditionalFormatting>
  <conditionalFormatting sqref="H10:H1048576">
    <cfRule type="cellIs" dxfId="710" priority="2910" operator="lessThan">
      <formula>0</formula>
    </cfRule>
  </conditionalFormatting>
  <conditionalFormatting sqref="H10:H1048576">
    <cfRule type="cellIs" dxfId="709" priority="2909" operator="lessThan">
      <formula>0</formula>
    </cfRule>
  </conditionalFormatting>
  <conditionalFormatting sqref="H10:H1048576">
    <cfRule type="cellIs" dxfId="708" priority="2908" operator="lessThan">
      <formula>0</formula>
    </cfRule>
  </conditionalFormatting>
  <conditionalFormatting sqref="H10:H1048576">
    <cfRule type="cellIs" dxfId="707" priority="2907" operator="lessThan">
      <formula>0</formula>
    </cfRule>
  </conditionalFormatting>
  <conditionalFormatting sqref="H10:H1048576">
    <cfRule type="cellIs" dxfId="706" priority="2906" operator="lessThan">
      <formula>0</formula>
    </cfRule>
  </conditionalFormatting>
  <conditionalFormatting sqref="H10:H1048576">
    <cfRule type="cellIs" dxfId="705" priority="2905" operator="lessThan">
      <formula>0</formula>
    </cfRule>
  </conditionalFormatting>
  <conditionalFormatting sqref="H10:H1048576">
    <cfRule type="cellIs" dxfId="704" priority="2904" operator="lessThan">
      <formula>0</formula>
    </cfRule>
  </conditionalFormatting>
  <conditionalFormatting sqref="H10:H1048576">
    <cfRule type="cellIs" dxfId="703" priority="2903" operator="lessThan">
      <formula>0</formula>
    </cfRule>
  </conditionalFormatting>
  <conditionalFormatting sqref="H10:H1048576">
    <cfRule type="cellIs" dxfId="702" priority="2902" operator="lessThan">
      <formula>0</formula>
    </cfRule>
  </conditionalFormatting>
  <conditionalFormatting sqref="H10:H1048576">
    <cfRule type="cellIs" dxfId="701" priority="2901" operator="lessThan">
      <formula>0</formula>
    </cfRule>
  </conditionalFormatting>
  <conditionalFormatting sqref="H10:H1048576">
    <cfRule type="cellIs" dxfId="700" priority="2900" operator="lessThan">
      <formula>0</formula>
    </cfRule>
  </conditionalFormatting>
  <conditionalFormatting sqref="H10:H1048576">
    <cfRule type="cellIs" dxfId="699" priority="2899" operator="lessThan">
      <formula>0</formula>
    </cfRule>
  </conditionalFormatting>
  <conditionalFormatting sqref="H10:H1048576">
    <cfRule type="cellIs" dxfId="698" priority="2898" operator="lessThan">
      <formula>0</formula>
    </cfRule>
  </conditionalFormatting>
  <conditionalFormatting sqref="H10:H1048576">
    <cfRule type="cellIs" dxfId="697" priority="2897" operator="lessThan">
      <formula>0</formula>
    </cfRule>
  </conditionalFormatting>
  <conditionalFormatting sqref="H10:H1048576">
    <cfRule type="cellIs" dxfId="696" priority="2896" operator="lessThan">
      <formula>0</formula>
    </cfRule>
  </conditionalFormatting>
  <conditionalFormatting sqref="H10:H1048576">
    <cfRule type="cellIs" dxfId="695" priority="2895" operator="lessThan">
      <formula>0</formula>
    </cfRule>
  </conditionalFormatting>
  <conditionalFormatting sqref="H10:H1048576">
    <cfRule type="cellIs" dxfId="694" priority="2894" operator="lessThan">
      <formula>0</formula>
    </cfRule>
  </conditionalFormatting>
  <conditionalFormatting sqref="H10:H1048576">
    <cfRule type="cellIs" dxfId="693" priority="2893" operator="lessThan">
      <formula>0</formula>
    </cfRule>
  </conditionalFormatting>
  <conditionalFormatting sqref="H10:H1048576">
    <cfRule type="cellIs" dxfId="692" priority="2892" operator="lessThan">
      <formula>0</formula>
    </cfRule>
  </conditionalFormatting>
  <conditionalFormatting sqref="H10:H1048576">
    <cfRule type="cellIs" dxfId="691" priority="2891" operator="lessThan">
      <formula>0</formula>
    </cfRule>
  </conditionalFormatting>
  <conditionalFormatting sqref="H10:H1048576">
    <cfRule type="cellIs" dxfId="690" priority="2890" operator="lessThan">
      <formula>0</formula>
    </cfRule>
  </conditionalFormatting>
  <conditionalFormatting sqref="H10:H1048576">
    <cfRule type="cellIs" dxfId="689" priority="2889" operator="lessThan">
      <formula>0</formula>
    </cfRule>
  </conditionalFormatting>
  <conditionalFormatting sqref="H10:H1048576">
    <cfRule type="cellIs" dxfId="688" priority="2888" operator="lessThan">
      <formula>0</formula>
    </cfRule>
  </conditionalFormatting>
  <conditionalFormatting sqref="H10:H1048576">
    <cfRule type="cellIs" dxfId="687" priority="2887" operator="lessThan">
      <formula>0</formula>
    </cfRule>
  </conditionalFormatting>
  <conditionalFormatting sqref="H10:H1048576">
    <cfRule type="cellIs" dxfId="686" priority="2886" operator="lessThan">
      <formula>0</formula>
    </cfRule>
  </conditionalFormatting>
  <conditionalFormatting sqref="H10:H1048576">
    <cfRule type="cellIs" dxfId="685" priority="2885" operator="lessThan">
      <formula>0</formula>
    </cfRule>
  </conditionalFormatting>
  <conditionalFormatting sqref="H10:H1048576">
    <cfRule type="cellIs" dxfId="684" priority="2884" operator="lessThan">
      <formula>0</formula>
    </cfRule>
  </conditionalFormatting>
  <conditionalFormatting sqref="H10:H1048576">
    <cfRule type="cellIs" dxfId="683" priority="2883" operator="lessThan">
      <formula>0</formula>
    </cfRule>
  </conditionalFormatting>
  <conditionalFormatting sqref="H10:H1048576">
    <cfRule type="cellIs" dxfId="682" priority="2882" operator="lessThan">
      <formula>0</formula>
    </cfRule>
  </conditionalFormatting>
  <conditionalFormatting sqref="H10:H1048576">
    <cfRule type="cellIs" dxfId="681" priority="2881" operator="lessThan">
      <formula>0</formula>
    </cfRule>
  </conditionalFormatting>
  <conditionalFormatting sqref="H10:H1048576">
    <cfRule type="cellIs" dxfId="680" priority="2880" operator="lessThan">
      <formula>0</formula>
    </cfRule>
  </conditionalFormatting>
  <conditionalFormatting sqref="H10:H1048576">
    <cfRule type="cellIs" dxfId="679" priority="2879" operator="lessThan">
      <formula>0</formula>
    </cfRule>
  </conditionalFormatting>
  <conditionalFormatting sqref="H10:H1048576">
    <cfRule type="cellIs" dxfId="678" priority="2878" operator="lessThan">
      <formula>0</formula>
    </cfRule>
  </conditionalFormatting>
  <conditionalFormatting sqref="H10:H1048576">
    <cfRule type="cellIs" dxfId="677" priority="2877" operator="lessThan">
      <formula>0</formula>
    </cfRule>
  </conditionalFormatting>
  <conditionalFormatting sqref="H10:H1048576">
    <cfRule type="cellIs" dxfId="676" priority="2876" operator="lessThan">
      <formula>0</formula>
    </cfRule>
  </conditionalFormatting>
  <conditionalFormatting sqref="H10:H1048576">
    <cfRule type="cellIs" dxfId="675" priority="2875" operator="lessThan">
      <formula>0</formula>
    </cfRule>
  </conditionalFormatting>
  <conditionalFormatting sqref="H10:H1048576">
    <cfRule type="cellIs" dxfId="674" priority="2874" operator="lessThan">
      <formula>0</formula>
    </cfRule>
  </conditionalFormatting>
  <conditionalFormatting sqref="H10:H1048576">
    <cfRule type="cellIs" dxfId="673" priority="2873" operator="lessThan">
      <formula>0</formula>
    </cfRule>
  </conditionalFormatting>
  <conditionalFormatting sqref="H10:H1048576">
    <cfRule type="cellIs" dxfId="672" priority="2872" operator="lessThan">
      <formula>0</formula>
    </cfRule>
  </conditionalFormatting>
  <conditionalFormatting sqref="H10:H1048576">
    <cfRule type="cellIs" dxfId="671" priority="2871" operator="lessThan">
      <formula>0</formula>
    </cfRule>
  </conditionalFormatting>
  <conditionalFormatting sqref="H10:H1048576">
    <cfRule type="cellIs" dxfId="670" priority="2870" operator="lessThan">
      <formula>0</formula>
    </cfRule>
  </conditionalFormatting>
  <conditionalFormatting sqref="H10:H1048576">
    <cfRule type="cellIs" dxfId="669" priority="2869" operator="lessThan">
      <formula>0</formula>
    </cfRule>
  </conditionalFormatting>
  <conditionalFormatting sqref="H10:H1048576">
    <cfRule type="cellIs" dxfId="668" priority="2868" operator="lessThan">
      <formula>0</formula>
    </cfRule>
  </conditionalFormatting>
  <conditionalFormatting sqref="H10:H1048576">
    <cfRule type="cellIs" dxfId="667" priority="2867" operator="lessThan">
      <formula>0</formula>
    </cfRule>
  </conditionalFormatting>
  <conditionalFormatting sqref="H10:H1048576">
    <cfRule type="cellIs" dxfId="666" priority="2866" operator="lessThan">
      <formula>0</formula>
    </cfRule>
  </conditionalFormatting>
  <conditionalFormatting sqref="H10:H1048576">
    <cfRule type="cellIs" dxfId="665" priority="2865" operator="lessThan">
      <formula>0</formula>
    </cfRule>
  </conditionalFormatting>
  <conditionalFormatting sqref="H10:H1048576">
    <cfRule type="cellIs" dxfId="664" priority="2864" operator="lessThan">
      <formula>0</formula>
    </cfRule>
  </conditionalFormatting>
  <conditionalFormatting sqref="H10:H1048576">
    <cfRule type="cellIs" dxfId="663" priority="2863" operator="lessThan">
      <formula>0</formula>
    </cfRule>
  </conditionalFormatting>
  <conditionalFormatting sqref="H10:H1048576">
    <cfRule type="cellIs" dxfId="662" priority="2862" operator="lessThan">
      <formula>0</formula>
    </cfRule>
  </conditionalFormatting>
  <conditionalFormatting sqref="H10:H1048576">
    <cfRule type="cellIs" dxfId="661" priority="2861" operator="lessThan">
      <formula>0</formula>
    </cfRule>
  </conditionalFormatting>
  <conditionalFormatting sqref="H10:H1048576">
    <cfRule type="cellIs" dxfId="660" priority="2860" operator="lessThan">
      <formula>0</formula>
    </cfRule>
  </conditionalFormatting>
  <conditionalFormatting sqref="H10:H1048576">
    <cfRule type="cellIs" dxfId="659" priority="2859" operator="lessThan">
      <formula>0</formula>
    </cfRule>
  </conditionalFormatting>
  <conditionalFormatting sqref="H10:H1048576">
    <cfRule type="cellIs" dxfId="658" priority="2858" operator="lessThan">
      <formula>0</formula>
    </cfRule>
  </conditionalFormatting>
  <conditionalFormatting sqref="H10:H1048576">
    <cfRule type="cellIs" dxfId="657" priority="2857" operator="lessThan">
      <formula>0</formula>
    </cfRule>
  </conditionalFormatting>
  <conditionalFormatting sqref="H10:H1048576">
    <cfRule type="cellIs" dxfId="656" priority="2856" operator="lessThan">
      <formula>0</formula>
    </cfRule>
  </conditionalFormatting>
  <conditionalFormatting sqref="H10:H1048576">
    <cfRule type="cellIs" dxfId="655" priority="2855" operator="lessThan">
      <formula>0</formula>
    </cfRule>
  </conditionalFormatting>
  <conditionalFormatting sqref="H10:H1048576">
    <cfRule type="cellIs" dxfId="654" priority="2854" operator="lessThan">
      <formula>0</formula>
    </cfRule>
  </conditionalFormatting>
  <conditionalFormatting sqref="H10:H1048576">
    <cfRule type="cellIs" dxfId="653" priority="2853" operator="lessThan">
      <formula>0</formula>
    </cfRule>
  </conditionalFormatting>
  <conditionalFormatting sqref="H10:H1048576">
    <cfRule type="cellIs" dxfId="652" priority="2852" operator="lessThan">
      <formula>0</formula>
    </cfRule>
  </conditionalFormatting>
  <conditionalFormatting sqref="H10:H1048576">
    <cfRule type="cellIs" dxfId="651" priority="2851" operator="lessThan">
      <formula>0</formula>
    </cfRule>
  </conditionalFormatting>
  <conditionalFormatting sqref="H10:H1048576">
    <cfRule type="cellIs" dxfId="650" priority="2850" operator="lessThan">
      <formula>0</formula>
    </cfRule>
  </conditionalFormatting>
  <conditionalFormatting sqref="H10:H1048576">
    <cfRule type="cellIs" dxfId="649" priority="2849" operator="lessThan">
      <formula>0</formula>
    </cfRule>
  </conditionalFormatting>
  <conditionalFormatting sqref="H10:H1048576">
    <cfRule type="cellIs" dxfId="648" priority="2848" operator="lessThan">
      <formula>0</formula>
    </cfRule>
  </conditionalFormatting>
  <conditionalFormatting sqref="H10:H1048576">
    <cfRule type="cellIs" dxfId="647" priority="2847" operator="lessThan">
      <formula>0</formula>
    </cfRule>
  </conditionalFormatting>
  <conditionalFormatting sqref="H10:H1048576">
    <cfRule type="cellIs" dxfId="646" priority="2846" operator="lessThan">
      <formula>0</formula>
    </cfRule>
  </conditionalFormatting>
  <conditionalFormatting sqref="H10:H1048576">
    <cfRule type="cellIs" dxfId="645" priority="2845" operator="lessThan">
      <formula>0</formula>
    </cfRule>
  </conditionalFormatting>
  <conditionalFormatting sqref="H10:H1048576">
    <cfRule type="cellIs" dxfId="644" priority="2844" operator="lessThan">
      <formula>0</formula>
    </cfRule>
  </conditionalFormatting>
  <conditionalFormatting sqref="H10:H1048576">
    <cfRule type="cellIs" dxfId="643" priority="2843" operator="lessThan">
      <formula>0</formula>
    </cfRule>
  </conditionalFormatting>
  <conditionalFormatting sqref="H10:H1048576">
    <cfRule type="cellIs" dxfId="642" priority="2842" operator="lessThan">
      <formula>0</formula>
    </cfRule>
  </conditionalFormatting>
  <conditionalFormatting sqref="H10:H1048576">
    <cfRule type="cellIs" dxfId="641" priority="2841" operator="lessThan">
      <formula>0</formula>
    </cfRule>
  </conditionalFormatting>
  <conditionalFormatting sqref="H10:H1048576">
    <cfRule type="cellIs" dxfId="640" priority="2840" operator="lessThan">
      <formula>0</formula>
    </cfRule>
  </conditionalFormatting>
  <conditionalFormatting sqref="H10:H1048576">
    <cfRule type="cellIs" dxfId="639" priority="2839" operator="lessThan">
      <formula>0</formula>
    </cfRule>
  </conditionalFormatting>
  <conditionalFormatting sqref="H10:H1048576">
    <cfRule type="cellIs" dxfId="638" priority="2838" operator="lessThan">
      <formula>0</formula>
    </cfRule>
  </conditionalFormatting>
  <conditionalFormatting sqref="H10:H1048576">
    <cfRule type="cellIs" dxfId="637" priority="2837" operator="lessThan">
      <formula>0</formula>
    </cfRule>
  </conditionalFormatting>
  <conditionalFormatting sqref="H10:H1048576">
    <cfRule type="cellIs" dxfId="636" priority="2836" operator="lessThan">
      <formula>0</formula>
    </cfRule>
  </conditionalFormatting>
  <conditionalFormatting sqref="H10:H1048576">
    <cfRule type="cellIs" dxfId="635" priority="2835" operator="lessThan">
      <formula>0</formula>
    </cfRule>
  </conditionalFormatting>
  <conditionalFormatting sqref="H10:H1048576">
    <cfRule type="cellIs" dxfId="634" priority="2834" operator="lessThan">
      <formula>0</formula>
    </cfRule>
  </conditionalFormatting>
  <conditionalFormatting sqref="H10:H1048576">
    <cfRule type="cellIs" dxfId="633" priority="2833" operator="lessThan">
      <formula>0</formula>
    </cfRule>
  </conditionalFormatting>
  <conditionalFormatting sqref="H10:H1048576">
    <cfRule type="cellIs" dxfId="632" priority="2832" operator="lessThan">
      <formula>0</formula>
    </cfRule>
  </conditionalFormatting>
  <conditionalFormatting sqref="H10:H1048576">
    <cfRule type="cellIs" dxfId="631" priority="2831" operator="lessThan">
      <formula>0</formula>
    </cfRule>
  </conditionalFormatting>
  <conditionalFormatting sqref="H10:H1048576">
    <cfRule type="cellIs" dxfId="630" priority="2830" operator="lessThan">
      <formula>0</formula>
    </cfRule>
  </conditionalFormatting>
  <conditionalFormatting sqref="H10:H1048576">
    <cfRule type="cellIs" dxfId="629" priority="2829" operator="lessThan">
      <formula>0</formula>
    </cfRule>
  </conditionalFormatting>
  <conditionalFormatting sqref="H10:H1048576">
    <cfRule type="cellIs" dxfId="628" priority="2828" operator="lessThan">
      <formula>0</formula>
    </cfRule>
  </conditionalFormatting>
  <conditionalFormatting sqref="H10:H1048576">
    <cfRule type="cellIs" dxfId="627" priority="2827" operator="lessThan">
      <formula>0</formula>
    </cfRule>
  </conditionalFormatting>
  <conditionalFormatting sqref="H10:H1048576">
    <cfRule type="cellIs" dxfId="626" priority="2826" operator="lessThan">
      <formula>0</formula>
    </cfRule>
  </conditionalFormatting>
  <conditionalFormatting sqref="H10:H1048576">
    <cfRule type="cellIs" dxfId="625" priority="2825" operator="lessThan">
      <formula>0</formula>
    </cfRule>
  </conditionalFormatting>
  <conditionalFormatting sqref="H10:H1048576">
    <cfRule type="cellIs" dxfId="624" priority="2824" operator="lessThan">
      <formula>0</formula>
    </cfRule>
  </conditionalFormatting>
  <conditionalFormatting sqref="H10:H1048576">
    <cfRule type="cellIs" dxfId="623" priority="2823" operator="lessThan">
      <formula>0</formula>
    </cfRule>
  </conditionalFormatting>
  <conditionalFormatting sqref="H10:H1048576">
    <cfRule type="cellIs" dxfId="622" priority="2822" operator="lessThan">
      <formula>0</formula>
    </cfRule>
  </conditionalFormatting>
  <conditionalFormatting sqref="H10:H1048576">
    <cfRule type="cellIs" dxfId="621" priority="2821" operator="lessThan">
      <formula>0</formula>
    </cfRule>
  </conditionalFormatting>
  <conditionalFormatting sqref="H10:H1048576">
    <cfRule type="cellIs" dxfId="620" priority="2820" operator="lessThan">
      <formula>0</formula>
    </cfRule>
  </conditionalFormatting>
  <conditionalFormatting sqref="H10:H1048576">
    <cfRule type="cellIs" dxfId="619" priority="2819" operator="lessThan">
      <formula>0</formula>
    </cfRule>
  </conditionalFormatting>
  <conditionalFormatting sqref="H10:H1048576">
    <cfRule type="cellIs" dxfId="618" priority="2818" operator="lessThan">
      <formula>0</formula>
    </cfRule>
  </conditionalFormatting>
  <conditionalFormatting sqref="H10:H1048576">
    <cfRule type="cellIs" dxfId="617" priority="2817" operator="lessThan">
      <formula>0</formula>
    </cfRule>
  </conditionalFormatting>
  <conditionalFormatting sqref="H10:H1048576">
    <cfRule type="cellIs" dxfId="616" priority="2816" operator="lessThan">
      <formula>0</formula>
    </cfRule>
  </conditionalFormatting>
  <conditionalFormatting sqref="H10:H1048576">
    <cfRule type="cellIs" dxfId="615" priority="2815" operator="lessThan">
      <formula>0</formula>
    </cfRule>
  </conditionalFormatting>
  <conditionalFormatting sqref="H10:H1048576">
    <cfRule type="cellIs" dxfId="614" priority="2814" operator="lessThan">
      <formula>0</formula>
    </cfRule>
  </conditionalFormatting>
  <conditionalFormatting sqref="H10:H1048576">
    <cfRule type="cellIs" dxfId="613" priority="2813" operator="lessThan">
      <formula>0</formula>
    </cfRule>
  </conditionalFormatting>
  <conditionalFormatting sqref="H10:H1048576">
    <cfRule type="cellIs" dxfId="612" priority="2812" operator="lessThan">
      <formula>0</formula>
    </cfRule>
  </conditionalFormatting>
  <conditionalFormatting sqref="H10:H1048576">
    <cfRule type="cellIs" dxfId="611" priority="2811" operator="lessThan">
      <formula>0</formula>
    </cfRule>
  </conditionalFormatting>
  <conditionalFormatting sqref="H10:H1048576">
    <cfRule type="cellIs" dxfId="610" priority="2810" operator="lessThan">
      <formula>0</formula>
    </cfRule>
  </conditionalFormatting>
  <conditionalFormatting sqref="H10:H1048576">
    <cfRule type="cellIs" dxfId="609" priority="2809" operator="lessThan">
      <formula>0</formula>
    </cfRule>
  </conditionalFormatting>
  <conditionalFormatting sqref="H10:H1048576">
    <cfRule type="cellIs" dxfId="608" priority="2808" operator="lessThan">
      <formula>0</formula>
    </cfRule>
  </conditionalFormatting>
  <conditionalFormatting sqref="H10:H1048576">
    <cfRule type="cellIs" dxfId="607" priority="2807" operator="lessThan">
      <formula>0</formula>
    </cfRule>
  </conditionalFormatting>
  <conditionalFormatting sqref="H10:H1048576">
    <cfRule type="cellIs" dxfId="606" priority="2806" operator="lessThan">
      <formula>0</formula>
    </cfRule>
  </conditionalFormatting>
  <conditionalFormatting sqref="H10:H1048576">
    <cfRule type="cellIs" dxfId="605" priority="2805" operator="lessThan">
      <formula>0</formula>
    </cfRule>
  </conditionalFormatting>
  <conditionalFormatting sqref="H10:H1048576">
    <cfRule type="cellIs" dxfId="604" priority="2804" operator="lessThan">
      <formula>0</formula>
    </cfRule>
  </conditionalFormatting>
  <conditionalFormatting sqref="H10:H1048576">
    <cfRule type="cellIs" dxfId="603" priority="2803" operator="lessThan">
      <formula>0</formula>
    </cfRule>
  </conditionalFormatting>
  <conditionalFormatting sqref="H10:H1048576">
    <cfRule type="cellIs" dxfId="602" priority="2802" operator="lessThan">
      <formula>0</formula>
    </cfRule>
  </conditionalFormatting>
  <conditionalFormatting sqref="H10:H1048576">
    <cfRule type="cellIs" dxfId="601" priority="2801" operator="lessThan">
      <formula>0</formula>
    </cfRule>
  </conditionalFormatting>
  <conditionalFormatting sqref="H10:H1048576">
    <cfRule type="cellIs" dxfId="600" priority="2800" operator="lessThan">
      <formula>0</formula>
    </cfRule>
  </conditionalFormatting>
  <conditionalFormatting sqref="H10:H1048576">
    <cfRule type="cellIs" dxfId="599" priority="2799" operator="lessThan">
      <formula>0</formula>
    </cfRule>
  </conditionalFormatting>
  <conditionalFormatting sqref="H10:H1048576">
    <cfRule type="cellIs" dxfId="598" priority="2798" operator="lessThan">
      <formula>0</formula>
    </cfRule>
  </conditionalFormatting>
  <conditionalFormatting sqref="H10:H1048576">
    <cfRule type="cellIs" dxfId="597" priority="2797" operator="lessThan">
      <formula>0</formula>
    </cfRule>
  </conditionalFormatting>
  <conditionalFormatting sqref="H10:H1048576">
    <cfRule type="cellIs" dxfId="596" priority="2796" operator="lessThan">
      <formula>0</formula>
    </cfRule>
  </conditionalFormatting>
  <conditionalFormatting sqref="H10:H1048576">
    <cfRule type="cellIs" dxfId="595" priority="2795" operator="lessThan">
      <formula>0</formula>
    </cfRule>
  </conditionalFormatting>
  <conditionalFormatting sqref="H10:H1048576">
    <cfRule type="cellIs" dxfId="594" priority="2794" operator="lessThan">
      <formula>0</formula>
    </cfRule>
  </conditionalFormatting>
  <conditionalFormatting sqref="H10:H1048576">
    <cfRule type="cellIs" dxfId="593" priority="2793" operator="lessThan">
      <formula>0</formula>
    </cfRule>
  </conditionalFormatting>
  <conditionalFormatting sqref="H10:H1048576">
    <cfRule type="cellIs" dxfId="592" priority="2792" operator="lessThan">
      <formula>0</formula>
    </cfRule>
  </conditionalFormatting>
  <conditionalFormatting sqref="H10:H1048576">
    <cfRule type="cellIs" dxfId="591" priority="2791" operator="lessThan">
      <formula>0</formula>
    </cfRule>
  </conditionalFormatting>
  <conditionalFormatting sqref="H10:H1048576">
    <cfRule type="cellIs" dxfId="590" priority="2790" operator="lessThan">
      <formula>0</formula>
    </cfRule>
  </conditionalFormatting>
  <conditionalFormatting sqref="H10:H1048576">
    <cfRule type="cellIs" dxfId="589" priority="2789" operator="lessThan">
      <formula>0</formula>
    </cfRule>
  </conditionalFormatting>
  <conditionalFormatting sqref="H10:H1048576">
    <cfRule type="cellIs" dxfId="588" priority="2788" operator="lessThan">
      <formula>0</formula>
    </cfRule>
  </conditionalFormatting>
  <conditionalFormatting sqref="H10:H1048576">
    <cfRule type="cellIs" dxfId="587" priority="2787" operator="lessThan">
      <formula>0</formula>
    </cfRule>
  </conditionalFormatting>
  <conditionalFormatting sqref="H10:H1048576">
    <cfRule type="cellIs" dxfId="586" priority="2786" operator="lessThan">
      <formula>0</formula>
    </cfRule>
  </conditionalFormatting>
  <conditionalFormatting sqref="H10:H1048576">
    <cfRule type="cellIs" dxfId="585" priority="2785" operator="lessThan">
      <formula>0</formula>
    </cfRule>
  </conditionalFormatting>
  <conditionalFormatting sqref="H10:H1048576">
    <cfRule type="cellIs" dxfId="584" priority="2784" operator="lessThan">
      <formula>0</formula>
    </cfRule>
  </conditionalFormatting>
  <conditionalFormatting sqref="H10:H1048576">
    <cfRule type="cellIs" dxfId="583" priority="2783" operator="lessThan">
      <formula>0</formula>
    </cfRule>
  </conditionalFormatting>
  <conditionalFormatting sqref="H10:H1048576">
    <cfRule type="cellIs" dxfId="582" priority="2782" operator="lessThan">
      <formula>0</formula>
    </cfRule>
  </conditionalFormatting>
  <conditionalFormatting sqref="H10:H1048576">
    <cfRule type="cellIs" dxfId="581" priority="2781" operator="lessThan">
      <formula>0</formula>
    </cfRule>
  </conditionalFormatting>
  <conditionalFormatting sqref="H10:H1048576">
    <cfRule type="cellIs" dxfId="580" priority="2780" operator="lessThan">
      <formula>0</formula>
    </cfRule>
  </conditionalFormatting>
  <conditionalFormatting sqref="H10:H1048576">
    <cfRule type="cellIs" dxfId="579" priority="2779" operator="lessThan">
      <formula>0</formula>
    </cfRule>
  </conditionalFormatting>
  <conditionalFormatting sqref="H10:H1048576">
    <cfRule type="cellIs" dxfId="578" priority="2778" operator="lessThan">
      <formula>0</formula>
    </cfRule>
  </conditionalFormatting>
  <conditionalFormatting sqref="H10:H1048576">
    <cfRule type="cellIs" dxfId="577" priority="2777" operator="lessThan">
      <formula>0</formula>
    </cfRule>
  </conditionalFormatting>
  <conditionalFormatting sqref="H10:H1048576">
    <cfRule type="cellIs" dxfId="576" priority="2776" operator="lessThan">
      <formula>0</formula>
    </cfRule>
  </conditionalFormatting>
  <conditionalFormatting sqref="H10:H1048576">
    <cfRule type="cellIs" dxfId="575" priority="2775" operator="lessThan">
      <formula>0</formula>
    </cfRule>
  </conditionalFormatting>
  <conditionalFormatting sqref="H10:H1048576">
    <cfRule type="cellIs" dxfId="574" priority="2774" operator="lessThan">
      <formula>0</formula>
    </cfRule>
  </conditionalFormatting>
  <conditionalFormatting sqref="H10:H1048576">
    <cfRule type="cellIs" dxfId="573" priority="2773" operator="lessThan">
      <formula>0</formula>
    </cfRule>
  </conditionalFormatting>
  <conditionalFormatting sqref="H10:H1048576">
    <cfRule type="cellIs" dxfId="572" priority="2772" operator="lessThan">
      <formula>0</formula>
    </cfRule>
  </conditionalFormatting>
  <conditionalFormatting sqref="H10:H1048576">
    <cfRule type="cellIs" dxfId="571" priority="2771" operator="lessThan">
      <formula>0</formula>
    </cfRule>
  </conditionalFormatting>
  <conditionalFormatting sqref="H10:H1048576">
    <cfRule type="cellIs" dxfId="570" priority="2770" operator="lessThan">
      <formula>0</formula>
    </cfRule>
  </conditionalFormatting>
  <conditionalFormatting sqref="H10:H1048576">
    <cfRule type="cellIs" dxfId="569" priority="2769" operator="lessThan">
      <formula>0</formula>
    </cfRule>
  </conditionalFormatting>
  <conditionalFormatting sqref="H10:H1048576">
    <cfRule type="cellIs" dxfId="568" priority="2768" operator="lessThan">
      <formula>0</formula>
    </cfRule>
  </conditionalFormatting>
  <conditionalFormatting sqref="H10:H1048576">
    <cfRule type="cellIs" dxfId="567" priority="2767" operator="lessThan">
      <formula>0</formula>
    </cfRule>
  </conditionalFormatting>
  <conditionalFormatting sqref="H10:H1048576">
    <cfRule type="cellIs" dxfId="566" priority="2766" operator="lessThan">
      <formula>0</formula>
    </cfRule>
  </conditionalFormatting>
  <conditionalFormatting sqref="H10:H1048576">
    <cfRule type="cellIs" dxfId="565" priority="2765" operator="lessThan">
      <formula>0</formula>
    </cfRule>
  </conditionalFormatting>
  <conditionalFormatting sqref="H10:H1048576">
    <cfRule type="cellIs" dxfId="564" priority="2764" operator="lessThan">
      <formula>0</formula>
    </cfRule>
  </conditionalFormatting>
  <conditionalFormatting sqref="H10:H1048576">
    <cfRule type="cellIs" dxfId="563" priority="2763" operator="lessThan">
      <formula>0</formula>
    </cfRule>
  </conditionalFormatting>
  <conditionalFormatting sqref="H10:H1048576">
    <cfRule type="cellIs" dxfId="562" priority="2762" operator="lessThan">
      <formula>0</formula>
    </cfRule>
  </conditionalFormatting>
  <conditionalFormatting sqref="H10:H1048576">
    <cfRule type="cellIs" dxfId="561" priority="2761" operator="lessThan">
      <formula>0</formula>
    </cfRule>
  </conditionalFormatting>
  <conditionalFormatting sqref="H10:H1048576">
    <cfRule type="cellIs" dxfId="560" priority="2760" operator="lessThan">
      <formula>0</formula>
    </cfRule>
  </conditionalFormatting>
  <conditionalFormatting sqref="H10:H1048576">
    <cfRule type="cellIs" dxfId="559" priority="2759" operator="lessThan">
      <formula>0</formula>
    </cfRule>
  </conditionalFormatting>
  <conditionalFormatting sqref="H10:H1048576">
    <cfRule type="cellIs" dxfId="558" priority="2758" operator="lessThan">
      <formula>0</formula>
    </cfRule>
  </conditionalFormatting>
  <conditionalFormatting sqref="H10:H1048576">
    <cfRule type="cellIs" dxfId="557" priority="2757" operator="lessThan">
      <formula>0</formula>
    </cfRule>
  </conditionalFormatting>
  <conditionalFormatting sqref="H10:H1048576">
    <cfRule type="cellIs" dxfId="556" priority="2756" operator="lessThan">
      <formula>0</formula>
    </cfRule>
  </conditionalFormatting>
  <conditionalFormatting sqref="H10:H1048576">
    <cfRule type="cellIs" dxfId="555" priority="2755" operator="lessThan">
      <formula>0</formula>
    </cfRule>
  </conditionalFormatting>
  <conditionalFormatting sqref="H10:H1048576">
    <cfRule type="cellIs" dxfId="554" priority="2754" operator="lessThan">
      <formula>0</formula>
    </cfRule>
  </conditionalFormatting>
  <conditionalFormatting sqref="H10:H1048576">
    <cfRule type="cellIs" dxfId="553" priority="2753" operator="lessThan">
      <formula>0</formula>
    </cfRule>
  </conditionalFormatting>
  <conditionalFormatting sqref="H10:H1048576">
    <cfRule type="cellIs" dxfId="552" priority="2752" operator="lessThan">
      <formula>0</formula>
    </cfRule>
  </conditionalFormatting>
  <conditionalFormatting sqref="H10:H1048576">
    <cfRule type="cellIs" dxfId="551" priority="2751" operator="lessThan">
      <formula>0</formula>
    </cfRule>
  </conditionalFormatting>
  <conditionalFormatting sqref="H10:H1048576">
    <cfRule type="cellIs" dxfId="550" priority="2750" operator="lessThan">
      <formula>0</formula>
    </cfRule>
  </conditionalFormatting>
  <conditionalFormatting sqref="H10:H1048576">
    <cfRule type="cellIs" dxfId="549" priority="2749" operator="lessThan">
      <formula>0</formula>
    </cfRule>
  </conditionalFormatting>
  <conditionalFormatting sqref="H10:H1048576">
    <cfRule type="cellIs" dxfId="548" priority="2748" operator="lessThan">
      <formula>0</formula>
    </cfRule>
  </conditionalFormatting>
  <conditionalFormatting sqref="H10:H1048576">
    <cfRule type="cellIs" dxfId="547" priority="2747" operator="lessThan">
      <formula>0</formula>
    </cfRule>
  </conditionalFormatting>
  <conditionalFormatting sqref="H10:H1048576">
    <cfRule type="cellIs" dxfId="546" priority="2746" operator="lessThan">
      <formula>0</formula>
    </cfRule>
  </conditionalFormatting>
  <conditionalFormatting sqref="H10:H1048576">
    <cfRule type="cellIs" dxfId="545" priority="2745" operator="lessThan">
      <formula>0</formula>
    </cfRule>
  </conditionalFormatting>
  <conditionalFormatting sqref="H10:H1048576">
    <cfRule type="cellIs" dxfId="544" priority="2744" operator="lessThan">
      <formula>0</formula>
    </cfRule>
  </conditionalFormatting>
  <conditionalFormatting sqref="H10:H1048576">
    <cfRule type="cellIs" dxfId="543" priority="2743" operator="lessThan">
      <formula>0</formula>
    </cfRule>
  </conditionalFormatting>
  <conditionalFormatting sqref="H10:H1048576">
    <cfRule type="cellIs" dxfId="542" priority="2742" operator="lessThan">
      <formula>0</formula>
    </cfRule>
  </conditionalFormatting>
  <conditionalFormatting sqref="H10:H1048576">
    <cfRule type="cellIs" dxfId="541" priority="2741" operator="lessThan">
      <formula>0</formula>
    </cfRule>
  </conditionalFormatting>
  <conditionalFormatting sqref="H10:H1048576">
    <cfRule type="cellIs" dxfId="540" priority="2740" operator="lessThan">
      <formula>0</formula>
    </cfRule>
  </conditionalFormatting>
  <conditionalFormatting sqref="H10:H1048576">
    <cfRule type="cellIs" dxfId="539" priority="2739" operator="lessThan">
      <formula>0</formula>
    </cfRule>
  </conditionalFormatting>
  <conditionalFormatting sqref="H10:H1048576">
    <cfRule type="cellIs" dxfId="538" priority="2738" operator="lessThan">
      <formula>0</formula>
    </cfRule>
  </conditionalFormatting>
  <conditionalFormatting sqref="H10:H1048576">
    <cfRule type="cellIs" dxfId="537" priority="2737" operator="lessThan">
      <formula>0</formula>
    </cfRule>
  </conditionalFormatting>
  <conditionalFormatting sqref="H10:H1048576">
    <cfRule type="cellIs" dxfId="536" priority="2736" operator="lessThan">
      <formula>0</formula>
    </cfRule>
  </conditionalFormatting>
  <conditionalFormatting sqref="H10:H1048576">
    <cfRule type="cellIs" dxfId="535" priority="2735" operator="lessThan">
      <formula>0</formula>
    </cfRule>
  </conditionalFormatting>
  <conditionalFormatting sqref="H10:H1048576">
    <cfRule type="cellIs" dxfId="534" priority="2734" operator="lessThan">
      <formula>0</formula>
    </cfRule>
  </conditionalFormatting>
  <conditionalFormatting sqref="H10:H1048576">
    <cfRule type="cellIs" dxfId="533" priority="2733" operator="lessThan">
      <formula>0</formula>
    </cfRule>
  </conditionalFormatting>
  <conditionalFormatting sqref="H10:H1048576">
    <cfRule type="cellIs" dxfId="532" priority="2732" operator="lessThan">
      <formula>0</formula>
    </cfRule>
  </conditionalFormatting>
  <conditionalFormatting sqref="H10:H1048576">
    <cfRule type="cellIs" dxfId="531" priority="2731" operator="lessThan">
      <formula>0</formula>
    </cfRule>
  </conditionalFormatting>
  <conditionalFormatting sqref="H10:H1048576">
    <cfRule type="cellIs" dxfId="530" priority="2730" operator="lessThan">
      <formula>0</formula>
    </cfRule>
  </conditionalFormatting>
  <conditionalFormatting sqref="H10:H1048576">
    <cfRule type="cellIs" dxfId="529" priority="2729" operator="lessThan">
      <formula>0</formula>
    </cfRule>
  </conditionalFormatting>
  <conditionalFormatting sqref="H10:H1048576">
    <cfRule type="cellIs" dxfId="528" priority="2728" operator="lessThan">
      <formula>0</formula>
    </cfRule>
  </conditionalFormatting>
  <conditionalFormatting sqref="H10:H1048576">
    <cfRule type="cellIs" dxfId="527" priority="2727" operator="lessThan">
      <formula>0</formula>
    </cfRule>
  </conditionalFormatting>
  <conditionalFormatting sqref="H10:H1048576">
    <cfRule type="cellIs" dxfId="526" priority="2726" operator="lessThan">
      <formula>0</formula>
    </cfRule>
  </conditionalFormatting>
  <conditionalFormatting sqref="H10:H1048576">
    <cfRule type="cellIs" dxfId="525" priority="2725" operator="lessThan">
      <formula>0</formula>
    </cfRule>
  </conditionalFormatting>
  <conditionalFormatting sqref="H10:H1048576">
    <cfRule type="cellIs" dxfId="524" priority="2724" operator="lessThan">
      <formula>0</formula>
    </cfRule>
  </conditionalFormatting>
  <conditionalFormatting sqref="H10:H1048576">
    <cfRule type="cellIs" dxfId="523" priority="2723" operator="lessThan">
      <formula>0</formula>
    </cfRule>
  </conditionalFormatting>
  <conditionalFormatting sqref="H10:H1048576">
    <cfRule type="cellIs" dxfId="522" priority="2722" operator="lessThan">
      <formula>0</formula>
    </cfRule>
  </conditionalFormatting>
  <conditionalFormatting sqref="H10:H1048576">
    <cfRule type="cellIs" dxfId="521" priority="2721" operator="lessThan">
      <formula>0</formula>
    </cfRule>
  </conditionalFormatting>
  <conditionalFormatting sqref="H10:H1048576">
    <cfRule type="cellIs" dxfId="520" priority="2720" operator="lessThan">
      <formula>0</formula>
    </cfRule>
  </conditionalFormatting>
  <conditionalFormatting sqref="H10:H1048576">
    <cfRule type="cellIs" dxfId="519" priority="2719" operator="lessThan">
      <formula>0</formula>
    </cfRule>
  </conditionalFormatting>
  <conditionalFormatting sqref="H10:H1048576">
    <cfRule type="cellIs" dxfId="518" priority="2718" operator="lessThan">
      <formula>0</formula>
    </cfRule>
  </conditionalFormatting>
  <conditionalFormatting sqref="H10:H1048576">
    <cfRule type="cellIs" dxfId="517" priority="2717" operator="lessThan">
      <formula>0</formula>
    </cfRule>
  </conditionalFormatting>
  <conditionalFormatting sqref="H10:H1048576">
    <cfRule type="cellIs" dxfId="516" priority="2716" operator="lessThan">
      <formula>0</formula>
    </cfRule>
  </conditionalFormatting>
  <conditionalFormatting sqref="H10:H1048576">
    <cfRule type="cellIs" dxfId="515" priority="2715" operator="lessThan">
      <formula>0</formula>
    </cfRule>
  </conditionalFormatting>
  <conditionalFormatting sqref="H10:H1048576">
    <cfRule type="cellIs" dxfId="514" priority="2714" operator="lessThan">
      <formula>0</formula>
    </cfRule>
  </conditionalFormatting>
  <conditionalFormatting sqref="H10:H1048576">
    <cfRule type="cellIs" dxfId="513" priority="2713" operator="lessThan">
      <formula>0</formula>
    </cfRule>
  </conditionalFormatting>
  <conditionalFormatting sqref="H10:H1048576">
    <cfRule type="cellIs" dxfId="512" priority="2712" operator="lessThan">
      <formula>0</formula>
    </cfRule>
  </conditionalFormatting>
  <conditionalFormatting sqref="H10:H1048576">
    <cfRule type="cellIs" dxfId="511" priority="2711" operator="lessThan">
      <formula>0</formula>
    </cfRule>
  </conditionalFormatting>
  <conditionalFormatting sqref="H10:H1048576">
    <cfRule type="cellIs" dxfId="510" priority="2710" operator="lessThan">
      <formula>0</formula>
    </cfRule>
  </conditionalFormatting>
  <conditionalFormatting sqref="H10:H1048576">
    <cfRule type="cellIs" dxfId="509" priority="2709" operator="lessThan">
      <formula>0</formula>
    </cfRule>
  </conditionalFormatting>
  <conditionalFormatting sqref="H10:H1048576">
    <cfRule type="cellIs" dxfId="508" priority="2708" operator="lessThan">
      <formula>0</formula>
    </cfRule>
  </conditionalFormatting>
  <conditionalFormatting sqref="H10:H1048576">
    <cfRule type="cellIs" dxfId="507" priority="2707" operator="lessThan">
      <formula>0</formula>
    </cfRule>
  </conditionalFormatting>
  <conditionalFormatting sqref="H10:H1048576">
    <cfRule type="cellIs" dxfId="506" priority="2706" operator="lessThan">
      <formula>0</formula>
    </cfRule>
  </conditionalFormatting>
  <conditionalFormatting sqref="H10:H1048576">
    <cfRule type="cellIs" dxfId="505" priority="2705" operator="lessThan">
      <formula>0</formula>
    </cfRule>
  </conditionalFormatting>
  <conditionalFormatting sqref="H10:H1048576">
    <cfRule type="cellIs" dxfId="504" priority="2704" operator="lessThan">
      <formula>0</formula>
    </cfRule>
  </conditionalFormatting>
  <conditionalFormatting sqref="H10:H1048576">
    <cfRule type="cellIs" dxfId="503" priority="2703" operator="lessThan">
      <formula>0</formula>
    </cfRule>
  </conditionalFormatting>
  <conditionalFormatting sqref="H10:H1048576">
    <cfRule type="cellIs" dxfId="502" priority="2702" operator="lessThan">
      <formula>0</formula>
    </cfRule>
  </conditionalFormatting>
  <conditionalFormatting sqref="H10:H1048576">
    <cfRule type="cellIs" dxfId="501" priority="2701" operator="lessThan">
      <formula>0</formula>
    </cfRule>
  </conditionalFormatting>
  <conditionalFormatting sqref="H10:H1048576">
    <cfRule type="cellIs" dxfId="500" priority="2700" operator="lessThan">
      <formula>0</formula>
    </cfRule>
  </conditionalFormatting>
  <conditionalFormatting sqref="H10:H1048576">
    <cfRule type="cellIs" dxfId="499" priority="2699" operator="lessThan">
      <formula>0</formula>
    </cfRule>
  </conditionalFormatting>
  <conditionalFormatting sqref="H10:H1048576">
    <cfRule type="cellIs" dxfId="498" priority="2698" operator="lessThan">
      <formula>0</formula>
    </cfRule>
  </conditionalFormatting>
  <conditionalFormatting sqref="H10:H1048576">
    <cfRule type="cellIs" dxfId="497" priority="2697" operator="lessThan">
      <formula>0</formula>
    </cfRule>
  </conditionalFormatting>
  <conditionalFormatting sqref="H10:H1048576">
    <cfRule type="cellIs" dxfId="496" priority="2696" operator="lessThan">
      <formula>0</formula>
    </cfRule>
  </conditionalFormatting>
  <conditionalFormatting sqref="H10:H1048576">
    <cfRule type="cellIs" dxfId="495" priority="2695" operator="lessThan">
      <formula>0</formula>
    </cfRule>
  </conditionalFormatting>
  <conditionalFormatting sqref="H10:H1048576">
    <cfRule type="cellIs" dxfId="494" priority="2694" operator="lessThan">
      <formula>0</formula>
    </cfRule>
  </conditionalFormatting>
  <conditionalFormatting sqref="H10:H1048576">
    <cfRule type="cellIs" dxfId="493" priority="2693" operator="lessThan">
      <formula>0</formula>
    </cfRule>
  </conditionalFormatting>
  <conditionalFormatting sqref="H10:H1048576">
    <cfRule type="cellIs" dxfId="492" priority="2692" operator="lessThan">
      <formula>0</formula>
    </cfRule>
  </conditionalFormatting>
  <conditionalFormatting sqref="H10:H1048576">
    <cfRule type="cellIs" dxfId="491" priority="2691" operator="lessThan">
      <formula>0</formula>
    </cfRule>
  </conditionalFormatting>
  <conditionalFormatting sqref="H10:H1048576">
    <cfRule type="cellIs" dxfId="490" priority="2690" operator="lessThan">
      <formula>0</formula>
    </cfRule>
  </conditionalFormatting>
  <conditionalFormatting sqref="H10:H1048576">
    <cfRule type="cellIs" dxfId="489" priority="2689" operator="lessThan">
      <formula>0</formula>
    </cfRule>
  </conditionalFormatting>
  <conditionalFormatting sqref="H10:H1048576">
    <cfRule type="cellIs" dxfId="488" priority="2688" operator="lessThan">
      <formula>0</formula>
    </cfRule>
  </conditionalFormatting>
  <conditionalFormatting sqref="H10:H1048576">
    <cfRule type="cellIs" dxfId="487" priority="2687" operator="lessThan">
      <formula>0</formula>
    </cfRule>
  </conditionalFormatting>
  <conditionalFormatting sqref="H10:H1048576">
    <cfRule type="cellIs" dxfId="486" priority="2686" operator="lessThan">
      <formula>0</formula>
    </cfRule>
  </conditionalFormatting>
  <conditionalFormatting sqref="H10:H1048576">
    <cfRule type="cellIs" dxfId="485" priority="2685" operator="lessThan">
      <formula>0</formula>
    </cfRule>
  </conditionalFormatting>
  <conditionalFormatting sqref="H10:H1048576">
    <cfRule type="cellIs" dxfId="484" priority="2684" operator="lessThan">
      <formula>0</formula>
    </cfRule>
  </conditionalFormatting>
  <conditionalFormatting sqref="H10:H1048576">
    <cfRule type="cellIs" dxfId="483" priority="2683" operator="lessThan">
      <formula>0</formula>
    </cfRule>
  </conditionalFormatting>
  <conditionalFormatting sqref="H10:H1048576">
    <cfRule type="cellIs" dxfId="482" priority="2682" operator="lessThan">
      <formula>0</formula>
    </cfRule>
  </conditionalFormatting>
  <conditionalFormatting sqref="H10:H1048576">
    <cfRule type="cellIs" dxfId="481" priority="2681" operator="lessThan">
      <formula>0</formula>
    </cfRule>
  </conditionalFormatting>
  <conditionalFormatting sqref="H10:H1048576">
    <cfRule type="cellIs" dxfId="480" priority="2680" operator="lessThan">
      <formula>0</formula>
    </cfRule>
  </conditionalFormatting>
  <conditionalFormatting sqref="H10:H1048576">
    <cfRule type="cellIs" dxfId="479" priority="2679" operator="lessThan">
      <formula>0</formula>
    </cfRule>
  </conditionalFormatting>
  <conditionalFormatting sqref="H10:H1048576">
    <cfRule type="cellIs" dxfId="478" priority="2678" operator="lessThan">
      <formula>0</formula>
    </cfRule>
  </conditionalFormatting>
  <conditionalFormatting sqref="H10:H1048576">
    <cfRule type="cellIs" dxfId="477" priority="2677" operator="lessThan">
      <formula>0</formula>
    </cfRule>
  </conditionalFormatting>
  <conditionalFormatting sqref="H10:H1048576">
    <cfRule type="cellIs" dxfId="476" priority="2676" operator="lessThan">
      <formula>0</formula>
    </cfRule>
  </conditionalFormatting>
  <conditionalFormatting sqref="H10:H1048576">
    <cfRule type="cellIs" dxfId="475" priority="2675" operator="lessThan">
      <formula>0</formula>
    </cfRule>
  </conditionalFormatting>
  <conditionalFormatting sqref="H10:H1048576">
    <cfRule type="cellIs" dxfId="474" priority="2674" operator="lessThan">
      <formula>0</formula>
    </cfRule>
  </conditionalFormatting>
  <conditionalFormatting sqref="H10:H1048576">
    <cfRule type="cellIs" dxfId="473" priority="2673" operator="lessThan">
      <formula>0</formula>
    </cfRule>
  </conditionalFormatting>
  <conditionalFormatting sqref="H10:H1048576">
    <cfRule type="cellIs" dxfId="472" priority="2672" operator="lessThan">
      <formula>0</formula>
    </cfRule>
  </conditionalFormatting>
  <conditionalFormatting sqref="H10:H1048576">
    <cfRule type="cellIs" dxfId="471" priority="2671" operator="lessThan">
      <formula>0</formula>
    </cfRule>
  </conditionalFormatting>
  <conditionalFormatting sqref="H10:H1048576">
    <cfRule type="cellIs" dxfId="470" priority="2670" operator="lessThan">
      <formula>0</formula>
    </cfRule>
  </conditionalFormatting>
  <conditionalFormatting sqref="H10:H1048576">
    <cfRule type="cellIs" dxfId="469" priority="2669" operator="lessThan">
      <formula>0</formula>
    </cfRule>
  </conditionalFormatting>
  <conditionalFormatting sqref="H10:H1048576">
    <cfRule type="cellIs" dxfId="468" priority="2668" operator="lessThan">
      <formula>0</formula>
    </cfRule>
  </conditionalFormatting>
  <conditionalFormatting sqref="H10:H1048576">
    <cfRule type="cellIs" dxfId="467" priority="2667" operator="lessThan">
      <formula>0</formula>
    </cfRule>
  </conditionalFormatting>
  <conditionalFormatting sqref="H10:H1048576">
    <cfRule type="cellIs" dxfId="466" priority="2666" operator="lessThan">
      <formula>0</formula>
    </cfRule>
  </conditionalFormatting>
  <conditionalFormatting sqref="H10:H1048576">
    <cfRule type="cellIs" dxfId="465" priority="2665" operator="lessThan">
      <formula>0</formula>
    </cfRule>
  </conditionalFormatting>
  <conditionalFormatting sqref="H10:H1048576">
    <cfRule type="cellIs" dxfId="464" priority="2664" operator="lessThan">
      <formula>0</formula>
    </cfRule>
  </conditionalFormatting>
  <conditionalFormatting sqref="H10:H1048576">
    <cfRule type="cellIs" dxfId="463" priority="2663" operator="lessThan">
      <formula>0</formula>
    </cfRule>
  </conditionalFormatting>
  <conditionalFormatting sqref="H10:H1048576">
    <cfRule type="cellIs" dxfId="462" priority="2662" operator="lessThan">
      <formula>0</formula>
    </cfRule>
  </conditionalFormatting>
  <conditionalFormatting sqref="H10:H1048576">
    <cfRule type="cellIs" dxfId="461" priority="2661" operator="lessThan">
      <formula>0</formula>
    </cfRule>
  </conditionalFormatting>
  <conditionalFormatting sqref="H10:H1048576">
    <cfRule type="cellIs" dxfId="460" priority="2660" operator="lessThan">
      <formula>0</formula>
    </cfRule>
  </conditionalFormatting>
  <conditionalFormatting sqref="H10:H1048576">
    <cfRule type="cellIs" dxfId="459" priority="2659" operator="lessThan">
      <formula>0</formula>
    </cfRule>
  </conditionalFormatting>
  <conditionalFormatting sqref="H10:H1048576">
    <cfRule type="cellIs" dxfId="458" priority="2658" operator="lessThan">
      <formula>0</formula>
    </cfRule>
  </conditionalFormatting>
  <conditionalFormatting sqref="H10:H1048576">
    <cfRule type="cellIs" dxfId="457" priority="2657" operator="lessThan">
      <formula>0</formula>
    </cfRule>
  </conditionalFormatting>
  <conditionalFormatting sqref="H10:H1048576">
    <cfRule type="cellIs" dxfId="456" priority="2656" operator="lessThan">
      <formula>0</formula>
    </cfRule>
  </conditionalFormatting>
  <conditionalFormatting sqref="H10:H1048576">
    <cfRule type="cellIs" dxfId="455" priority="2655" operator="lessThan">
      <formula>0</formula>
    </cfRule>
  </conditionalFormatting>
  <conditionalFormatting sqref="H10:H1048576">
    <cfRule type="cellIs" dxfId="454" priority="2654" operator="lessThan">
      <formula>0</formula>
    </cfRule>
  </conditionalFormatting>
  <conditionalFormatting sqref="H10:H1048576">
    <cfRule type="cellIs" dxfId="453" priority="2653" operator="lessThan">
      <formula>0</formula>
    </cfRule>
  </conditionalFormatting>
  <conditionalFormatting sqref="H10:H1048576">
    <cfRule type="cellIs" dxfId="452" priority="2652" operator="lessThan">
      <formula>0</formula>
    </cfRule>
  </conditionalFormatting>
  <conditionalFormatting sqref="H10:H1048576">
    <cfRule type="cellIs" dxfId="451" priority="2651" operator="lessThan">
      <formula>0</formula>
    </cfRule>
  </conditionalFormatting>
  <conditionalFormatting sqref="H10:H1048576">
    <cfRule type="cellIs" dxfId="450" priority="2650" operator="lessThan">
      <formula>0</formula>
    </cfRule>
  </conditionalFormatting>
  <conditionalFormatting sqref="H10:H1048576">
    <cfRule type="cellIs" dxfId="449" priority="2649" operator="lessThan">
      <formula>0</formula>
    </cfRule>
  </conditionalFormatting>
  <conditionalFormatting sqref="H10:H1048576">
    <cfRule type="cellIs" dxfId="448" priority="2648" operator="lessThan">
      <formula>0</formula>
    </cfRule>
  </conditionalFormatting>
  <conditionalFormatting sqref="H10:H1048576">
    <cfRule type="cellIs" dxfId="447" priority="2647" operator="lessThan">
      <formula>0</formula>
    </cfRule>
  </conditionalFormatting>
  <conditionalFormatting sqref="H10:H1048576">
    <cfRule type="cellIs" dxfId="446" priority="2646" operator="lessThan">
      <formula>0</formula>
    </cfRule>
  </conditionalFormatting>
  <conditionalFormatting sqref="H10:H1048576">
    <cfRule type="cellIs" dxfId="445" priority="2645" operator="lessThan">
      <formula>0</formula>
    </cfRule>
  </conditionalFormatting>
  <conditionalFormatting sqref="H10:H1048576">
    <cfRule type="cellIs" dxfId="444" priority="2644" operator="lessThan">
      <formula>0</formula>
    </cfRule>
  </conditionalFormatting>
  <conditionalFormatting sqref="H10:H1048576">
    <cfRule type="cellIs" dxfId="443" priority="2643" operator="lessThan">
      <formula>0</formula>
    </cfRule>
  </conditionalFormatting>
  <conditionalFormatting sqref="H10:H1048576">
    <cfRule type="cellIs" dxfId="442" priority="2642" operator="lessThan">
      <formula>0</formula>
    </cfRule>
  </conditionalFormatting>
  <conditionalFormatting sqref="H10:H1048576">
    <cfRule type="cellIs" dxfId="441" priority="2641" operator="lessThan">
      <formula>0</formula>
    </cfRule>
  </conditionalFormatting>
  <conditionalFormatting sqref="H10:H1048576">
    <cfRule type="cellIs" dxfId="440" priority="2640" operator="lessThan">
      <formula>0</formula>
    </cfRule>
  </conditionalFormatting>
  <conditionalFormatting sqref="H10:H1048576">
    <cfRule type="cellIs" dxfId="439" priority="2639" operator="lessThan">
      <formula>0</formula>
    </cfRule>
  </conditionalFormatting>
  <conditionalFormatting sqref="H10:H1048576">
    <cfRule type="cellIs" dxfId="438" priority="2638" operator="lessThan">
      <formula>0</formula>
    </cfRule>
  </conditionalFormatting>
  <conditionalFormatting sqref="H10:H1048576">
    <cfRule type="cellIs" dxfId="437" priority="2637" operator="lessThan">
      <formula>0</formula>
    </cfRule>
  </conditionalFormatting>
  <conditionalFormatting sqref="H10:H1048576">
    <cfRule type="cellIs" dxfId="436" priority="2636" operator="lessThan">
      <formula>0</formula>
    </cfRule>
  </conditionalFormatting>
  <conditionalFormatting sqref="H10:H1048576">
    <cfRule type="cellIs" dxfId="435" priority="2635" operator="lessThan">
      <formula>0</formula>
    </cfRule>
  </conditionalFormatting>
  <conditionalFormatting sqref="H10:H1048576">
    <cfRule type="cellIs" dxfId="434" priority="2634" operator="lessThan">
      <formula>0</formula>
    </cfRule>
  </conditionalFormatting>
  <conditionalFormatting sqref="H10:H1048576">
    <cfRule type="cellIs" dxfId="433" priority="2633" operator="lessThan">
      <formula>0</formula>
    </cfRule>
  </conditionalFormatting>
  <conditionalFormatting sqref="H10:H1048576">
    <cfRule type="cellIs" dxfId="432" priority="2632" operator="lessThan">
      <formula>0</formula>
    </cfRule>
  </conditionalFormatting>
  <conditionalFormatting sqref="H10:H1048576">
    <cfRule type="cellIs" dxfId="431" priority="2631" operator="lessThan">
      <formula>0</formula>
    </cfRule>
  </conditionalFormatting>
  <conditionalFormatting sqref="H10:H1048576">
    <cfRule type="cellIs" dxfId="430" priority="2630" operator="lessThan">
      <formula>0</formula>
    </cfRule>
  </conditionalFormatting>
  <conditionalFormatting sqref="H10:H1048576">
    <cfRule type="cellIs" dxfId="429" priority="2629" operator="lessThan">
      <formula>0</formula>
    </cfRule>
  </conditionalFormatting>
  <conditionalFormatting sqref="H10:H1048576">
    <cfRule type="cellIs" dxfId="428" priority="2628" operator="lessThan">
      <formula>0</formula>
    </cfRule>
  </conditionalFormatting>
  <conditionalFormatting sqref="H10:H1048576">
    <cfRule type="cellIs" dxfId="427" priority="2627" operator="lessThan">
      <formula>0</formula>
    </cfRule>
  </conditionalFormatting>
  <conditionalFormatting sqref="H10:H1048576">
    <cfRule type="cellIs" dxfId="426" priority="2626" operator="lessThan">
      <formula>0</formula>
    </cfRule>
  </conditionalFormatting>
  <conditionalFormatting sqref="H10:H1048576">
    <cfRule type="cellIs" dxfId="425" priority="2625" operator="lessThan">
      <formula>0</formula>
    </cfRule>
  </conditionalFormatting>
  <conditionalFormatting sqref="H10:H1048576">
    <cfRule type="cellIs" dxfId="424" priority="2624" operator="lessThan">
      <formula>0</formula>
    </cfRule>
  </conditionalFormatting>
  <conditionalFormatting sqref="H10:H1048576">
    <cfRule type="cellIs" dxfId="423" priority="2623" operator="lessThan">
      <formula>0</formula>
    </cfRule>
  </conditionalFormatting>
  <conditionalFormatting sqref="H10:H1048576">
    <cfRule type="cellIs" dxfId="422" priority="2622" operator="lessThan">
      <formula>0</formula>
    </cfRule>
  </conditionalFormatting>
  <conditionalFormatting sqref="H10:H1048576">
    <cfRule type="cellIs" dxfId="421" priority="2621" operator="lessThan">
      <formula>0</formula>
    </cfRule>
  </conditionalFormatting>
  <conditionalFormatting sqref="H10:H1048576">
    <cfRule type="cellIs" dxfId="420" priority="2620" operator="lessThan">
      <formula>0</formula>
    </cfRule>
  </conditionalFormatting>
  <conditionalFormatting sqref="H10:H1048576">
    <cfRule type="cellIs" dxfId="419" priority="2619" operator="lessThan">
      <formula>0</formula>
    </cfRule>
  </conditionalFormatting>
  <conditionalFormatting sqref="H10:H1048576">
    <cfRule type="cellIs" dxfId="418" priority="2618" operator="lessThan">
      <formula>0</formula>
    </cfRule>
  </conditionalFormatting>
  <conditionalFormatting sqref="H10:H1048576">
    <cfRule type="cellIs" dxfId="417" priority="2617" operator="lessThan">
      <formula>0</formula>
    </cfRule>
  </conditionalFormatting>
  <conditionalFormatting sqref="H10:H1048576">
    <cfRule type="cellIs" dxfId="416" priority="2616" operator="lessThan">
      <formula>0</formula>
    </cfRule>
  </conditionalFormatting>
  <conditionalFormatting sqref="H10:H1048576">
    <cfRule type="cellIs" dxfId="415" priority="2615" operator="lessThan">
      <formula>0</formula>
    </cfRule>
  </conditionalFormatting>
  <conditionalFormatting sqref="H10:H1048576">
    <cfRule type="cellIs" dxfId="414" priority="2614" operator="lessThan">
      <formula>0</formula>
    </cfRule>
  </conditionalFormatting>
  <conditionalFormatting sqref="H10:H1048576">
    <cfRule type="cellIs" dxfId="413" priority="2613" operator="lessThan">
      <formula>0</formula>
    </cfRule>
  </conditionalFormatting>
  <conditionalFormatting sqref="H10:H1048576">
    <cfRule type="cellIs" dxfId="412" priority="2612" operator="lessThan">
      <formula>0</formula>
    </cfRule>
  </conditionalFormatting>
  <conditionalFormatting sqref="H10:H1048576">
    <cfRule type="cellIs" dxfId="411" priority="2611" operator="lessThan">
      <formula>0</formula>
    </cfRule>
  </conditionalFormatting>
  <conditionalFormatting sqref="H10:H1048576">
    <cfRule type="cellIs" dxfId="410" priority="2610" operator="lessThan">
      <formula>0</formula>
    </cfRule>
  </conditionalFormatting>
  <conditionalFormatting sqref="H10:H1048576">
    <cfRule type="cellIs" dxfId="409" priority="2609" operator="lessThan">
      <formula>0</formula>
    </cfRule>
  </conditionalFormatting>
  <conditionalFormatting sqref="H10:H1048576">
    <cfRule type="cellIs" dxfId="408" priority="2608" operator="lessThan">
      <formula>0</formula>
    </cfRule>
  </conditionalFormatting>
  <conditionalFormatting sqref="H10:H1048576">
    <cfRule type="cellIs" dxfId="407" priority="2607" operator="lessThan">
      <formula>0</formula>
    </cfRule>
  </conditionalFormatting>
  <conditionalFormatting sqref="H10:H1048576">
    <cfRule type="cellIs" dxfId="406" priority="2606" operator="lessThan">
      <formula>0</formula>
    </cfRule>
  </conditionalFormatting>
  <conditionalFormatting sqref="H10:H1048576">
    <cfRule type="cellIs" dxfId="405" priority="2605" operator="lessThan">
      <formula>0</formula>
    </cfRule>
  </conditionalFormatting>
  <conditionalFormatting sqref="H10:H1048576">
    <cfRule type="cellIs" dxfId="404" priority="2604" operator="lessThan">
      <formula>0</formula>
    </cfRule>
  </conditionalFormatting>
  <conditionalFormatting sqref="H10:H1048576">
    <cfRule type="cellIs" dxfId="403" priority="2603" operator="lessThan">
      <formula>0</formula>
    </cfRule>
  </conditionalFormatting>
  <conditionalFormatting sqref="H10:H1048576">
    <cfRule type="cellIs" dxfId="402" priority="2602" operator="lessThan">
      <formula>0</formula>
    </cfRule>
  </conditionalFormatting>
  <conditionalFormatting sqref="H10:H1048576">
    <cfRule type="cellIs" dxfId="401" priority="2601" operator="lessThan">
      <formula>0</formula>
    </cfRule>
  </conditionalFormatting>
  <conditionalFormatting sqref="H10:H1048576">
    <cfRule type="cellIs" dxfId="400" priority="2600" operator="lessThan">
      <formula>0</formula>
    </cfRule>
  </conditionalFormatting>
  <conditionalFormatting sqref="H10:H1048576">
    <cfRule type="cellIs" dxfId="399" priority="2599" operator="lessThan">
      <formula>0</formula>
    </cfRule>
  </conditionalFormatting>
  <conditionalFormatting sqref="H10:H1048576">
    <cfRule type="cellIs" dxfId="398" priority="2598" operator="lessThan">
      <formula>0</formula>
    </cfRule>
  </conditionalFormatting>
  <conditionalFormatting sqref="H10:H1048576">
    <cfRule type="cellIs" dxfId="397" priority="2597" operator="lessThan">
      <formula>0</formula>
    </cfRule>
  </conditionalFormatting>
  <conditionalFormatting sqref="H10:H1048576">
    <cfRule type="cellIs" dxfId="396" priority="2596" operator="lessThan">
      <formula>0</formula>
    </cfRule>
  </conditionalFormatting>
  <conditionalFormatting sqref="H10:H1048576">
    <cfRule type="cellIs" dxfId="395" priority="2595" operator="lessThan">
      <formula>0</formula>
    </cfRule>
  </conditionalFormatting>
  <conditionalFormatting sqref="H10:H1048576">
    <cfRule type="cellIs" dxfId="394" priority="2594" operator="lessThan">
      <formula>0</formula>
    </cfRule>
  </conditionalFormatting>
  <conditionalFormatting sqref="H10:H1048576">
    <cfRule type="cellIs" dxfId="393" priority="2593" operator="lessThan">
      <formula>0</formula>
    </cfRule>
  </conditionalFormatting>
  <conditionalFormatting sqref="H10:H1048576">
    <cfRule type="cellIs" dxfId="392" priority="2592" operator="lessThan">
      <formula>0</formula>
    </cfRule>
  </conditionalFormatting>
  <conditionalFormatting sqref="H10:H1048576">
    <cfRule type="cellIs" dxfId="391" priority="2591" operator="lessThan">
      <formula>0</formula>
    </cfRule>
  </conditionalFormatting>
  <conditionalFormatting sqref="H10:H1048576">
    <cfRule type="cellIs" dxfId="390" priority="2590" operator="lessThan">
      <formula>0</formula>
    </cfRule>
  </conditionalFormatting>
  <conditionalFormatting sqref="H10:H1048576">
    <cfRule type="cellIs" dxfId="389" priority="2589" operator="lessThan">
      <formula>0</formula>
    </cfRule>
  </conditionalFormatting>
  <conditionalFormatting sqref="H10:H1048576">
    <cfRule type="cellIs" dxfId="388" priority="2588" operator="lessThan">
      <formula>0</formula>
    </cfRule>
  </conditionalFormatting>
  <conditionalFormatting sqref="H10:H1048576">
    <cfRule type="cellIs" dxfId="387" priority="2587" operator="lessThan">
      <formula>0</formula>
    </cfRule>
  </conditionalFormatting>
  <conditionalFormatting sqref="H10:H1048576">
    <cfRule type="cellIs" dxfId="386" priority="2586" operator="lessThan">
      <formula>0</formula>
    </cfRule>
  </conditionalFormatting>
  <conditionalFormatting sqref="H10:H1048576">
    <cfRule type="cellIs" dxfId="385" priority="2585" operator="lessThan">
      <formula>0</formula>
    </cfRule>
  </conditionalFormatting>
  <conditionalFormatting sqref="H10:H1048576">
    <cfRule type="cellIs" dxfId="384" priority="2584" operator="lessThan">
      <formula>0</formula>
    </cfRule>
  </conditionalFormatting>
  <conditionalFormatting sqref="H10:H1048576">
    <cfRule type="cellIs" dxfId="383" priority="2583" operator="lessThan">
      <formula>0</formula>
    </cfRule>
  </conditionalFormatting>
  <conditionalFormatting sqref="H10:H1048576">
    <cfRule type="cellIs" dxfId="382" priority="2582" operator="lessThan">
      <formula>0</formula>
    </cfRule>
  </conditionalFormatting>
  <conditionalFormatting sqref="H10:H1048576">
    <cfRule type="cellIs" dxfId="381" priority="2581" operator="lessThan">
      <formula>0</formula>
    </cfRule>
  </conditionalFormatting>
  <conditionalFormatting sqref="H10:H1048576">
    <cfRule type="cellIs" dxfId="380" priority="2580" operator="lessThan">
      <formula>0</formula>
    </cfRule>
  </conditionalFormatting>
  <conditionalFormatting sqref="H10:H1048576">
    <cfRule type="cellIs" dxfId="379" priority="2579" operator="lessThan">
      <formula>0</formula>
    </cfRule>
  </conditionalFormatting>
  <conditionalFormatting sqref="H10:H1048576">
    <cfRule type="cellIs" dxfId="378" priority="2578" operator="lessThan">
      <formula>0</formula>
    </cfRule>
  </conditionalFormatting>
  <conditionalFormatting sqref="H10:H1048576">
    <cfRule type="cellIs" dxfId="377" priority="2577" operator="lessThan">
      <formula>0</formula>
    </cfRule>
  </conditionalFormatting>
  <conditionalFormatting sqref="H10:H1048576">
    <cfRule type="cellIs" dxfId="376" priority="2576" operator="lessThan">
      <formula>0</formula>
    </cfRule>
  </conditionalFormatting>
  <conditionalFormatting sqref="H10:H1048576">
    <cfRule type="cellIs" dxfId="375" priority="2575" operator="lessThan">
      <formula>0</formula>
    </cfRule>
  </conditionalFormatting>
  <conditionalFormatting sqref="H10:H1048576">
    <cfRule type="cellIs" dxfId="374" priority="2574" operator="lessThan">
      <formula>0</formula>
    </cfRule>
  </conditionalFormatting>
  <conditionalFormatting sqref="H10:H1048576">
    <cfRule type="cellIs" dxfId="373" priority="2573" operator="lessThan">
      <formula>0</formula>
    </cfRule>
  </conditionalFormatting>
  <conditionalFormatting sqref="H10:H1048576">
    <cfRule type="cellIs" dxfId="372" priority="2572" operator="lessThan">
      <formula>0</formula>
    </cfRule>
  </conditionalFormatting>
  <conditionalFormatting sqref="H10:H1048576">
    <cfRule type="cellIs" dxfId="371" priority="2571" operator="lessThan">
      <formula>0</formula>
    </cfRule>
  </conditionalFormatting>
  <conditionalFormatting sqref="H10:H1048576">
    <cfRule type="cellIs" dxfId="370" priority="2570" operator="lessThan">
      <formula>0</formula>
    </cfRule>
  </conditionalFormatting>
  <conditionalFormatting sqref="H10:H1048576">
    <cfRule type="cellIs" dxfId="369" priority="2569" operator="lessThan">
      <formula>0</formula>
    </cfRule>
  </conditionalFormatting>
  <conditionalFormatting sqref="H10:H1048576">
    <cfRule type="cellIs" dxfId="368" priority="2568" operator="lessThan">
      <formula>0</formula>
    </cfRule>
  </conditionalFormatting>
  <conditionalFormatting sqref="H10:H1048576">
    <cfRule type="cellIs" dxfId="367" priority="2567" operator="lessThan">
      <formula>0</formula>
    </cfRule>
  </conditionalFormatting>
  <conditionalFormatting sqref="H10:H1048576">
    <cfRule type="cellIs" dxfId="366" priority="2566" operator="lessThan">
      <formula>0</formula>
    </cfRule>
  </conditionalFormatting>
  <conditionalFormatting sqref="H10:H1048576">
    <cfRule type="cellIs" dxfId="365" priority="2565" operator="lessThan">
      <formula>0</formula>
    </cfRule>
  </conditionalFormatting>
  <conditionalFormatting sqref="H10:H1048576">
    <cfRule type="cellIs" dxfId="364" priority="2564" operator="lessThan">
      <formula>0</formula>
    </cfRule>
  </conditionalFormatting>
  <conditionalFormatting sqref="H10:H1048576">
    <cfRule type="cellIs" dxfId="363" priority="2563" operator="lessThan">
      <formula>0</formula>
    </cfRule>
  </conditionalFormatting>
  <conditionalFormatting sqref="H10:H1048576">
    <cfRule type="cellIs" dxfId="362" priority="2562" operator="lessThan">
      <formula>0</formula>
    </cfRule>
  </conditionalFormatting>
  <conditionalFormatting sqref="H10:H1048576">
    <cfRule type="cellIs" dxfId="361" priority="2561" operator="lessThan">
      <formula>0</formula>
    </cfRule>
  </conditionalFormatting>
  <conditionalFormatting sqref="H10:H1048576">
    <cfRule type="cellIs" dxfId="360" priority="2560" operator="lessThan">
      <formula>0</formula>
    </cfRule>
  </conditionalFormatting>
  <conditionalFormatting sqref="H10:H1048576">
    <cfRule type="cellIs" dxfId="359" priority="2559" operator="lessThan">
      <formula>0</formula>
    </cfRule>
  </conditionalFormatting>
  <conditionalFormatting sqref="H10:H1048576">
    <cfRule type="cellIs" dxfId="358" priority="2558" operator="lessThan">
      <formula>0</formula>
    </cfRule>
  </conditionalFormatting>
  <conditionalFormatting sqref="H10:H1048576">
    <cfRule type="cellIs" dxfId="357" priority="2557" operator="lessThan">
      <formula>0</formula>
    </cfRule>
  </conditionalFormatting>
  <conditionalFormatting sqref="H10:H1048576">
    <cfRule type="cellIs" dxfId="356" priority="2556" operator="lessThan">
      <formula>0</formula>
    </cfRule>
  </conditionalFormatting>
  <conditionalFormatting sqref="H10:H1048576">
    <cfRule type="cellIs" dxfId="355" priority="2555" operator="lessThan">
      <formula>0</formula>
    </cfRule>
  </conditionalFormatting>
  <conditionalFormatting sqref="H10:H1048576">
    <cfRule type="cellIs" dxfId="354" priority="2554" operator="lessThan">
      <formula>0</formula>
    </cfRule>
  </conditionalFormatting>
  <conditionalFormatting sqref="H10:H1048576">
    <cfRule type="cellIs" dxfId="353" priority="2553" operator="lessThan">
      <formula>0</formula>
    </cfRule>
  </conditionalFormatting>
  <conditionalFormatting sqref="H10:H1048576">
    <cfRule type="cellIs" dxfId="352" priority="2552" operator="lessThan">
      <formula>0</formula>
    </cfRule>
  </conditionalFormatting>
  <conditionalFormatting sqref="H10:H1048576">
    <cfRule type="cellIs" dxfId="351" priority="2551" operator="lessThan">
      <formula>0</formula>
    </cfRule>
  </conditionalFormatting>
  <conditionalFormatting sqref="H10:H1048576">
    <cfRule type="cellIs" dxfId="350" priority="2550" operator="lessThan">
      <formula>0</formula>
    </cfRule>
  </conditionalFormatting>
  <conditionalFormatting sqref="H10:H1048576">
    <cfRule type="cellIs" dxfId="349" priority="2549" operator="lessThan">
      <formula>0</formula>
    </cfRule>
  </conditionalFormatting>
  <conditionalFormatting sqref="H10:H1048576">
    <cfRule type="cellIs" dxfId="348" priority="2548" operator="lessThan">
      <formula>0</formula>
    </cfRule>
  </conditionalFormatting>
  <conditionalFormatting sqref="H10:H1048576">
    <cfRule type="cellIs" dxfId="347" priority="2547" operator="lessThan">
      <formula>0</formula>
    </cfRule>
  </conditionalFormatting>
  <conditionalFormatting sqref="H10:H1048576">
    <cfRule type="cellIs" dxfId="346" priority="2546" operator="lessThan">
      <formula>0</formula>
    </cfRule>
  </conditionalFormatting>
  <conditionalFormatting sqref="H10:H1048576">
    <cfRule type="cellIs" dxfId="345" priority="2545" operator="lessThan">
      <formula>0</formula>
    </cfRule>
  </conditionalFormatting>
  <conditionalFormatting sqref="H10:H1048576">
    <cfRule type="cellIs" dxfId="344" priority="2544" operator="lessThan">
      <formula>0</formula>
    </cfRule>
  </conditionalFormatting>
  <conditionalFormatting sqref="H10:H1048576">
    <cfRule type="cellIs" dxfId="343" priority="2543" operator="lessThan">
      <formula>0</formula>
    </cfRule>
  </conditionalFormatting>
  <conditionalFormatting sqref="H10:H1048576">
    <cfRule type="cellIs" dxfId="342" priority="2542" operator="lessThan">
      <formula>0</formula>
    </cfRule>
  </conditionalFormatting>
  <conditionalFormatting sqref="H10:H1048576">
    <cfRule type="cellIs" dxfId="341" priority="2541" operator="lessThan">
      <formula>0</formula>
    </cfRule>
  </conditionalFormatting>
  <conditionalFormatting sqref="H10:H1048576">
    <cfRule type="cellIs" dxfId="340" priority="2540" operator="lessThan">
      <formula>0</formula>
    </cfRule>
  </conditionalFormatting>
  <conditionalFormatting sqref="H10:H1048576">
    <cfRule type="cellIs" dxfId="339" priority="2539" operator="lessThan">
      <formula>0</formula>
    </cfRule>
  </conditionalFormatting>
  <conditionalFormatting sqref="H10:H1048576">
    <cfRule type="cellIs" dxfId="338" priority="2538" operator="lessThan">
      <formula>0</formula>
    </cfRule>
  </conditionalFormatting>
  <conditionalFormatting sqref="H10:H1048576">
    <cfRule type="cellIs" dxfId="337" priority="2537" operator="lessThan">
      <formula>0</formula>
    </cfRule>
  </conditionalFormatting>
  <conditionalFormatting sqref="H10:H1048576">
    <cfRule type="cellIs" dxfId="336" priority="2536" operator="lessThan">
      <formula>0</formula>
    </cfRule>
  </conditionalFormatting>
  <conditionalFormatting sqref="H10:H1048576">
    <cfRule type="cellIs" dxfId="335" priority="2535" operator="lessThan">
      <formula>0</formula>
    </cfRule>
  </conditionalFormatting>
  <conditionalFormatting sqref="H10:H1048576">
    <cfRule type="cellIs" dxfId="334" priority="2534" operator="lessThan">
      <formula>0</formula>
    </cfRule>
  </conditionalFormatting>
  <conditionalFormatting sqref="H10:H1048576">
    <cfRule type="cellIs" dxfId="333" priority="2533" operator="lessThan">
      <formula>0</formula>
    </cfRule>
  </conditionalFormatting>
  <conditionalFormatting sqref="H10:H1048576">
    <cfRule type="cellIs" dxfId="332" priority="2532" operator="lessThan">
      <formula>0</formula>
    </cfRule>
  </conditionalFormatting>
  <conditionalFormatting sqref="H10:H1048576">
    <cfRule type="cellIs" dxfId="331" priority="2531" operator="lessThan">
      <formula>0</formula>
    </cfRule>
  </conditionalFormatting>
  <conditionalFormatting sqref="H10:H1048576">
    <cfRule type="cellIs" dxfId="330" priority="2530" operator="lessThan">
      <formula>0</formula>
    </cfRule>
  </conditionalFormatting>
  <conditionalFormatting sqref="H10:H1048576">
    <cfRule type="cellIs" dxfId="329" priority="2529" operator="lessThan">
      <formula>0</formula>
    </cfRule>
  </conditionalFormatting>
  <conditionalFormatting sqref="H10:H1048576">
    <cfRule type="cellIs" dxfId="328" priority="2528" operator="lessThan">
      <formula>0</formula>
    </cfRule>
  </conditionalFormatting>
  <conditionalFormatting sqref="H10:H1048576">
    <cfRule type="cellIs" dxfId="327" priority="2527" operator="lessThan">
      <formula>0</formula>
    </cfRule>
  </conditionalFormatting>
  <conditionalFormatting sqref="H10:H1048576">
    <cfRule type="cellIs" dxfId="326" priority="2526" operator="lessThan">
      <formula>0</formula>
    </cfRule>
  </conditionalFormatting>
  <conditionalFormatting sqref="H10:H1048576">
    <cfRule type="cellIs" dxfId="325" priority="2525" operator="lessThan">
      <formula>0</formula>
    </cfRule>
  </conditionalFormatting>
  <conditionalFormatting sqref="H10:H1048576">
    <cfRule type="cellIs" dxfId="324" priority="2524" operator="lessThan">
      <formula>0</formula>
    </cfRule>
  </conditionalFormatting>
  <conditionalFormatting sqref="H10:H1048576">
    <cfRule type="cellIs" dxfId="323" priority="2523" operator="lessThan">
      <formula>0</formula>
    </cfRule>
  </conditionalFormatting>
  <conditionalFormatting sqref="H10:H1048576">
    <cfRule type="cellIs" dxfId="322" priority="2522" operator="lessThan">
      <formula>0</formula>
    </cfRule>
  </conditionalFormatting>
  <conditionalFormatting sqref="H10:H1048576">
    <cfRule type="cellIs" dxfId="321" priority="2521" operator="lessThan">
      <formula>0</formula>
    </cfRule>
  </conditionalFormatting>
  <conditionalFormatting sqref="H10:H1048576">
    <cfRule type="cellIs" dxfId="320" priority="2520" operator="lessThan">
      <formula>0</formula>
    </cfRule>
  </conditionalFormatting>
  <conditionalFormatting sqref="H10:H1048576">
    <cfRule type="cellIs" dxfId="319" priority="2519" operator="lessThan">
      <formula>0</formula>
    </cfRule>
  </conditionalFormatting>
  <conditionalFormatting sqref="H10:H1048576">
    <cfRule type="cellIs" dxfId="318" priority="2518" operator="lessThan">
      <formula>0</formula>
    </cfRule>
  </conditionalFormatting>
  <conditionalFormatting sqref="H10:H1048576">
    <cfRule type="cellIs" dxfId="317" priority="2517" operator="lessThan">
      <formula>0</formula>
    </cfRule>
  </conditionalFormatting>
  <conditionalFormatting sqref="H10:H1048576">
    <cfRule type="cellIs" dxfId="316" priority="2516" operator="lessThan">
      <formula>0</formula>
    </cfRule>
  </conditionalFormatting>
  <conditionalFormatting sqref="H10:H1048576">
    <cfRule type="cellIs" dxfId="315" priority="2515" operator="lessThan">
      <formula>0</formula>
    </cfRule>
  </conditionalFormatting>
  <conditionalFormatting sqref="H10:H1048576">
    <cfRule type="cellIs" dxfId="314" priority="2514" operator="lessThan">
      <formula>0</formula>
    </cfRule>
  </conditionalFormatting>
  <conditionalFormatting sqref="H10:H1048576">
    <cfRule type="cellIs" dxfId="313" priority="2513" operator="lessThan">
      <formula>0</formula>
    </cfRule>
  </conditionalFormatting>
  <conditionalFormatting sqref="H10:H1048576">
    <cfRule type="cellIs" dxfId="312" priority="2512" operator="lessThan">
      <formula>0</formula>
    </cfRule>
  </conditionalFormatting>
  <conditionalFormatting sqref="H10:H1048576">
    <cfRule type="cellIs" dxfId="311" priority="2511" operator="lessThan">
      <formula>0</formula>
    </cfRule>
  </conditionalFormatting>
  <conditionalFormatting sqref="H10:H1048576">
    <cfRule type="cellIs" dxfId="310" priority="2510" operator="lessThan">
      <formula>0</formula>
    </cfRule>
  </conditionalFormatting>
  <conditionalFormatting sqref="H10:H1048576">
    <cfRule type="cellIs" dxfId="309" priority="2509" operator="lessThan">
      <formula>0</formula>
    </cfRule>
  </conditionalFormatting>
  <conditionalFormatting sqref="H10:H1048576">
    <cfRule type="cellIs" dxfId="308" priority="2508" operator="lessThan">
      <formula>0</formula>
    </cfRule>
  </conditionalFormatting>
  <conditionalFormatting sqref="H10:H1048576">
    <cfRule type="cellIs" dxfId="307" priority="2507" operator="lessThan">
      <formula>0</formula>
    </cfRule>
  </conditionalFormatting>
  <conditionalFormatting sqref="H10:H1048576">
    <cfRule type="cellIs" dxfId="306" priority="2506" operator="lessThan">
      <formula>0</formula>
    </cfRule>
  </conditionalFormatting>
  <conditionalFormatting sqref="H10:H1048576">
    <cfRule type="cellIs" dxfId="305" priority="2505" operator="lessThan">
      <formula>0</formula>
    </cfRule>
  </conditionalFormatting>
  <conditionalFormatting sqref="H10:H1048576">
    <cfRule type="cellIs" dxfId="304" priority="2504" operator="lessThan">
      <formula>0</formula>
    </cfRule>
  </conditionalFormatting>
  <conditionalFormatting sqref="H10:H1048576">
    <cfRule type="cellIs" dxfId="303" priority="2503" operator="lessThan">
      <formula>0</formula>
    </cfRule>
  </conditionalFormatting>
  <conditionalFormatting sqref="H10:H1048576">
    <cfRule type="cellIs" dxfId="302" priority="2502" operator="lessThan">
      <formula>0</formula>
    </cfRule>
  </conditionalFormatting>
  <conditionalFormatting sqref="H10:H1048576">
    <cfRule type="cellIs" dxfId="301" priority="2501" operator="lessThan">
      <formula>0</formula>
    </cfRule>
  </conditionalFormatting>
  <conditionalFormatting sqref="H10:H1048576">
    <cfRule type="cellIs" dxfId="300" priority="2500" operator="lessThan">
      <formula>0</formula>
    </cfRule>
  </conditionalFormatting>
  <conditionalFormatting sqref="H10:H1048576">
    <cfRule type="cellIs" dxfId="299" priority="2499" operator="lessThan">
      <formula>0</formula>
    </cfRule>
  </conditionalFormatting>
  <conditionalFormatting sqref="H10:H1048576">
    <cfRule type="cellIs" dxfId="298" priority="2498" operator="lessThan">
      <formula>0</formula>
    </cfRule>
  </conditionalFormatting>
  <conditionalFormatting sqref="H10:H1048576">
    <cfRule type="cellIs" dxfId="297" priority="2497" operator="lessThan">
      <formula>0</formula>
    </cfRule>
  </conditionalFormatting>
  <conditionalFormatting sqref="H10:H1048576">
    <cfRule type="cellIs" dxfId="296" priority="2496" operator="lessThan">
      <formula>0</formula>
    </cfRule>
  </conditionalFormatting>
  <conditionalFormatting sqref="H10:H1048576">
    <cfRule type="cellIs" dxfId="295" priority="2495" operator="lessThan">
      <formula>0</formula>
    </cfRule>
  </conditionalFormatting>
  <conditionalFormatting sqref="H10:H1048576">
    <cfRule type="cellIs" dxfId="294" priority="2494" operator="lessThan">
      <formula>0</formula>
    </cfRule>
  </conditionalFormatting>
  <conditionalFormatting sqref="H10:H1048576">
    <cfRule type="cellIs" dxfId="293" priority="2493" operator="lessThan">
      <formula>0</formula>
    </cfRule>
  </conditionalFormatting>
  <conditionalFormatting sqref="H10:H1048576">
    <cfRule type="cellIs" dxfId="292" priority="2492" operator="lessThan">
      <formula>0</formula>
    </cfRule>
  </conditionalFormatting>
  <conditionalFormatting sqref="H10:H1048576">
    <cfRule type="cellIs" dxfId="291" priority="2491" operator="lessThan">
      <formula>0</formula>
    </cfRule>
  </conditionalFormatting>
  <conditionalFormatting sqref="H10:H1048576">
    <cfRule type="cellIs" dxfId="290" priority="2490" operator="lessThan">
      <formula>0</formula>
    </cfRule>
  </conditionalFormatting>
  <conditionalFormatting sqref="H10:H1048576">
    <cfRule type="cellIs" dxfId="289" priority="2489" operator="lessThan">
      <formula>0</formula>
    </cfRule>
  </conditionalFormatting>
  <conditionalFormatting sqref="H10:H1048576">
    <cfRule type="cellIs" dxfId="288" priority="2488" operator="lessThan">
      <formula>0</formula>
    </cfRule>
  </conditionalFormatting>
  <conditionalFormatting sqref="H10:H1048576">
    <cfRule type="cellIs" dxfId="287" priority="2487" operator="lessThan">
      <formula>0</formula>
    </cfRule>
  </conditionalFormatting>
  <conditionalFormatting sqref="H10:H1048576">
    <cfRule type="cellIs" dxfId="286" priority="2486" operator="lessThan">
      <formula>0</formula>
    </cfRule>
  </conditionalFormatting>
  <conditionalFormatting sqref="H10:H1048576">
    <cfRule type="cellIs" dxfId="285" priority="2485" operator="lessThan">
      <formula>0</formula>
    </cfRule>
  </conditionalFormatting>
  <conditionalFormatting sqref="H10:H1048576">
    <cfRule type="cellIs" dxfId="284" priority="2484" operator="lessThan">
      <formula>0</formula>
    </cfRule>
  </conditionalFormatting>
  <conditionalFormatting sqref="H10:H1048576">
    <cfRule type="cellIs" dxfId="283" priority="2483" operator="lessThan">
      <formula>0</formula>
    </cfRule>
  </conditionalFormatting>
  <conditionalFormatting sqref="H10:H1048576">
    <cfRule type="cellIs" dxfId="282" priority="2482" operator="lessThan">
      <formula>0</formula>
    </cfRule>
  </conditionalFormatting>
  <conditionalFormatting sqref="H10:H1048576">
    <cfRule type="cellIs" dxfId="281" priority="2481" operator="lessThan">
      <formula>0</formula>
    </cfRule>
  </conditionalFormatting>
  <conditionalFormatting sqref="H10:H1048576">
    <cfRule type="cellIs" dxfId="280" priority="2480" operator="lessThan">
      <formula>0</formula>
    </cfRule>
  </conditionalFormatting>
  <conditionalFormatting sqref="H10:H1048576">
    <cfRule type="cellIs" dxfId="279" priority="2479" operator="lessThan">
      <formula>0</formula>
    </cfRule>
  </conditionalFormatting>
  <conditionalFormatting sqref="H10:H1048576">
    <cfRule type="cellIs" dxfId="278" priority="2478" operator="lessThan">
      <formula>0</formula>
    </cfRule>
  </conditionalFormatting>
  <conditionalFormatting sqref="H10:H1048576">
    <cfRule type="cellIs" dxfId="277" priority="2477" operator="lessThan">
      <formula>0</formula>
    </cfRule>
  </conditionalFormatting>
  <conditionalFormatting sqref="H10:H1048576">
    <cfRule type="cellIs" dxfId="276" priority="2476" operator="lessThan">
      <formula>0</formula>
    </cfRule>
  </conditionalFormatting>
  <conditionalFormatting sqref="H10:H1048576">
    <cfRule type="cellIs" dxfId="275" priority="2475" operator="lessThan">
      <formula>0</formula>
    </cfRule>
  </conditionalFormatting>
  <conditionalFormatting sqref="H10:H1048576">
    <cfRule type="cellIs" dxfId="274" priority="2474" operator="lessThan">
      <formula>0</formula>
    </cfRule>
  </conditionalFormatting>
  <conditionalFormatting sqref="H10:H1048576">
    <cfRule type="cellIs" dxfId="273" priority="2473" operator="lessThan">
      <formula>0</formula>
    </cfRule>
  </conditionalFormatting>
  <conditionalFormatting sqref="H10:H1048576">
    <cfRule type="cellIs" dxfId="272" priority="2472" operator="lessThan">
      <formula>0</formula>
    </cfRule>
  </conditionalFormatting>
  <conditionalFormatting sqref="H10:H1048576">
    <cfRule type="cellIs" dxfId="271" priority="2471" operator="lessThan">
      <formula>0</formula>
    </cfRule>
  </conditionalFormatting>
  <conditionalFormatting sqref="H10:H1048576">
    <cfRule type="cellIs" dxfId="270" priority="2470" operator="lessThan">
      <formula>0</formula>
    </cfRule>
  </conditionalFormatting>
  <conditionalFormatting sqref="H10:H1048576">
    <cfRule type="cellIs" dxfId="269" priority="2469" operator="lessThan">
      <formula>0</formula>
    </cfRule>
  </conditionalFormatting>
  <conditionalFormatting sqref="H10:H1048576">
    <cfRule type="cellIs" dxfId="268" priority="2468" operator="lessThan">
      <formula>0</formula>
    </cfRule>
  </conditionalFormatting>
  <conditionalFormatting sqref="H10:H1048576">
    <cfRule type="cellIs" dxfId="267" priority="2467" operator="lessThan">
      <formula>0</formula>
    </cfRule>
  </conditionalFormatting>
  <conditionalFormatting sqref="H10:H1048576">
    <cfRule type="cellIs" dxfId="266" priority="2466" operator="lessThan">
      <formula>0</formula>
    </cfRule>
  </conditionalFormatting>
  <conditionalFormatting sqref="H10:H1048576">
    <cfRule type="cellIs" dxfId="265" priority="2465" operator="lessThan">
      <formula>0</formula>
    </cfRule>
  </conditionalFormatting>
  <conditionalFormatting sqref="H10:H1048576">
    <cfRule type="cellIs" dxfId="264" priority="2464" operator="lessThan">
      <formula>0</formula>
    </cfRule>
  </conditionalFormatting>
  <conditionalFormatting sqref="H10:H1048576">
    <cfRule type="cellIs" dxfId="263" priority="2463" operator="lessThan">
      <formula>0</formula>
    </cfRule>
  </conditionalFormatting>
  <conditionalFormatting sqref="H10:H1048576">
    <cfRule type="cellIs" dxfId="262" priority="2462" operator="lessThan">
      <formula>0</formula>
    </cfRule>
  </conditionalFormatting>
  <conditionalFormatting sqref="H10:H1048576">
    <cfRule type="cellIs" dxfId="261" priority="2461" operator="lessThan">
      <formula>0</formula>
    </cfRule>
  </conditionalFormatting>
  <conditionalFormatting sqref="H10:H1048576">
    <cfRule type="cellIs" dxfId="260" priority="2460" operator="lessThan">
      <formula>0</formula>
    </cfRule>
  </conditionalFormatting>
  <conditionalFormatting sqref="H10:H1048576">
    <cfRule type="cellIs" dxfId="259" priority="2459" operator="lessThan">
      <formula>0</formula>
    </cfRule>
  </conditionalFormatting>
  <conditionalFormatting sqref="H10:H1048576">
    <cfRule type="cellIs" dxfId="258" priority="2458" operator="lessThan">
      <formula>0</formula>
    </cfRule>
  </conditionalFormatting>
  <conditionalFormatting sqref="H10:H1048576">
    <cfRule type="cellIs" dxfId="257" priority="2457" operator="lessThan">
      <formula>0</formula>
    </cfRule>
  </conditionalFormatting>
  <conditionalFormatting sqref="H10:H1048576">
    <cfRule type="cellIs" dxfId="256" priority="2456" operator="lessThan">
      <formula>0</formula>
    </cfRule>
  </conditionalFormatting>
  <conditionalFormatting sqref="H10:H1048576">
    <cfRule type="cellIs" dxfId="255" priority="2455" operator="lessThan">
      <formula>0</formula>
    </cfRule>
  </conditionalFormatting>
  <conditionalFormatting sqref="H10:H1048576">
    <cfRule type="cellIs" dxfId="254" priority="2454" operator="lessThan">
      <formula>0</formula>
    </cfRule>
  </conditionalFormatting>
  <conditionalFormatting sqref="H10:H1048576">
    <cfRule type="cellIs" dxfId="253" priority="2453" operator="lessThan">
      <formula>0</formula>
    </cfRule>
  </conditionalFormatting>
  <conditionalFormatting sqref="H10:H1048576">
    <cfRule type="cellIs" dxfId="252" priority="2452" operator="lessThan">
      <formula>0</formula>
    </cfRule>
  </conditionalFormatting>
  <conditionalFormatting sqref="H10:H1048576">
    <cfRule type="cellIs" dxfId="251" priority="2451" operator="lessThan">
      <formula>0</formula>
    </cfRule>
  </conditionalFormatting>
  <conditionalFormatting sqref="H10:H1048576">
    <cfRule type="cellIs" dxfId="250" priority="2450" operator="lessThan">
      <formula>0</formula>
    </cfRule>
  </conditionalFormatting>
  <conditionalFormatting sqref="H10:H1048576">
    <cfRule type="cellIs" dxfId="249" priority="2449" operator="lessThan">
      <formula>0</formula>
    </cfRule>
  </conditionalFormatting>
  <conditionalFormatting sqref="H10:H1048576">
    <cfRule type="cellIs" dxfId="248" priority="2448" operator="lessThan">
      <formula>0</formula>
    </cfRule>
  </conditionalFormatting>
  <conditionalFormatting sqref="H10:H1048576">
    <cfRule type="cellIs" dxfId="247" priority="2447" operator="lessThan">
      <formula>0</formula>
    </cfRule>
  </conditionalFormatting>
  <conditionalFormatting sqref="H10:H1048576">
    <cfRule type="cellIs" dxfId="246" priority="2446" operator="lessThan">
      <formula>0</formula>
    </cfRule>
  </conditionalFormatting>
  <conditionalFormatting sqref="H10:H1048576">
    <cfRule type="cellIs" dxfId="245" priority="2445" operator="lessThan">
      <formula>0</formula>
    </cfRule>
  </conditionalFormatting>
  <conditionalFormatting sqref="H10:H1048576">
    <cfRule type="cellIs" dxfId="244" priority="2444" operator="lessThan">
      <formula>0</formula>
    </cfRule>
  </conditionalFormatting>
  <conditionalFormatting sqref="H10:H1048576">
    <cfRule type="cellIs" dxfId="243" priority="2443" operator="lessThan">
      <formula>0</formula>
    </cfRule>
  </conditionalFormatting>
  <conditionalFormatting sqref="H10:H1048576">
    <cfRule type="cellIs" dxfId="242" priority="2442" operator="lessThan">
      <formula>0</formula>
    </cfRule>
  </conditionalFormatting>
  <conditionalFormatting sqref="H10:H1048576">
    <cfRule type="cellIs" dxfId="241" priority="2441" operator="lessThan">
      <formula>0</formula>
    </cfRule>
  </conditionalFormatting>
  <conditionalFormatting sqref="H10:H1048576">
    <cfRule type="cellIs" dxfId="240" priority="2440" operator="lessThan">
      <formula>0</formula>
    </cfRule>
  </conditionalFormatting>
  <conditionalFormatting sqref="H10:H1048576">
    <cfRule type="cellIs" dxfId="239" priority="2439" operator="lessThan">
      <formula>0</formula>
    </cfRule>
  </conditionalFormatting>
  <conditionalFormatting sqref="H10:H1048576">
    <cfRule type="cellIs" dxfId="238" priority="2438" operator="lessThan">
      <formula>0</formula>
    </cfRule>
  </conditionalFormatting>
  <conditionalFormatting sqref="H10:H1048576">
    <cfRule type="cellIs" dxfId="237" priority="2437" operator="lessThan">
      <formula>0</formula>
    </cfRule>
  </conditionalFormatting>
  <conditionalFormatting sqref="H10:H1048576">
    <cfRule type="cellIs" dxfId="236" priority="2436" operator="lessThan">
      <formula>0</formula>
    </cfRule>
  </conditionalFormatting>
  <conditionalFormatting sqref="H10:H1048576">
    <cfRule type="cellIs" dxfId="235" priority="2435" operator="lessThan">
      <formula>0</formula>
    </cfRule>
  </conditionalFormatting>
  <conditionalFormatting sqref="H10:H1048576">
    <cfRule type="cellIs" dxfId="234" priority="2434" operator="lessThan">
      <formula>0</formula>
    </cfRule>
  </conditionalFormatting>
  <conditionalFormatting sqref="H10:H1048576">
    <cfRule type="cellIs" dxfId="233" priority="2433" operator="lessThan">
      <formula>0</formula>
    </cfRule>
  </conditionalFormatting>
  <conditionalFormatting sqref="H10:H1048576">
    <cfRule type="cellIs" dxfId="232" priority="2432" operator="lessThan">
      <formula>0</formula>
    </cfRule>
  </conditionalFormatting>
  <conditionalFormatting sqref="H10:H1048576">
    <cfRule type="cellIs" dxfId="231" priority="2431" operator="lessThan">
      <formula>0</formula>
    </cfRule>
  </conditionalFormatting>
  <conditionalFormatting sqref="H10:H1048576">
    <cfRule type="cellIs" dxfId="230" priority="2430" operator="lessThan">
      <formula>0</formula>
    </cfRule>
  </conditionalFormatting>
  <conditionalFormatting sqref="H10:H1048576">
    <cfRule type="cellIs" dxfId="229" priority="2429" operator="lessThan">
      <formula>0</formula>
    </cfRule>
  </conditionalFormatting>
  <conditionalFormatting sqref="H10:H1048576">
    <cfRule type="cellIs" dxfId="228" priority="2428" operator="lessThan">
      <formula>0</formula>
    </cfRule>
  </conditionalFormatting>
  <conditionalFormatting sqref="H10:H1048576">
    <cfRule type="cellIs" dxfId="227" priority="2427" operator="lessThan">
      <formula>0</formula>
    </cfRule>
  </conditionalFormatting>
  <conditionalFormatting sqref="H10:H1048576">
    <cfRule type="cellIs" dxfId="226" priority="2426" operator="lessThan">
      <formula>0</formula>
    </cfRule>
  </conditionalFormatting>
  <conditionalFormatting sqref="H10:H1048576">
    <cfRule type="cellIs" dxfId="225" priority="2425" operator="lessThan">
      <formula>0</formula>
    </cfRule>
  </conditionalFormatting>
  <conditionalFormatting sqref="H10:H1048576">
    <cfRule type="cellIs" dxfId="224" priority="2424" operator="lessThan">
      <formula>0</formula>
    </cfRule>
  </conditionalFormatting>
  <conditionalFormatting sqref="H10:H1048576">
    <cfRule type="cellIs" dxfId="223" priority="2423" operator="lessThan">
      <formula>0</formula>
    </cfRule>
  </conditionalFormatting>
  <conditionalFormatting sqref="H10:H1048576">
    <cfRule type="cellIs" dxfId="222" priority="2422" operator="lessThan">
      <formula>0</formula>
    </cfRule>
  </conditionalFormatting>
  <conditionalFormatting sqref="H10:H1048576">
    <cfRule type="cellIs" dxfId="221" priority="2421" operator="lessThan">
      <formula>0</formula>
    </cfRule>
  </conditionalFormatting>
  <conditionalFormatting sqref="H10:H1048576">
    <cfRule type="cellIs" dxfId="220" priority="2420" operator="lessThan">
      <formula>0</formula>
    </cfRule>
  </conditionalFormatting>
  <conditionalFormatting sqref="H10:H1048576">
    <cfRule type="cellIs" dxfId="219" priority="2419" operator="lessThan">
      <formula>0</formula>
    </cfRule>
  </conditionalFormatting>
  <conditionalFormatting sqref="H1:H1048576">
    <cfRule type="cellIs" dxfId="218" priority="2418" operator="lessThan">
      <formula>0</formula>
    </cfRule>
  </conditionalFormatting>
  <conditionalFormatting sqref="H1:H1048576">
    <cfRule type="cellIs" dxfId="217" priority="2417" operator="lessThan">
      <formula>0</formula>
    </cfRule>
  </conditionalFormatting>
  <conditionalFormatting sqref="H1:H1048576">
    <cfRule type="cellIs" dxfId="216" priority="2416" operator="lessThan">
      <formula>0</formula>
    </cfRule>
  </conditionalFormatting>
  <conditionalFormatting sqref="H1:H1048576">
    <cfRule type="cellIs" dxfId="215" priority="2415" operator="lessThan">
      <formula>0</formula>
    </cfRule>
  </conditionalFormatting>
  <conditionalFormatting sqref="H1:H1048576">
    <cfRule type="cellIs" dxfId="214" priority="2414" operator="lessThan">
      <formula>0</formula>
    </cfRule>
  </conditionalFormatting>
  <conditionalFormatting sqref="H1:H1048576">
    <cfRule type="cellIs" dxfId="213" priority="2413" operator="lessThan">
      <formula>0</formula>
    </cfRule>
  </conditionalFormatting>
  <conditionalFormatting sqref="H1:H1048576">
    <cfRule type="cellIs" dxfId="212" priority="2412" operator="lessThan">
      <formula>0</formula>
    </cfRule>
  </conditionalFormatting>
  <conditionalFormatting sqref="H1:H1048576">
    <cfRule type="cellIs" dxfId="211" priority="2411" operator="lessThan">
      <formula>0</formula>
    </cfRule>
  </conditionalFormatting>
  <conditionalFormatting sqref="H1:H1048576">
    <cfRule type="cellIs" dxfId="210" priority="2410" operator="lessThan">
      <formula>0</formula>
    </cfRule>
  </conditionalFormatting>
  <conditionalFormatting sqref="H1:H1048576">
    <cfRule type="cellIs" dxfId="209" priority="2409" operator="lessThan">
      <formula>0</formula>
    </cfRule>
  </conditionalFormatting>
  <conditionalFormatting sqref="H1:H1048576">
    <cfRule type="cellIs" dxfId="208" priority="2408" operator="lessThan">
      <formula>0</formula>
    </cfRule>
  </conditionalFormatting>
  <conditionalFormatting sqref="H1:H1048576">
    <cfRule type="cellIs" dxfId="207" priority="2407" operator="lessThan">
      <formula>0</formula>
    </cfRule>
  </conditionalFormatting>
  <conditionalFormatting sqref="H1:H1048576">
    <cfRule type="cellIs" dxfId="206" priority="2406" operator="lessThan">
      <formula>0</formula>
    </cfRule>
  </conditionalFormatting>
  <conditionalFormatting sqref="H1:H1048576">
    <cfRule type="cellIs" dxfId="205" priority="2405" operator="lessThan">
      <formula>0</formula>
    </cfRule>
  </conditionalFormatting>
  <conditionalFormatting sqref="H1:H1048576">
    <cfRule type="cellIs" dxfId="204" priority="2404" operator="lessThan">
      <formula>0</formula>
    </cfRule>
  </conditionalFormatting>
  <conditionalFormatting sqref="H1:H1048576">
    <cfRule type="cellIs" dxfId="203" priority="2403" operator="lessThan">
      <formula>0</formula>
    </cfRule>
  </conditionalFormatting>
  <conditionalFormatting sqref="H1:H1048576">
    <cfRule type="cellIs" dxfId="202" priority="2402" operator="lessThan">
      <formula>0</formula>
    </cfRule>
  </conditionalFormatting>
  <conditionalFormatting sqref="H1:H1048576">
    <cfRule type="cellIs" dxfId="201" priority="2401" operator="lessThan">
      <formula>0</formula>
    </cfRule>
  </conditionalFormatting>
  <conditionalFormatting sqref="H1:H1048576">
    <cfRule type="cellIs" dxfId="200" priority="2400" operator="lessThan">
      <formula>0</formula>
    </cfRule>
  </conditionalFormatting>
  <conditionalFormatting sqref="H1:H1048576">
    <cfRule type="cellIs" dxfId="199" priority="2399" operator="lessThan">
      <formula>0</formula>
    </cfRule>
  </conditionalFormatting>
  <conditionalFormatting sqref="H1:H1048576">
    <cfRule type="cellIs" dxfId="198" priority="2398" operator="lessThan">
      <formula>0</formula>
    </cfRule>
  </conditionalFormatting>
  <conditionalFormatting sqref="H1:H1048576">
    <cfRule type="cellIs" dxfId="197" priority="2397" operator="lessThan">
      <formula>0</formula>
    </cfRule>
  </conditionalFormatting>
  <conditionalFormatting sqref="H1:H1048576">
    <cfRule type="cellIs" dxfId="196" priority="2396" operator="lessThan">
      <formula>0</formula>
    </cfRule>
  </conditionalFormatting>
  <conditionalFormatting sqref="H1:H1048576">
    <cfRule type="cellIs" dxfId="195" priority="2395" operator="lessThan">
      <formula>0</formula>
    </cfRule>
  </conditionalFormatting>
  <conditionalFormatting sqref="H1:H1048576">
    <cfRule type="cellIs" dxfId="194" priority="2394" operator="lessThan">
      <formula>0</formula>
    </cfRule>
  </conditionalFormatting>
  <conditionalFormatting sqref="H1:H1048576">
    <cfRule type="cellIs" dxfId="193" priority="2393" operator="lessThan">
      <formula>0</formula>
    </cfRule>
  </conditionalFormatting>
  <conditionalFormatting sqref="H1:H1048576">
    <cfRule type="cellIs" dxfId="192" priority="2392" operator="lessThan">
      <formula>0</formula>
    </cfRule>
  </conditionalFormatting>
  <conditionalFormatting sqref="H1:H1048576">
    <cfRule type="cellIs" dxfId="191" priority="2391" operator="lessThan">
      <formula>0</formula>
    </cfRule>
  </conditionalFormatting>
  <conditionalFormatting sqref="H1:H1048576">
    <cfRule type="cellIs" dxfId="190" priority="2390" operator="lessThan">
      <formula>0</formula>
    </cfRule>
  </conditionalFormatting>
  <conditionalFormatting sqref="H1:H1048576">
    <cfRule type="cellIs" dxfId="189" priority="2389" operator="lessThan">
      <formula>0</formula>
    </cfRule>
  </conditionalFormatting>
  <conditionalFormatting sqref="H1:H1048576">
    <cfRule type="cellIs" dxfId="188" priority="2388" operator="lessThan">
      <formula>0</formula>
    </cfRule>
  </conditionalFormatting>
  <conditionalFormatting sqref="H1:H1048576">
    <cfRule type="cellIs" dxfId="187" priority="2387" operator="lessThan">
      <formula>0</formula>
    </cfRule>
  </conditionalFormatting>
  <conditionalFormatting sqref="H1:H1048576">
    <cfRule type="cellIs" dxfId="186" priority="2386" operator="lessThan">
      <formula>0</formula>
    </cfRule>
  </conditionalFormatting>
  <conditionalFormatting sqref="H1:H1048576">
    <cfRule type="cellIs" dxfId="185" priority="2385" operator="lessThan">
      <formula>0</formula>
    </cfRule>
  </conditionalFormatting>
  <conditionalFormatting sqref="H1:H1048576">
    <cfRule type="cellIs" dxfId="184" priority="2384" operator="lessThan">
      <formula>0</formula>
    </cfRule>
  </conditionalFormatting>
  <conditionalFormatting sqref="H1:H1048576">
    <cfRule type="cellIs" dxfId="183" priority="2383" operator="lessThan">
      <formula>0</formula>
    </cfRule>
  </conditionalFormatting>
  <conditionalFormatting sqref="H1:H1048576">
    <cfRule type="cellIs" dxfId="182" priority="2382" operator="lessThan">
      <formula>0</formula>
    </cfRule>
  </conditionalFormatting>
  <conditionalFormatting sqref="H1:H1048576">
    <cfRule type="cellIs" dxfId="181" priority="2381" operator="lessThan">
      <formula>0</formula>
    </cfRule>
  </conditionalFormatting>
  <conditionalFormatting sqref="H1:H1048576">
    <cfRule type="cellIs" dxfId="180" priority="2380" operator="lessThan">
      <formula>0</formula>
    </cfRule>
  </conditionalFormatting>
  <conditionalFormatting sqref="H1:H1048576">
    <cfRule type="cellIs" dxfId="179" priority="2379" operator="lessThan">
      <formula>0</formula>
    </cfRule>
  </conditionalFormatting>
  <conditionalFormatting sqref="H1:H1048576">
    <cfRule type="cellIs" dxfId="178" priority="2378" operator="lessThan">
      <formula>0</formula>
    </cfRule>
  </conditionalFormatting>
  <conditionalFormatting sqref="H1:H1048576">
    <cfRule type="cellIs" dxfId="177" priority="2377" operator="lessThan">
      <formula>0</formula>
    </cfRule>
  </conditionalFormatting>
  <conditionalFormatting sqref="H1:H1048576">
    <cfRule type="cellIs" dxfId="176" priority="2376" operator="lessThan">
      <formula>0</formula>
    </cfRule>
  </conditionalFormatting>
  <conditionalFormatting sqref="H1:H1048576">
    <cfRule type="cellIs" dxfId="175" priority="2375" operator="lessThan">
      <formula>0</formula>
    </cfRule>
  </conditionalFormatting>
  <conditionalFormatting sqref="H1:H1048576">
    <cfRule type="cellIs" dxfId="174" priority="2374" operator="lessThan">
      <formula>0</formula>
    </cfRule>
  </conditionalFormatting>
  <conditionalFormatting sqref="H1:H1048576">
    <cfRule type="cellIs" dxfId="173" priority="2373" operator="lessThan">
      <formula>0</formula>
    </cfRule>
  </conditionalFormatting>
  <conditionalFormatting sqref="H1:H1048576">
    <cfRule type="cellIs" dxfId="172" priority="2372" operator="lessThan">
      <formula>0</formula>
    </cfRule>
  </conditionalFormatting>
  <conditionalFormatting sqref="H1:H1048576">
    <cfRule type="cellIs" dxfId="171" priority="2371" operator="lessThan">
      <formula>0</formula>
    </cfRule>
  </conditionalFormatting>
  <conditionalFormatting sqref="H1:H1048576">
    <cfRule type="cellIs" dxfId="170" priority="2370" operator="lessThan">
      <formula>0</formula>
    </cfRule>
  </conditionalFormatting>
  <conditionalFormatting sqref="H1:H1048576">
    <cfRule type="cellIs" dxfId="169" priority="2369" operator="lessThan">
      <formula>0</formula>
    </cfRule>
  </conditionalFormatting>
  <conditionalFormatting sqref="H1:H1048576">
    <cfRule type="cellIs" dxfId="168" priority="2368" operator="lessThan">
      <formula>0</formula>
    </cfRule>
  </conditionalFormatting>
  <conditionalFormatting sqref="H1:H1048576">
    <cfRule type="cellIs" dxfId="167" priority="2367" operator="lessThan">
      <formula>0</formula>
    </cfRule>
  </conditionalFormatting>
  <conditionalFormatting sqref="H1:H1048576">
    <cfRule type="cellIs" dxfId="166" priority="2366" operator="lessThan">
      <formula>0</formula>
    </cfRule>
  </conditionalFormatting>
  <conditionalFormatting sqref="H1:H1048576">
    <cfRule type="cellIs" dxfId="165" priority="2365" operator="lessThan">
      <formula>0</formula>
    </cfRule>
  </conditionalFormatting>
  <conditionalFormatting sqref="H1:H1048576">
    <cfRule type="cellIs" dxfId="164" priority="2364" operator="lessThan">
      <formula>0</formula>
    </cfRule>
  </conditionalFormatting>
  <conditionalFormatting sqref="H1:H1048576">
    <cfRule type="cellIs" dxfId="163" priority="2363" operator="lessThan">
      <formula>0</formula>
    </cfRule>
  </conditionalFormatting>
  <conditionalFormatting sqref="H1:H1048576">
    <cfRule type="cellIs" dxfId="162" priority="2362" operator="lessThan">
      <formula>0</formula>
    </cfRule>
  </conditionalFormatting>
  <conditionalFormatting sqref="H1:H1048576">
    <cfRule type="cellIs" dxfId="161" priority="2361" operator="lessThan">
      <formula>0</formula>
    </cfRule>
  </conditionalFormatting>
  <conditionalFormatting sqref="H1:H1048576">
    <cfRule type="cellIs" dxfId="160" priority="2360" operator="lessThan">
      <formula>0</formula>
    </cfRule>
  </conditionalFormatting>
  <conditionalFormatting sqref="H1:H1048576">
    <cfRule type="cellIs" dxfId="159" priority="2359" operator="lessThan">
      <formula>0</formula>
    </cfRule>
  </conditionalFormatting>
  <conditionalFormatting sqref="H1:H1048576">
    <cfRule type="cellIs" dxfId="158" priority="2358" operator="lessThan">
      <formula>0</formula>
    </cfRule>
  </conditionalFormatting>
  <conditionalFormatting sqref="H1:H1048576">
    <cfRule type="cellIs" dxfId="157" priority="2357" operator="lessThan">
      <formula>0</formula>
    </cfRule>
  </conditionalFormatting>
  <conditionalFormatting sqref="H1:H1048576">
    <cfRule type="cellIs" dxfId="156" priority="2356" operator="lessThan">
      <formula>0</formula>
    </cfRule>
  </conditionalFormatting>
  <conditionalFormatting sqref="H1:H1048576">
    <cfRule type="cellIs" dxfId="155" priority="2355" operator="lessThan">
      <formula>0</formula>
    </cfRule>
  </conditionalFormatting>
  <conditionalFormatting sqref="H1:H1048576">
    <cfRule type="cellIs" dxfId="154" priority="2354" operator="lessThan">
      <formula>0</formula>
    </cfRule>
  </conditionalFormatting>
  <conditionalFormatting sqref="H1:H1048576">
    <cfRule type="cellIs" dxfId="153" priority="2353" operator="lessThan">
      <formula>0</formula>
    </cfRule>
  </conditionalFormatting>
  <conditionalFormatting sqref="H1:H1048576">
    <cfRule type="cellIs" dxfId="152" priority="2352" operator="lessThan">
      <formula>0</formula>
    </cfRule>
  </conditionalFormatting>
  <conditionalFormatting sqref="H1:H1048576">
    <cfRule type="cellIs" dxfId="151" priority="2351" operator="lessThan">
      <formula>0</formula>
    </cfRule>
  </conditionalFormatting>
  <conditionalFormatting sqref="H1:H1048576">
    <cfRule type="cellIs" dxfId="150" priority="2350" operator="lessThan">
      <formula>0</formula>
    </cfRule>
  </conditionalFormatting>
  <conditionalFormatting sqref="H1:H1048576">
    <cfRule type="cellIs" dxfId="149" priority="2349" operator="lessThan">
      <formula>0</formula>
    </cfRule>
  </conditionalFormatting>
  <conditionalFormatting sqref="H1:H1048576">
    <cfRule type="cellIs" dxfId="148" priority="2348" operator="lessThan">
      <formula>0</formula>
    </cfRule>
  </conditionalFormatting>
  <conditionalFormatting sqref="H1:H1048576">
    <cfRule type="cellIs" dxfId="147" priority="2347" operator="lessThan">
      <formula>0</formula>
    </cfRule>
  </conditionalFormatting>
  <conditionalFormatting sqref="H1:H1048576">
    <cfRule type="cellIs" dxfId="146" priority="2346" operator="lessThan">
      <formula>0</formula>
    </cfRule>
  </conditionalFormatting>
  <conditionalFormatting sqref="H1:H1048576">
    <cfRule type="cellIs" dxfId="145" priority="2345" operator="lessThan">
      <formula>0</formula>
    </cfRule>
  </conditionalFormatting>
  <conditionalFormatting sqref="H1:H1048576">
    <cfRule type="cellIs" dxfId="144" priority="2344" operator="lessThan">
      <formula>0</formula>
    </cfRule>
  </conditionalFormatting>
  <conditionalFormatting sqref="H1:H1048576">
    <cfRule type="cellIs" dxfId="143" priority="2343" operator="lessThan">
      <formula>0</formula>
    </cfRule>
  </conditionalFormatting>
  <conditionalFormatting sqref="H1:H1048576">
    <cfRule type="cellIs" dxfId="142" priority="2342" operator="lessThan">
      <formula>0</formula>
    </cfRule>
  </conditionalFormatting>
  <conditionalFormatting sqref="H1:H1048576">
    <cfRule type="cellIs" dxfId="141" priority="2341" operator="lessThan">
      <formula>0</formula>
    </cfRule>
  </conditionalFormatting>
  <conditionalFormatting sqref="H1:H1048576">
    <cfRule type="cellIs" dxfId="140" priority="2340" operator="lessThan">
      <formula>0</formula>
    </cfRule>
  </conditionalFormatting>
  <conditionalFormatting sqref="H1:H1048576">
    <cfRule type="cellIs" dxfId="139" priority="2339" operator="lessThan">
      <formula>0</formula>
    </cfRule>
  </conditionalFormatting>
  <conditionalFormatting sqref="H1:H1048576">
    <cfRule type="cellIs" dxfId="138" priority="2338" operator="lessThan">
      <formula>0</formula>
    </cfRule>
  </conditionalFormatting>
  <conditionalFormatting sqref="H1:H1048576">
    <cfRule type="cellIs" dxfId="137" priority="2337" operator="lessThan">
      <formula>0</formula>
    </cfRule>
  </conditionalFormatting>
  <conditionalFormatting sqref="H1:H1048576">
    <cfRule type="cellIs" dxfId="136" priority="2336" operator="lessThan">
      <formula>0</formula>
    </cfRule>
  </conditionalFormatting>
  <conditionalFormatting sqref="H1:H1048576">
    <cfRule type="cellIs" dxfId="135" priority="2335" operator="lessThan">
      <formula>0</formula>
    </cfRule>
  </conditionalFormatting>
  <conditionalFormatting sqref="H1:H1048576">
    <cfRule type="cellIs" dxfId="134" priority="2334" operator="lessThan">
      <formula>0</formula>
    </cfRule>
  </conditionalFormatting>
  <conditionalFormatting sqref="H1:H1048576">
    <cfRule type="cellIs" dxfId="133" priority="2333" operator="lessThan">
      <formula>0</formula>
    </cfRule>
  </conditionalFormatting>
  <conditionalFormatting sqref="H1:H1048576">
    <cfRule type="cellIs" dxfId="132" priority="2332" operator="lessThan">
      <formula>0</formula>
    </cfRule>
  </conditionalFormatting>
  <conditionalFormatting sqref="H1:H1048576">
    <cfRule type="cellIs" dxfId="131" priority="2331" operator="lessThan">
      <formula>0</formula>
    </cfRule>
  </conditionalFormatting>
  <conditionalFormatting sqref="H1:H1048576">
    <cfRule type="cellIs" dxfId="130" priority="2330" operator="lessThan">
      <formula>0</formula>
    </cfRule>
  </conditionalFormatting>
  <conditionalFormatting sqref="H1:H1048576">
    <cfRule type="cellIs" dxfId="129" priority="2329" operator="lessThan">
      <formula>0</formula>
    </cfRule>
  </conditionalFormatting>
  <conditionalFormatting sqref="H1:H1048576">
    <cfRule type="cellIs" dxfId="128" priority="2328" operator="lessThan">
      <formula>0</formula>
    </cfRule>
  </conditionalFormatting>
  <conditionalFormatting sqref="H1:H1048576">
    <cfRule type="cellIs" dxfId="127" priority="2327" operator="lessThan">
      <formula>0</formula>
    </cfRule>
  </conditionalFormatting>
  <conditionalFormatting sqref="H1:H1048576">
    <cfRule type="cellIs" dxfId="126" priority="2326" operator="lessThan">
      <formula>0</formula>
    </cfRule>
  </conditionalFormatting>
  <conditionalFormatting sqref="H1:H1048576">
    <cfRule type="cellIs" dxfId="125" priority="2325" operator="lessThan">
      <formula>0</formula>
    </cfRule>
  </conditionalFormatting>
  <conditionalFormatting sqref="H1:H1048576">
    <cfRule type="cellIs" dxfId="124" priority="2324" operator="lessThan">
      <formula>0</formula>
    </cfRule>
  </conditionalFormatting>
  <conditionalFormatting sqref="H1:H1048576">
    <cfRule type="cellIs" dxfId="123" priority="2323" operator="lessThan">
      <formula>0</formula>
    </cfRule>
  </conditionalFormatting>
  <conditionalFormatting sqref="H1:H1048576">
    <cfRule type="cellIs" dxfId="122" priority="2322" operator="lessThan">
      <formula>0</formula>
    </cfRule>
  </conditionalFormatting>
  <conditionalFormatting sqref="H1:H1048576">
    <cfRule type="cellIs" dxfId="121" priority="2321" operator="lessThan">
      <formula>0</formula>
    </cfRule>
  </conditionalFormatting>
  <conditionalFormatting sqref="H1:H1048576">
    <cfRule type="cellIs" dxfId="120" priority="2320" operator="lessThan">
      <formula>0</formula>
    </cfRule>
  </conditionalFormatting>
  <conditionalFormatting sqref="H1:H1048576">
    <cfRule type="cellIs" dxfId="119" priority="2319" operator="lessThan">
      <formula>0</formula>
    </cfRule>
  </conditionalFormatting>
  <conditionalFormatting sqref="H1:H1048576">
    <cfRule type="cellIs" dxfId="118" priority="2318" operator="lessThan">
      <formula>0</formula>
    </cfRule>
  </conditionalFormatting>
  <conditionalFormatting sqref="H1:H1048576">
    <cfRule type="cellIs" dxfId="117" priority="2317" operator="lessThan">
      <formula>0</formula>
    </cfRule>
  </conditionalFormatting>
  <conditionalFormatting sqref="H1:H1048576">
    <cfRule type="cellIs" dxfId="116" priority="2316" operator="lessThan">
      <formula>0</formula>
    </cfRule>
  </conditionalFormatting>
  <conditionalFormatting sqref="H1:H1048576">
    <cfRule type="cellIs" dxfId="115" priority="2315" operator="lessThan">
      <formula>0</formula>
    </cfRule>
  </conditionalFormatting>
  <conditionalFormatting sqref="H1:H1048576">
    <cfRule type="cellIs" dxfId="114" priority="2314" operator="lessThan">
      <formula>0</formula>
    </cfRule>
  </conditionalFormatting>
  <conditionalFormatting sqref="H1:H1048576">
    <cfRule type="cellIs" dxfId="113" priority="2313" operator="lessThan">
      <formula>0</formula>
    </cfRule>
  </conditionalFormatting>
  <conditionalFormatting sqref="H1:H1048576">
    <cfRule type="cellIs" dxfId="112" priority="2312" operator="lessThan">
      <formula>0</formula>
    </cfRule>
  </conditionalFormatting>
  <conditionalFormatting sqref="H1:H1048576">
    <cfRule type="cellIs" dxfId="111" priority="2311" operator="lessThan">
      <formula>0</formula>
    </cfRule>
  </conditionalFormatting>
  <conditionalFormatting sqref="H1:H1048576">
    <cfRule type="cellIs" dxfId="110" priority="2310" operator="lessThan">
      <formula>0</formula>
    </cfRule>
  </conditionalFormatting>
  <conditionalFormatting sqref="H1:H1048576">
    <cfRule type="cellIs" dxfId="109" priority="2309" operator="lessThan">
      <formula>0</formula>
    </cfRule>
  </conditionalFormatting>
  <conditionalFormatting sqref="H1:H1048576">
    <cfRule type="cellIs" dxfId="108" priority="2308" operator="lessThan">
      <formula>0</formula>
    </cfRule>
  </conditionalFormatting>
  <conditionalFormatting sqref="H1:H1048576">
    <cfRule type="cellIs" dxfId="107" priority="2307" operator="lessThan">
      <formula>0</formula>
    </cfRule>
  </conditionalFormatting>
  <conditionalFormatting sqref="H1:H1048576">
    <cfRule type="cellIs" dxfId="106" priority="2306" operator="lessThan">
      <formula>0</formula>
    </cfRule>
  </conditionalFormatting>
  <conditionalFormatting sqref="H1:H1048576">
    <cfRule type="cellIs" dxfId="105" priority="2305" operator="lessThan">
      <formula>0</formula>
    </cfRule>
  </conditionalFormatting>
  <conditionalFormatting sqref="H1:H1048576">
    <cfRule type="cellIs" dxfId="104" priority="2304" operator="lessThan">
      <formula>0</formula>
    </cfRule>
  </conditionalFormatting>
  <conditionalFormatting sqref="H1:H1048576">
    <cfRule type="cellIs" dxfId="103" priority="2303" operator="lessThan">
      <formula>0</formula>
    </cfRule>
  </conditionalFormatting>
  <conditionalFormatting sqref="H1:H1048576">
    <cfRule type="cellIs" dxfId="102" priority="2302" operator="lessThan">
      <formula>0</formula>
    </cfRule>
  </conditionalFormatting>
  <conditionalFormatting sqref="H1:H1048576">
    <cfRule type="cellIs" dxfId="101" priority="2301" operator="lessThan">
      <formula>0</formula>
    </cfRule>
  </conditionalFormatting>
  <conditionalFormatting sqref="H1:H1048576">
    <cfRule type="cellIs" dxfId="100" priority="2300" operator="lessThan">
      <formula>0</formula>
    </cfRule>
  </conditionalFormatting>
  <conditionalFormatting sqref="H1:H1048576">
    <cfRule type="cellIs" dxfId="99" priority="2299" operator="lessThan">
      <formula>0</formula>
    </cfRule>
  </conditionalFormatting>
  <conditionalFormatting sqref="H1:H1048576">
    <cfRule type="cellIs" dxfId="98" priority="2298" operator="lessThan">
      <formula>0</formula>
    </cfRule>
  </conditionalFormatting>
  <conditionalFormatting sqref="H1:H1048576">
    <cfRule type="cellIs" dxfId="97" priority="2297" operator="lessThan">
      <formula>0</formula>
    </cfRule>
  </conditionalFormatting>
  <conditionalFormatting sqref="H1:H1048576">
    <cfRule type="cellIs" dxfId="96" priority="2296" operator="lessThan">
      <formula>0</formula>
    </cfRule>
  </conditionalFormatting>
  <conditionalFormatting sqref="H1:H1048576">
    <cfRule type="cellIs" dxfId="95" priority="2295" operator="lessThan">
      <formula>0</formula>
    </cfRule>
  </conditionalFormatting>
  <conditionalFormatting sqref="H1:H1048576">
    <cfRule type="cellIs" dxfId="94" priority="2294" operator="lessThan">
      <formula>0</formula>
    </cfRule>
  </conditionalFormatting>
  <conditionalFormatting sqref="H1:H1048576">
    <cfRule type="cellIs" dxfId="93" priority="2293" operator="lessThan">
      <formula>0</formula>
    </cfRule>
  </conditionalFormatting>
  <conditionalFormatting sqref="H1:H1048576">
    <cfRule type="cellIs" dxfId="92" priority="2292" operator="lessThan">
      <formula>0</formula>
    </cfRule>
  </conditionalFormatting>
  <conditionalFormatting sqref="H1:H1048576">
    <cfRule type="cellIs" dxfId="91" priority="2291" operator="lessThan">
      <formula>0</formula>
    </cfRule>
  </conditionalFormatting>
  <conditionalFormatting sqref="H1:H1048576">
    <cfRule type="cellIs" dxfId="90" priority="2290" operator="lessThan">
      <formula>0</formula>
    </cfRule>
  </conditionalFormatting>
  <conditionalFormatting sqref="H1:H1048576">
    <cfRule type="cellIs" dxfId="89" priority="2289" operator="lessThan">
      <formula>0</formula>
    </cfRule>
  </conditionalFormatting>
  <conditionalFormatting sqref="H1:H1048576">
    <cfRule type="cellIs" dxfId="88" priority="2288" operator="lessThan">
      <formula>0</formula>
    </cfRule>
  </conditionalFormatting>
  <conditionalFormatting sqref="H1:H1048576">
    <cfRule type="cellIs" dxfId="87" priority="2287" operator="lessThan">
      <formula>0</formula>
    </cfRule>
  </conditionalFormatting>
  <conditionalFormatting sqref="H1:H1048576">
    <cfRule type="cellIs" dxfId="86" priority="2286" operator="lessThan">
      <formula>0</formula>
    </cfRule>
  </conditionalFormatting>
  <conditionalFormatting sqref="H1:H1048576">
    <cfRule type="cellIs" dxfId="85" priority="2285" operator="lessThan">
      <formula>0</formula>
    </cfRule>
  </conditionalFormatting>
  <conditionalFormatting sqref="H1:H1048576">
    <cfRule type="cellIs" dxfId="84" priority="2284" operator="lessThan">
      <formula>0</formula>
    </cfRule>
  </conditionalFormatting>
  <conditionalFormatting sqref="H1:H1048576">
    <cfRule type="cellIs" dxfId="83" priority="2283" operator="lessThan">
      <formula>0</formula>
    </cfRule>
  </conditionalFormatting>
  <conditionalFormatting sqref="H1:H1048576">
    <cfRule type="cellIs" dxfId="82" priority="2282" operator="lessThan">
      <formula>0</formula>
    </cfRule>
  </conditionalFormatting>
  <conditionalFormatting sqref="H1:H1048576">
    <cfRule type="cellIs" dxfId="81" priority="2281" operator="lessThan">
      <formula>0</formula>
    </cfRule>
  </conditionalFormatting>
  <conditionalFormatting sqref="H1:H1048576">
    <cfRule type="cellIs" dxfId="80" priority="2280" operator="lessThan">
      <formula>0</formula>
    </cfRule>
  </conditionalFormatting>
  <conditionalFormatting sqref="H1:H1048576">
    <cfRule type="cellIs" dxfId="79" priority="2279" operator="lessThan">
      <formula>0</formula>
    </cfRule>
  </conditionalFormatting>
  <conditionalFormatting sqref="H1:H1048576">
    <cfRule type="cellIs" dxfId="78" priority="2278" operator="lessThan">
      <formula>0</formula>
    </cfRule>
  </conditionalFormatting>
  <conditionalFormatting sqref="H1:H1048576">
    <cfRule type="cellIs" dxfId="77" priority="2277" operator="lessThan">
      <formula>0</formula>
    </cfRule>
  </conditionalFormatting>
  <conditionalFormatting sqref="H1:H1048576">
    <cfRule type="cellIs" dxfId="76" priority="2276" operator="lessThan">
      <formula>0</formula>
    </cfRule>
  </conditionalFormatting>
  <conditionalFormatting sqref="H1:H1048576">
    <cfRule type="cellIs" dxfId="75" priority="2275" operator="lessThan">
      <formula>0</formula>
    </cfRule>
  </conditionalFormatting>
  <conditionalFormatting sqref="H1:H1048576">
    <cfRule type="cellIs" dxfId="74" priority="2274" operator="lessThan">
      <formula>0</formula>
    </cfRule>
  </conditionalFormatting>
  <conditionalFormatting sqref="H1:H1048576">
    <cfRule type="cellIs" dxfId="73" priority="2273" operator="lessThan">
      <formula>0</formula>
    </cfRule>
  </conditionalFormatting>
  <conditionalFormatting sqref="H1:H1048576">
    <cfRule type="cellIs" dxfId="72" priority="2272" operator="lessThan">
      <formula>0</formula>
    </cfRule>
  </conditionalFormatting>
  <conditionalFormatting sqref="H1:H1048576">
    <cfRule type="cellIs" dxfId="71" priority="2271" operator="lessThan">
      <formula>0</formula>
    </cfRule>
  </conditionalFormatting>
  <conditionalFormatting sqref="H1:H1048576">
    <cfRule type="cellIs" dxfId="70" priority="2270" operator="lessThan">
      <formula>0</formula>
    </cfRule>
  </conditionalFormatting>
  <conditionalFormatting sqref="H1:H1048576">
    <cfRule type="cellIs" dxfId="69" priority="2269" operator="lessThan">
      <formula>0</formula>
    </cfRule>
  </conditionalFormatting>
  <conditionalFormatting sqref="H1:H1048576">
    <cfRule type="cellIs" dxfId="68" priority="2268" operator="lessThan">
      <formula>0</formula>
    </cfRule>
  </conditionalFormatting>
  <conditionalFormatting sqref="H1:H1048576">
    <cfRule type="cellIs" dxfId="67" priority="2267" operator="lessThan">
      <formula>0</formula>
    </cfRule>
  </conditionalFormatting>
  <conditionalFormatting sqref="H1:H1048576">
    <cfRule type="cellIs" dxfId="66" priority="2266" operator="lessThan">
      <formula>0</formula>
    </cfRule>
  </conditionalFormatting>
  <conditionalFormatting sqref="H1:H1048576">
    <cfRule type="cellIs" dxfId="65" priority="2265" operator="lessThan">
      <formula>0</formula>
    </cfRule>
  </conditionalFormatting>
  <conditionalFormatting sqref="H1:H1048576">
    <cfRule type="cellIs" dxfId="64" priority="2264" operator="lessThan">
      <formula>0</formula>
    </cfRule>
  </conditionalFormatting>
  <conditionalFormatting sqref="H1:H1048576">
    <cfRule type="cellIs" dxfId="63" priority="2263" operator="lessThan">
      <formula>0</formula>
    </cfRule>
  </conditionalFormatting>
  <conditionalFormatting sqref="H1:H1048576">
    <cfRule type="cellIs" dxfId="62" priority="2262" operator="lessThan">
      <formula>0</formula>
    </cfRule>
  </conditionalFormatting>
  <conditionalFormatting sqref="H1:H1048576">
    <cfRule type="cellIs" dxfId="61" priority="2261" operator="lessThan">
      <formula>0</formula>
    </cfRule>
  </conditionalFormatting>
  <conditionalFormatting sqref="H1:H1048576">
    <cfRule type="cellIs" dxfId="60" priority="2260" operator="lessThan">
      <formula>0</formula>
    </cfRule>
  </conditionalFormatting>
  <conditionalFormatting sqref="H1:H1048576">
    <cfRule type="cellIs" dxfId="59" priority="2259" operator="lessThan">
      <formula>0</formula>
    </cfRule>
  </conditionalFormatting>
  <conditionalFormatting sqref="H1:H1048576">
    <cfRule type="cellIs" dxfId="58" priority="2258" operator="lessThan">
      <formula>0</formula>
    </cfRule>
  </conditionalFormatting>
  <conditionalFormatting sqref="H1:H1048576">
    <cfRule type="cellIs" dxfId="57" priority="2257" operator="lessThan">
      <formula>0</formula>
    </cfRule>
  </conditionalFormatting>
  <conditionalFormatting sqref="H1:H1048576">
    <cfRule type="cellIs" dxfId="56" priority="2256" operator="lessThan">
      <formula>0</formula>
    </cfRule>
  </conditionalFormatting>
  <conditionalFormatting sqref="H1:H1048576">
    <cfRule type="cellIs" dxfId="55" priority="2255" operator="lessThan">
      <formula>0</formula>
    </cfRule>
  </conditionalFormatting>
  <conditionalFormatting sqref="H1:H1048576">
    <cfRule type="cellIs" dxfId="54" priority="2254" operator="lessThan">
      <formula>0</formula>
    </cfRule>
  </conditionalFormatting>
  <conditionalFormatting sqref="H1:H1048576">
    <cfRule type="cellIs" dxfId="53" priority="2253" operator="lessThan">
      <formula>0</formula>
    </cfRule>
  </conditionalFormatting>
  <conditionalFormatting sqref="H1:H1048576">
    <cfRule type="cellIs" dxfId="52" priority="2252" operator="lessThan">
      <formula>0</formula>
    </cfRule>
  </conditionalFormatting>
  <conditionalFormatting sqref="H1:H1048576">
    <cfRule type="cellIs" dxfId="51" priority="2251" operator="lessThan">
      <formula>0</formula>
    </cfRule>
  </conditionalFormatting>
  <conditionalFormatting sqref="H1:H1048576">
    <cfRule type="cellIs" dxfId="50" priority="2250" operator="lessThan">
      <formula>0</formula>
    </cfRule>
  </conditionalFormatting>
  <conditionalFormatting sqref="H1:H1048576">
    <cfRule type="cellIs" dxfId="49" priority="2249" operator="lessThan">
      <formula>0</formula>
    </cfRule>
  </conditionalFormatting>
  <conditionalFormatting sqref="H1:H1048576">
    <cfRule type="cellIs" dxfId="48" priority="2248" operator="lessThan">
      <formula>0</formula>
    </cfRule>
  </conditionalFormatting>
  <conditionalFormatting sqref="H1:H1048576">
    <cfRule type="cellIs" dxfId="47" priority="2247" operator="lessThan">
      <formula>0</formula>
    </cfRule>
  </conditionalFormatting>
  <conditionalFormatting sqref="B1:E1048576">
    <cfRule type="cellIs" dxfId="46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8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E6" sqref="E6"/>
    </sheetView>
  </sheetViews>
  <sheetFormatPr defaultRowHeight="15" outlineLevelCol="2"/>
  <cols>
    <col min="1" max="1" width="2.140625" style="336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331.02</v>
      </c>
      <c r="D1" s="172">
        <f t="shared" ref="D1:D10" si="0">C1/E1-1</f>
        <v>-6.6618653222902946E-3</v>
      </c>
      <c r="E1" s="239">
        <f>_xll.BDP(B1&amp;" EQUITY","PX_YEST_CLOSE")</f>
        <v>333.24</v>
      </c>
      <c r="H1" t="s">
        <v>6</v>
      </c>
      <c r="I1" s="173" cm="1">
        <f t="array" ref="I1">_xll.BDP(H1&amp;" EQUITY","LAST_PRICE")</f>
        <v>86.22</v>
      </c>
      <c r="J1" s="172">
        <f t="shared" ref="J1:J10" si="1">I1/K1-1</f>
        <v>1.3280056410859054E-2</v>
      </c>
      <c r="K1" s="239">
        <f>_xll.BDP(H1&amp;" EQUITY","PX_YEST_CLOSE")</f>
        <v>85.09</v>
      </c>
      <c r="M1" s="5">
        <f>J48/4</f>
        <v>-2.0449897750511314E-3</v>
      </c>
      <c r="P1" s="50"/>
      <c r="Q1" t="s">
        <v>1912</v>
      </c>
      <c r="R1" s="5">
        <f>SUM(U23:U52)</f>
        <v>2.0657671589861901E-2</v>
      </c>
      <c r="S1" s="5">
        <f>T1/R1/10000</f>
        <v>-2.2493020648719428E-3</v>
      </c>
      <c r="T1" s="276">
        <f>SUM(V23:V52)</f>
        <v>-0.46465343362522848</v>
      </c>
      <c r="U1" s="412"/>
      <c r="V1" s="368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192.565</v>
      </c>
      <c r="D2" s="172">
        <f t="shared" si="0"/>
        <v>5.4563492063490759E-3</v>
      </c>
      <c r="E2" s="239" cm="1">
        <f t="array" ref="E2">_xll.BDP(B2&amp;" EQUITY","PX_YEST_CLOSE")</f>
        <v>191.52</v>
      </c>
      <c r="H2" t="s">
        <v>89</v>
      </c>
      <c r="I2" s="173" cm="1">
        <f t="array" ref="I2">_xll.BDP(H2&amp;" EQUITY","LAST_PRICE")</f>
        <v>92.355000000000004</v>
      </c>
      <c r="J2" s="172">
        <f t="shared" si="1"/>
        <v>-4.8475169997939438E-2</v>
      </c>
      <c r="K2" s="239">
        <f>_xll.BDP(H2&amp;" EQUITY","PX_YEST_CLOSE")</f>
        <v>97.06</v>
      </c>
      <c r="O2" s="50"/>
      <c r="P2" s="50"/>
      <c r="R2" s="5"/>
      <c r="S2" s="5"/>
      <c r="T2" s="276"/>
      <c r="U2" s="369"/>
      <c r="V2" s="368"/>
      <c r="W2" s="276">
        <f>W5/W6</f>
        <v>-0.33569916977492387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339.5</v>
      </c>
      <c r="D3" s="172">
        <f t="shared" si="0"/>
        <v>-8.1799591002045258E-3</v>
      </c>
      <c r="E3" s="239">
        <f>_xll.BDP(B3&amp;" EQUITY","PX_YEST_CLOSE")</f>
        <v>342.3</v>
      </c>
      <c r="H3" t="s">
        <v>136</v>
      </c>
      <c r="I3" s="173" cm="1">
        <f t="array" ref="I3">_xll.BDP(H3&amp;" EQUITY","LAST_PRICE")</f>
        <v>417.41</v>
      </c>
      <c r="J3" s="172">
        <f t="shared" si="1"/>
        <v>1.8721647504980066E-3</v>
      </c>
      <c r="K3" s="239" cm="1">
        <f t="array" ref="K3">_xll.BDP(H3&amp;" EQUITY","PX_YEST_CLOSE")</f>
        <v>416.63</v>
      </c>
      <c r="L3" s="174"/>
      <c r="O3" s="5"/>
      <c r="R3" s="5"/>
      <c r="S3" s="5"/>
      <c r="T3" s="276"/>
      <c r="U3" s="276">
        <f>U5/-U6</f>
        <v>3.8219936163322976</v>
      </c>
      <c r="W3" s="45" t="s">
        <v>154</v>
      </c>
      <c r="X3" s="5">
        <f>_xll.BDP("SPY Equity","LAST_PRICE")/_xll.BDP("SPY Equity","PX_YEST_CLOSE")-1</f>
        <v>-1.1072445428661482E-3</v>
      </c>
      <c r="AC3" s="93" cm="1">
        <f t="array" ref="AC3">_xll.BDP("brl Curncy","LAST_PRICE")</f>
        <v>5.1898</v>
      </c>
      <c r="AD3" s="8">
        <f>AD5*$AC$3</f>
        <v>11656472795.906401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435.11</v>
      </c>
      <c r="D4" s="172">
        <f t="shared" si="0"/>
        <v>-3.9055320713099473E-4</v>
      </c>
      <c r="E4" s="239" cm="1">
        <f t="array" ref="E4">_xll.BDP(B4&amp;" EQUITY","PX_YEST_CLOSE")</f>
        <v>435.28</v>
      </c>
      <c r="F4" s="7"/>
      <c r="G4" s="7"/>
      <c r="H4" t="s">
        <v>0</v>
      </c>
      <c r="I4" s="173" cm="1">
        <f t="array" ref="I4">_xll.BDP(H4&amp;" EQUITY","LAST_PRICE")</f>
        <v>694.65</v>
      </c>
      <c r="J4" s="172">
        <f t="shared" si="1"/>
        <v>-1.1072445428661482E-3</v>
      </c>
      <c r="K4" s="239" cm="1">
        <f t="array" ref="K4">_xll.BDP(H4&amp;" EQUITY","PX_YEST_CLOSE")</f>
        <v>695.42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1872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241.8</v>
      </c>
      <c r="D5" s="172">
        <f t="shared" si="0"/>
        <v>-4.9792189621825633E-3</v>
      </c>
      <c r="E5" s="239" cm="1">
        <f t="array" ref="E5">_xll.BDP(B5&amp;" EQUITY","PX_YEST_CLOSE")</f>
        <v>243.01</v>
      </c>
      <c r="H5" t="s">
        <v>3</v>
      </c>
      <c r="I5" s="175" cm="1">
        <f t="array" ref="I5">_xll.BDP(H5&amp;" EQUITY","LAST_PRICE")</f>
        <v>198.595</v>
      </c>
      <c r="J5" s="172">
        <f t="shared" si="1"/>
        <v>1.689700393422866E-3</v>
      </c>
      <c r="K5" s="239" cm="1">
        <f t="array" ref="K5">_xll.BDP(H5&amp;" EQUITY","PX_YEST_CLOSE")</f>
        <v>198.26</v>
      </c>
      <c r="L5" s="174"/>
      <c r="O5" s="27">
        <f>SUMIF(O12:O57,"&gt;0")</f>
        <v>1.9565871047563996E-2</v>
      </c>
      <c r="P5" s="20">
        <f>SUMIF($F$12:$F$57,"Long",P12:P57)</f>
        <v>0.18730086954134545</v>
      </c>
      <c r="R5" s="27">
        <f>SUMIF(R12:R57,"&gt;0")</f>
        <v>1.0765365720647065E-2</v>
      </c>
      <c r="S5" s="170">
        <f>SUMIF($F$12:$F$57,"Long",S12:S57)</f>
        <v>-0.54166322067014239</v>
      </c>
      <c r="T5" t="s">
        <v>99</v>
      </c>
      <c r="U5" s="33">
        <f>SUMIF($F$12:$F$57,"Long",U12:U57)</f>
        <v>2.4733721736894553E-2</v>
      </c>
      <c r="V5" s="39">
        <f>SUMIF($F$12:$F$57,"Long",V12:V57)</f>
        <v>-0.35436235112879666</v>
      </c>
      <c r="W5" s="5">
        <f>V5/U5/10000</f>
        <v>-1.432709379115416E-3</v>
      </c>
      <c r="X5" s="5">
        <f>W5-$X$3</f>
        <v>-3.2546483624926788E-4</v>
      </c>
      <c r="Y5" s="55">
        <f>$U5*X5*10000</f>
        <v>-8.049956694933344E-2</v>
      </c>
      <c r="Z5" s="9">
        <f>U5*$X$3*10000</f>
        <v>-0.27386278417946319</v>
      </c>
      <c r="AA5" s="33">
        <f>SUMIF($F$12:$F$57,"Long",AA12:AA57)</f>
        <v>3.230993321791658E-2</v>
      </c>
      <c r="AB5" s="276">
        <f>AA5/U5</f>
        <v>1.3063110178732551</v>
      </c>
      <c r="AC5" s="87" t="s">
        <v>167</v>
      </c>
      <c r="AD5" s="88">
        <v>2246035068</v>
      </c>
      <c r="AE5" s="89">
        <f>AD5</f>
        <v>2246035068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258.41000000000003</v>
      </c>
      <c r="D6" s="172">
        <f t="shared" si="0"/>
        <v>7.6821088753704636E-3</v>
      </c>
      <c r="E6" s="239" cm="1">
        <f t="array" ref="E6">_xll.BDP(B6&amp;" EQUITY","PX_YEST_CLOSE")</f>
        <v>256.44</v>
      </c>
      <c r="H6" t="s">
        <v>135</v>
      </c>
      <c r="I6" s="176" cm="1">
        <f t="array" ref="I6">_xll.BDP(H6&amp;" EQUITY","LAST_PRICE")</f>
        <v>629.82000000000005</v>
      </c>
      <c r="J6" s="172">
        <f t="shared" si="1"/>
        <v>-5.3693818893907341E-3</v>
      </c>
      <c r="K6" s="239" cm="1">
        <f t="array" ref="K6">_xll.BDP(H6&amp;" EQUITY","PX_YEST_CLOSE")</f>
        <v>633.22</v>
      </c>
      <c r="L6" s="1">
        <f>$S$1/J6</f>
        <v>0.41891266279947392</v>
      </c>
      <c r="O6" s="27">
        <f>SUMIF(O12:O57,"&lt;0")</f>
        <v>-8.4299749730914302E-3</v>
      </c>
      <c r="P6" s="20">
        <f>SUMIF($F$12:$F$57,"Short",P12:P57)</f>
        <v>-0.1251148238341912</v>
      </c>
      <c r="R6" s="27">
        <f>SUMIF(R12:R57,"&lt;0")</f>
        <v>-1.859805734814606E-3</v>
      </c>
      <c r="S6" s="170">
        <f>SUMIF($F$12:$F$57,"Short",S12:S57)</f>
        <v>-0.15107479454080414</v>
      </c>
      <c r="T6" t="s">
        <v>100</v>
      </c>
      <c r="U6" s="33">
        <f>SUMIF($F$12:$F$57,"Short",U12:U57)</f>
        <v>-6.4714189032659322E-3</v>
      </c>
      <c r="V6" s="39">
        <f>SUMIF($F$12:$F$57,"Short",V12:V57)</f>
        <v>-0.27618961837499539</v>
      </c>
      <c r="W6" s="5">
        <f>V6/U6/10000</f>
        <v>4.2678371235651382E-3</v>
      </c>
      <c r="X6" s="5">
        <f>$X$3-W6</f>
        <v>-5.3750816664312863E-3</v>
      </c>
      <c r="Y6" s="55">
        <f>-$U6*X6*10000</f>
        <v>-0.34784405102741572</v>
      </c>
      <c r="Z6" s="9">
        <f>U6*$X$3*10000</f>
        <v>7.1654432652420372E-2</v>
      </c>
      <c r="AA6" s="33">
        <f>SUMIF($F$12:$F$57,"Short",AA12:AA57)</f>
        <v>-6.6375534552429076E-3</v>
      </c>
      <c r="AB6" s="276">
        <f>AA6/U6</f>
        <v>1.0256720441776892</v>
      </c>
      <c r="AC6" s="87" t="s">
        <v>168</v>
      </c>
      <c r="AD6" s="133">
        <v>150129038</v>
      </c>
      <c r="AE6" s="89">
        <f>AD6</f>
        <v>150129038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432.33600000000001</v>
      </c>
      <c r="D7" s="172">
        <f t="shared" si="0"/>
        <v>-0.10234827564728111</v>
      </c>
      <c r="E7" s="239" cm="1">
        <f t="array" ref="E7">_xll.BDP(B7&amp;" EQUITY","PX_YEST_CLOSE")</f>
        <v>481.63</v>
      </c>
      <c r="H7" t="s">
        <v>143</v>
      </c>
      <c r="I7" s="175" cm="1">
        <f t="array" ref="I7">_xll.BDP(H7&amp;" EQUITY","LAST_PRICE")</f>
        <v>105.46</v>
      </c>
      <c r="J7" s="172">
        <f t="shared" si="1"/>
        <v>-7.0614819696827036E-3</v>
      </c>
      <c r="K7" s="239">
        <f>_xll.BDP(H7&amp;" EQUITY","PX_YEST_CLOSE")</f>
        <v>106.21</v>
      </c>
      <c r="L7" s="174"/>
      <c r="M7"/>
      <c r="N7" s="28"/>
      <c r="O7" s="29">
        <f>O5+O6</f>
        <v>1.1135896074472566E-2</v>
      </c>
      <c r="P7" s="169">
        <f>SUM(P12:P57)</f>
        <v>-0.40754221588462441</v>
      </c>
      <c r="Q7" s="28"/>
      <c r="R7" s="29">
        <f>R5+R6</f>
        <v>8.9055599858324595E-3</v>
      </c>
      <c r="S7" s="169">
        <f>SUM(S12:S57)</f>
        <v>-0.98424559528484645</v>
      </c>
      <c r="T7" s="448" t="s">
        <v>2281</v>
      </c>
      <c r="U7" s="344">
        <f>U5+U6</f>
        <v>1.8262302833628619E-2</v>
      </c>
      <c r="V7" s="345">
        <f>V5+V6</f>
        <v>-0.630551969503792</v>
      </c>
      <c r="W7" s="44">
        <f>V7/U7/10000</f>
        <v>-3.4527516888104566E-3</v>
      </c>
      <c r="X7" s="44"/>
      <c r="Y7" s="56">
        <f>Y5+Y6</f>
        <v>-0.42834361797674914</v>
      </c>
      <c r="Z7" s="47">
        <f>Z5+Z6</f>
        <v>-0.20220835152704281</v>
      </c>
      <c r="AA7" s="34">
        <f>AA5+AA6</f>
        <v>2.5672379762673673E-2</v>
      </c>
      <c r="AB7" s="43"/>
      <c r="AC7" s="90" t="s">
        <v>169</v>
      </c>
      <c r="AD7" s="91">
        <f>AD5+AD6</f>
        <v>2396164106</v>
      </c>
      <c r="AE7" s="92">
        <f>AE5+AE6</f>
        <v>2396164106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338.47</v>
      </c>
      <c r="D8" s="172">
        <f t="shared" si="0"/>
        <v>7.3212106782536424E-3</v>
      </c>
      <c r="E8" s="239" cm="1">
        <f t="array" ref="E8">_xll.BDP(B8&amp;" EQUITY","PX_YEST_CLOSE")</f>
        <v>336.01</v>
      </c>
      <c r="F8" s="16"/>
      <c r="G8" s="16"/>
      <c r="H8" t="s">
        <v>144</v>
      </c>
      <c r="I8" s="175" cm="1">
        <f t="array" ref="I8">_xll.BDP(H8&amp;" EQUITY","LAST_PRICE")</f>
        <v>263.48500000000001</v>
      </c>
      <c r="J8" s="172">
        <f t="shared" si="1"/>
        <v>7.0262058488412826E-4</v>
      </c>
      <c r="K8" s="239" cm="1">
        <f t="array" ref="K8">_xll.BDP(H8&amp;" EQUITY","PX_YEST_CLOSE")</f>
        <v>263.3</v>
      </c>
      <c r="M8"/>
      <c r="N8" s="6"/>
      <c r="O8" s="30">
        <f>O5-O6</f>
        <v>2.7995846020655427E-2</v>
      </c>
      <c r="P8" s="31"/>
      <c r="Q8" s="6"/>
      <c r="R8" s="30">
        <f>R5-R6</f>
        <v>1.2625171455461671E-2</v>
      </c>
      <c r="S8" s="31"/>
      <c r="T8" s="6" t="s">
        <v>67</v>
      </c>
      <c r="U8" s="35">
        <f>U5-U6</f>
        <v>3.1205140640160486E-2</v>
      </c>
      <c r="V8" s="41"/>
      <c r="AA8" s="35">
        <f>AA5-AA6</f>
        <v>3.894748667315949E-2</v>
      </c>
      <c r="AB8" s="43"/>
      <c r="AD8" s="49">
        <f>AD5/AD7</f>
        <v>0.93734609510923039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740.35</v>
      </c>
      <c r="D9" s="172">
        <f t="shared" si="0"/>
        <v>0.10709853004949688</v>
      </c>
      <c r="E9" s="239">
        <f>_xll.BDP(B9&amp;" EQUITY","PX_YEST_CLOSE")</f>
        <v>668.73</v>
      </c>
      <c r="F9" s="16"/>
      <c r="G9" s="16"/>
      <c r="H9" t="s">
        <v>484</v>
      </c>
      <c r="I9" s="175" cm="1">
        <f t="array" ref="I9">_xll.BDP(H9&amp;" EQUITY","LAST_PRICE")</f>
        <v>94.13</v>
      </c>
      <c r="J9" s="172">
        <f t="shared" si="1"/>
        <v>2.33746466623177E-2</v>
      </c>
      <c r="K9" s="239" cm="1">
        <f t="array" ref="K9">_xll.BDP(H9&amp;" EQUITY","PX_YEST_CLOSE")</f>
        <v>91.98</v>
      </c>
      <c r="N9" s="6"/>
      <c r="O9" s="30"/>
      <c r="P9" s="46"/>
      <c r="Q9" s="6"/>
      <c r="R9" s="30"/>
      <c r="S9" s="46"/>
      <c r="T9" s="339" t="s">
        <v>2138</v>
      </c>
      <c r="U9" s="340">
        <f>SUM(U19:U19)</f>
        <v>1.0682269817942451E-3</v>
      </c>
      <c r="V9" s="341">
        <f>SUM(V19:V19)</f>
        <v>-0.56338587019965947</v>
      </c>
      <c r="W9" s="123">
        <v>2.5</v>
      </c>
      <c r="X9" s="221">
        <v>0.25</v>
      </c>
      <c r="AD9" s="18"/>
      <c r="AF9" s="3"/>
      <c r="AG9" s="276"/>
      <c r="AH9" s="32"/>
      <c r="AI9"/>
    </row>
    <row r="10" spans="1:39">
      <c r="B10" t="s">
        <v>1887</v>
      </c>
      <c r="C10" s="175" cm="1">
        <f t="array" ref="C10">_xll.BDP(B10&amp;" EQUITY","LAST_PRICE")</f>
        <v>169.1</v>
      </c>
      <c r="D10" s="172">
        <f t="shared" si="0"/>
        <v>-2.141203703703709E-2</v>
      </c>
      <c r="E10" s="239">
        <f>_xll.BDP(B10&amp;" EQUITY","PX_YEST_CLOSE")</f>
        <v>172.8</v>
      </c>
      <c r="F10" s="13"/>
      <c r="G10" s="13"/>
      <c r="H10" t="s">
        <v>131</v>
      </c>
      <c r="I10" s="175" cm="1">
        <f t="array" ref="I10">_xll.BDP(H10&amp;" EQUITY","LAST_PRICE")</f>
        <v>107.51</v>
      </c>
      <c r="J10" s="172">
        <f t="shared" si="1"/>
        <v>-4.1458630527817286E-2</v>
      </c>
      <c r="K10" s="239">
        <f>_xll.BDP(H10&amp;" EQUITY","PX_YEST_CLOSE")</f>
        <v>112.16</v>
      </c>
      <c r="N10" s="6"/>
      <c r="P10" s="50">
        <f>SUM(Tabelad[D1 P&amp;L bps])</f>
        <v>-0.40754221588462441</v>
      </c>
      <c r="Q10" s="6"/>
      <c r="S10" s="50">
        <f>SUM(Tabelad[Options P&amp;L bps])</f>
        <v>-0.98424559528484645</v>
      </c>
      <c r="T10" s="342" t="s">
        <v>2282</v>
      </c>
      <c r="U10" s="342">
        <f>U7+U9</f>
        <v>1.9330529815422864E-2</v>
      </c>
      <c r="V10" s="343">
        <f>V7+V9</f>
        <v>-1.1939378397034515</v>
      </c>
      <c r="W10" s="17">
        <f>AE7*W9/10000</f>
        <v>599041.02650000004</v>
      </c>
      <c r="X10" s="347"/>
      <c r="Y10" s="54">
        <v>0.35</v>
      </c>
      <c r="Z10" s="38">
        <f>SUM(Tabelad[Beta Adj])</f>
        <v>5.3569147130521273</v>
      </c>
      <c r="AA10" s="71" t="e">
        <f>AA7-SUM(#REF!)</f>
        <v>#REF!</v>
      </c>
      <c r="AD10" s="15">
        <f>SUM(Tabelad[Daily P&amp;L])</f>
        <v>-91535.410856729286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SUM(AH12:AH57)+#REF!+#REF!</f>
        <v>#VALUE!</v>
      </c>
      <c r="AI10"/>
    </row>
    <row r="11" spans="1:39" s="10" customFormat="1" ht="36" customHeight="1" thickBot="1">
      <c r="A11" s="385"/>
      <c r="B11" s="57" t="s">
        <v>173</v>
      </c>
      <c r="C11" s="57" t="s">
        <v>1873</v>
      </c>
      <c r="D11" s="57" t="s">
        <v>1874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7" t="s">
        <v>178</v>
      </c>
      <c r="J11" s="418" t="s">
        <v>103</v>
      </c>
      <c r="K11" s="439" t="s">
        <v>179</v>
      </c>
      <c r="L11" s="419" t="s">
        <v>180</v>
      </c>
      <c r="M11" s="420" t="s">
        <v>181</v>
      </c>
      <c r="N11" s="419" t="s">
        <v>182</v>
      </c>
      <c r="O11" s="57" t="s">
        <v>155</v>
      </c>
      <c r="P11" s="418" t="s">
        <v>156</v>
      </c>
      <c r="Q11" s="419" t="s">
        <v>183</v>
      </c>
      <c r="R11" s="57" t="s">
        <v>157</v>
      </c>
      <c r="S11" s="418" t="s">
        <v>158</v>
      </c>
      <c r="T11" s="57" t="s">
        <v>63</v>
      </c>
      <c r="U11" s="57" t="s">
        <v>159</v>
      </c>
      <c r="V11" s="418" t="s">
        <v>160</v>
      </c>
      <c r="W11" s="57" t="s">
        <v>184</v>
      </c>
      <c r="X11" s="417" t="s">
        <v>185</v>
      </c>
      <c r="Y11" s="421" t="s">
        <v>186</v>
      </c>
      <c r="Z11" s="57" t="s">
        <v>188</v>
      </c>
      <c r="AA11" s="57" t="s">
        <v>187</v>
      </c>
      <c r="AB11" s="421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2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1907</v>
      </c>
      <c r="E12" t="s">
        <v>194</v>
      </c>
      <c r="F12" s="22" t="str">
        <f>IF(T12&gt;0,"Long","Short")</f>
        <v>Long</v>
      </c>
      <c r="G12" s="15"/>
      <c r="H12" s="446">
        <v>3378</v>
      </c>
      <c r="I12" s="36" cm="1">
        <f t="array" ref="I12">_xll.BDP(B12&amp;" Equity","LAST_PRICE")</f>
        <v>174.46</v>
      </c>
      <c r="J12" s="51">
        <f t="shared" ref="J12:J53" si="2">I12/K12-1</f>
        <v>-6.8313787999544351E-3</v>
      </c>
      <c r="K12" s="438" cm="1">
        <f t="array" ref="K12">_xll.BDP(B12&amp;" EQUITY","PX_YEST_CLOSE")</f>
        <v>175.66</v>
      </c>
      <c r="L12" s="53" cm="1">
        <f t="array" ref="L12">_xll.BDP(E12&amp;" Curncy","PX_LAST")</f>
        <v>1</v>
      </c>
      <c r="M12" s="52">
        <v>1</v>
      </c>
      <c r="N12" s="15">
        <f t="shared" ref="N12:N53" si="3">IFERROR(IF(((I12/L12)*H12*M12)&lt;&gt;0,((I12/L12)*H12*M12),0),"-")</f>
        <v>589325.88</v>
      </c>
      <c r="O12" s="357">
        <f>IFERROR(IF(Tabelad[[#This Row],[D1 Exp USD]]&lt;&gt;0,N12/$AE$7,0),"-")</f>
        <v>2.4594554209552121E-4</v>
      </c>
      <c r="P12" s="20">
        <f>IFERROR(IF(Tabelad[[#This Row],[D1 Exp USD]]&lt;&gt;0,((I12-K12)/L12*M12*H12)/$AD$7*10000,0),"-")</f>
        <v>-1.6917038319077309E-2</v>
      </c>
      <c r="Q12" s="15">
        <f>IF(SUM(SUMIFS(Options!$AL$4:$AL$25, Options!$D$4:$D$25, B12), SUMIFS(Options!$AL$4:$AL$25, Options!$D$4:$D$25, B12 &amp; " US"))=0,0,SUM(SUMIFS(Options!$AL$4:$AL$25, Options!$D$4:$D$25, B12), SUMIFS(Options!$AL$4:$AL$25, Options!$D$4:$D$25, B12 &amp; " US")))</f>
        <v>0</v>
      </c>
      <c r="R12" s="19">
        <f t="shared" ref="R12:R14" si="4">Q12/$AE$7</f>
        <v>0</v>
      </c>
      <c r="S12" s="20">
        <f>IF(SUM(SUMIFS(Options!$AK$4:$AK$25, Options!$D$4:$D$25, B12), SUMIFS(Options!$AK$4:$AK$25, Options!$D$4:$D$25, B12 &amp; " US"))=0,0,SUM(SUMIFS(Options!$AK$4:$AK$25, Options!$D$4:$D$25, B12), SUMIFS(Options!AK$4:$AK$25, Options!$D$4:$D$25, B12 &amp; " US")))</f>
        <v>0</v>
      </c>
      <c r="T12" s="13">
        <f t="shared" ref="T12:T53" si="5">N12+Q12</f>
        <v>589325.88</v>
      </c>
      <c r="U12" s="48">
        <f t="shared" ref="U12:U53" si="6">T12/$AE$7</f>
        <v>2.4594554209552121E-4</v>
      </c>
      <c r="V12" s="20">
        <f t="shared" ref="V12:V53" si="7">P12+S12</f>
        <v>-1.6917038319077309E-2</v>
      </c>
      <c r="W12" s="15">
        <f t="shared" ref="W12:W53" si="8">$W$10/(I12/L12*M12)</f>
        <v>3433.6869568955635</v>
      </c>
      <c r="X12" s="19"/>
      <c r="Y12" s="375">
        <f>Tabelad[[#This Row],[Exp %]]*$Y$10*$AD$7/Tabelad[[#This Row],[Price Today]]</f>
        <v>1182.2999999999997</v>
      </c>
      <c r="Z12" s="266">
        <f>Tabelad[[#This Row],[Vol 10d]]/16*Tabelad[[#This Row],[Exp %]]*100</f>
        <v>6.9344322835579203E-2</v>
      </c>
      <c r="AA12" s="19">
        <f>Tabelad[[#This Row],[Exp %]]*Tabelad[[#This Row],[Beta Adj2]]</f>
        <v>2.1065928335835284E-4</v>
      </c>
      <c r="AB12" s="36">
        <f>_xll.BDP($B12&amp;" Equity","volatility_10d")</f>
        <v>45.111985194606703</v>
      </c>
      <c r="AC12" s="36">
        <f>_xll.BDP(B12&amp;" EQUITY","eqy_beta")</f>
        <v>0.85652816295623779</v>
      </c>
      <c r="AD12" s="15">
        <f>Tabelad[[#This Row],[D1 P&amp;L bps]]*$AD$5/10000</f>
        <v>-3799.6261311347412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53" si="9">(T12*AG12)/$AD$7*10000</f>
        <v>#VALUE!</v>
      </c>
      <c r="AI12" s="445" t="str">
        <f>_xll.BDP(B12&amp;" Equity","DVD_EX_DT")</f>
        <v>12/06/2025</v>
      </c>
    </row>
    <row r="13" spans="1:39">
      <c r="B13" s="40" t="s">
        <v>2141</v>
      </c>
      <c r="C13" t="s">
        <v>1907</v>
      </c>
      <c r="E13" t="s">
        <v>194</v>
      </c>
      <c r="F13" s="22" t="str">
        <f>IF(T13&gt;0,"Long","Short")</f>
        <v>Long</v>
      </c>
      <c r="G13" s="15"/>
      <c r="H13" s="446">
        <v>3510</v>
      </c>
      <c r="I13" s="36" cm="1">
        <f t="array" ref="I13">_xll.BDP(B13&amp;" Equity","LAST_PRICE")</f>
        <v>157.35</v>
      </c>
      <c r="J13" s="51">
        <f t="shared" si="2"/>
        <v>-2.0295554005200778E-3</v>
      </c>
      <c r="K13" s="438" cm="1">
        <f t="array" ref="K13">_xll.BDP(B13&amp;" EQUITY","PX_YEST_CLOSE")</f>
        <v>157.66999999999999</v>
      </c>
      <c r="L13" s="53" cm="1">
        <f t="array" ref="L13">_xll.BDP(E13&amp;" Curncy","PX_LAST")</f>
        <v>1</v>
      </c>
      <c r="M13" s="52">
        <v>1</v>
      </c>
      <c r="N13" s="15">
        <f t="shared" si="3"/>
        <v>552298.5</v>
      </c>
      <c r="O13" s="357">
        <f>IFERROR(IF(Tabelad[[#This Row],[D1 Exp USD]]&lt;&gt;0,N13/$AE$7,0),"-")</f>
        <v>2.3049276909584089E-4</v>
      </c>
      <c r="P13" s="20">
        <f>IFERROR(IF(Tabelad[[#This Row],[D1 Exp USD]]&lt;&gt;0,((I13-K13)/L13*M13*H13)/$AD$7*10000,0),"-")</f>
        <v>-4.6874919676306017E-3</v>
      </c>
      <c r="Q13" s="15">
        <f>IF(SUM(SUMIFS(Options!$AL$4:$AL$25, Options!$D$4:$D$25, B13), SUMIFS(Options!$AL$4:$AL$25, Options!$D$4:$D$25, B13 &amp; " US"))=0,0,SUM(SUMIFS(Options!$AL$4:$AL$25, Options!$D$4:$D$25, B13), SUMIFS(Options!$AL$4:$AL$25, Options!$D$4:$D$25, B13 &amp; " US")))</f>
        <v>0</v>
      </c>
      <c r="R13" s="19">
        <f t="shared" si="4"/>
        <v>0</v>
      </c>
      <c r="S13" s="20">
        <f>IF(SUM(SUMIFS(Options!$AK$4:$AK$25, Options!$D$4:$D$25, B13), SUMIFS(Options!$AK$4:$AK$25, Options!$D$4:$D$25, B13 &amp; " US"))=0,0,SUM(SUMIFS(Options!$AK$4:$AK$25, Options!$D$4:$D$25, B13), SUMIFS(Options!AK$4:$AK$25, Options!$D$4:$D$25, B13 &amp; " US")))</f>
        <v>0</v>
      </c>
      <c r="T13" s="13">
        <f t="shared" si="5"/>
        <v>552298.5</v>
      </c>
      <c r="U13" s="48">
        <f t="shared" si="6"/>
        <v>2.3049276909584089E-4</v>
      </c>
      <c r="V13" s="20">
        <f t="shared" si="7"/>
        <v>-4.6874919676306017E-3</v>
      </c>
      <c r="W13" s="15">
        <f t="shared" si="8"/>
        <v>3807.0608611375919</v>
      </c>
      <c r="X13" s="19"/>
      <c r="Y13" s="375">
        <f>Tabelad[[#This Row],[Exp %]]*$Y$10*$AD$7/Tabelad[[#This Row],[Price Today]]</f>
        <v>1228.5</v>
      </c>
      <c r="Z13" s="266">
        <f>Tabelad[[#This Row],[Vol 10d]]/16*Tabelad[[#This Row],[Exp %]]*100</f>
        <v>6.9921660604024855E-2</v>
      </c>
      <c r="AA13" s="19">
        <f>Tabelad[[#This Row],[Exp %]]*Tabelad[[#This Row],[Beta Adj2]]</f>
        <v>2.3884975201236573E-4</v>
      </c>
      <c r="AB13" s="36">
        <f>_xll.BDP($B13&amp;" Equity","volatility_10d")</f>
        <v>48.537165571524419</v>
      </c>
      <c r="AC13" s="36">
        <f>_xll.BDP(B13&amp;" EQUITY","eqy_beta")</f>
        <v>1.0362570285797119</v>
      </c>
      <c r="AD13" s="15">
        <f>Tabelad[[#This Row],[D1 P&amp;L bps]]*$AD$5/10000</f>
        <v>-1052.8271340266651</v>
      </c>
      <c r="AE13" s="277"/>
      <c r="AF13" s="231" t="str">
        <f>_xll.BDP(B13&amp;" Equity","EXPECTED_REPORT_DT")</f>
        <v>26/02/2026</v>
      </c>
      <c r="AG13" s="172" t="e">
        <f>_xll.BDP(B13&amp;" Index","CHG_PCT_1D_PRE_FROM_REGULAR")/100</f>
        <v>#VALUE!</v>
      </c>
      <c r="AH13" s="20" t="e">
        <f t="shared" si="9"/>
        <v>#VALUE!</v>
      </c>
      <c r="AI13" s="445" t="str">
        <f>_xll.BDP(B13&amp;" Equity","DVD_EX_DT")</f>
        <v>#N/A Field Not Applicable</v>
      </c>
    </row>
    <row r="14" spans="1:39">
      <c r="B14" s="40" t="s">
        <v>38</v>
      </c>
      <c r="C14" t="s">
        <v>1907</v>
      </c>
      <c r="E14" t="s">
        <v>194</v>
      </c>
      <c r="F14" s="22" t="str">
        <f>IF(T14&gt;0,"Long","Short")</f>
        <v>Long</v>
      </c>
      <c r="G14" s="15"/>
      <c r="H14" s="446">
        <v>21000</v>
      </c>
      <c r="I14" s="36" cm="1">
        <f t="array" ref="I14">_xll.BDP(B14&amp;" Equity","LAST_PRICE")</f>
        <v>33.97</v>
      </c>
      <c r="J14" s="51">
        <f t="shared" si="2"/>
        <v>9.2097445038621384E-3</v>
      </c>
      <c r="K14" s="438" cm="1">
        <f t="array" ref="K14">_xll.BDP(B14&amp;" EQUITY","PX_YEST_CLOSE")</f>
        <v>33.659999999999997</v>
      </c>
      <c r="L14" s="53" cm="1">
        <f t="array" ref="L14">_xll.BDP(E14&amp;" Curncy","PX_LAST")</f>
        <v>1</v>
      </c>
      <c r="M14" s="52">
        <v>1</v>
      </c>
      <c r="N14" s="15">
        <f t="shared" si="3"/>
        <v>713370</v>
      </c>
      <c r="O14" s="357">
        <f>IFERROR(IF(Tabelad[[#This Row],[D1 Exp USD]]&lt;&gt;0,N14/$AE$7,0),"-")</f>
        <v>2.9771333199329713E-4</v>
      </c>
      <c r="P14" s="20">
        <f>IFERROR(IF(Tabelad[[#This Row],[D1 Exp USD]]&lt;&gt;0,((I14-K14)/L14*M14*H14)/$AD$7*10000,0),"-")</f>
        <v>2.7168422996150365E-2</v>
      </c>
      <c r="Q14" s="15">
        <f>IF(SUM(SUMIFS(Options!$AL$4:$AL$25, Options!$D$4:$D$25, B14), SUMIFS(Options!$AL$4:$AL$25, Options!$D$4:$D$25, B14 &amp; " US"))=0,0,SUM(SUMIFS(Options!$AL$4:$AL$25, Options!$D$4:$D$25, B14), SUMIFS(Options!$AL$4:$AL$25, Options!$D$4:$D$25, B14 &amp; " US")))</f>
        <v>952665.92657566071</v>
      </c>
      <c r="R14" s="19">
        <f t="shared" si="4"/>
        <v>3.9757958321393061E-4</v>
      </c>
      <c r="S14" s="20">
        <f>IF(SUM(SUMIFS(Options!$AK$4:$AK$25, Options!$D$4:$D$25, B14), SUMIFS(Options!$AK$4:$AK$25, Options!$D$4:$D$25, B14 &amp; " US"))=0,0,SUM(SUMIFS(Options!$AK$4:$AK$25, Options!$D$4:$D$25, B14), SUMIFS(Options!AK$4:$AK$25, Options!$D$4:$D$25, B14 &amp; " US")))</f>
        <v>2.8971735665353136E-2</v>
      </c>
      <c r="T14" s="13">
        <f t="shared" si="5"/>
        <v>1666035.9265756607</v>
      </c>
      <c r="U14" s="48">
        <f t="shared" si="6"/>
        <v>6.9529291520722774E-4</v>
      </c>
      <c r="V14" s="20">
        <f t="shared" si="7"/>
        <v>5.61401586615035E-2</v>
      </c>
      <c r="W14" s="15">
        <f t="shared" si="8"/>
        <v>17634.413497203415</v>
      </c>
      <c r="X14" s="19"/>
      <c r="Y14" s="375">
        <f>Tabelad[[#This Row],[Exp %]]*$Y$10*$AD$7/Tabelad[[#This Row],[Price Today]]</f>
        <v>17165.515875816345</v>
      </c>
      <c r="Z14" s="266">
        <f>Tabelad[[#This Row],[Vol 10d]]/16*Tabelad[[#This Row],[Exp %]]*100</f>
        <v>4.1667776642310542E-2</v>
      </c>
      <c r="AA14" s="19">
        <f>Tabelad[[#This Row],[Exp %]]*Tabelad[[#This Row],[Beta Adj2]]</f>
        <v>7.9332617203741395E-4</v>
      </c>
      <c r="AB14" s="36">
        <f>_xll.BDP($B14&amp;" Equity","volatility_10d")</f>
        <v>9.5885404797813525</v>
      </c>
      <c r="AC14" s="36">
        <f>_xll.BDP(B14&amp;" EQUITY","eqy_beta")</f>
        <v>1.1409956216812134</v>
      </c>
      <c r="AD14" s="15">
        <f>Tabelad[[#This Row],[D1 P&amp;L bps]]*$AD$5/10000</f>
        <v>6102.1230791611351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1.2774819999999999E-2</v>
      </c>
      <c r="AH14" s="20">
        <f t="shared" si="9"/>
        <v>8.8822418390475971E-2</v>
      </c>
      <c r="AI14" s="445" t="str">
        <f>_xll.BDP(B14&amp;" Equity","DVD_EX_DT")</f>
        <v>19/12/2025</v>
      </c>
    </row>
    <row r="15" spans="1:39">
      <c r="B15" s="40" t="s">
        <v>3</v>
      </c>
      <c r="C15" t="s">
        <v>78</v>
      </c>
      <c r="E15" t="s">
        <v>194</v>
      </c>
      <c r="F15" s="22" t="str">
        <f>IF(T15&gt;0,"Long","Short")</f>
        <v>Short</v>
      </c>
      <c r="G15" s="15"/>
      <c r="H15" s="446">
        <v>-13000</v>
      </c>
      <c r="I15" s="36" cm="1">
        <f t="array" ref="I15">_xll.BDP(B15&amp;" Equity","LAST_PRICE")</f>
        <v>198.595</v>
      </c>
      <c r="J15" s="51">
        <f t="shared" ref="J15" si="10">I15/K15-1</f>
        <v>1.689700393422866E-3</v>
      </c>
      <c r="K15" s="438" cm="1">
        <f t="array" ref="K15">_xll.BDP(B15&amp;" EQUITY","PX_YEST_CLOSE")</f>
        <v>198.26</v>
      </c>
      <c r="L15" s="53" cm="1">
        <f t="array" ref="L15">_xll.BDP(E15&amp;" Curncy","PX_LAST")</f>
        <v>1</v>
      </c>
      <c r="M15" s="52">
        <v>1</v>
      </c>
      <c r="N15" s="15">
        <f t="shared" ref="N15" si="11">IFERROR(IF(((I15/L15)*H15*M15)&lt;&gt;0,((I15/L15)*H15*M15),0),"-")</f>
        <v>-2581735</v>
      </c>
      <c r="O15" s="357">
        <f>IFERROR(IF(Tabelad[[#This Row],[D1 Exp USD]]&lt;&gt;0,N15/$AE$7,0),"-")</f>
        <v>-1.077444985314374E-3</v>
      </c>
      <c r="P15" s="20">
        <f>IFERROR(IF(Tabelad[[#This Row],[D1 Exp USD]]&lt;&gt;0,((I15-K15)/L15*M15*H15)/$AD$7*10000,0),"-")</f>
        <v>-1.8174882050420397E-2</v>
      </c>
      <c r="Q15" s="15">
        <f>IF(SUM(SUMIFS(Options!$AL$4:$AL$25, Options!$D$4:$D$25, B15), SUMIFS(Options!$AL$4:$AL$25, Options!$D$4:$D$25, B15 &amp; " US"))=0,0,SUM(SUMIFS(Options!$AL$4:$AL$25, Options!$D$4:$D$25, B15), SUMIFS(Options!$AL$4:$AL$25, Options!$D$4:$D$25, B15 &amp; " US")))</f>
        <v>0</v>
      </c>
      <c r="R15" s="19">
        <f t="shared" ref="R15" si="12">Q15/$AE$7</f>
        <v>0</v>
      </c>
      <c r="S15" s="20">
        <f>IF(SUM(SUMIFS(Options!$AK$4:$AK$25, Options!$D$4:$D$25, B15), SUMIFS(Options!$AK$4:$AK$25, Options!$D$4:$D$25, B15 &amp; " US"))=0,0,SUM(SUMIFS(Options!$AK$4:$AK$25, Options!$D$4:$D$25, B15), SUMIFS(Options!AK$4:$AK$25, Options!$D$4:$D$25, B15 &amp; " US")))</f>
        <v>0</v>
      </c>
      <c r="T15" s="13">
        <f t="shared" ref="T15" si="13">N15+Q15</f>
        <v>-2581735</v>
      </c>
      <c r="U15" s="48">
        <f t="shared" ref="U15" si="14">T15/$AE$7</f>
        <v>-1.077444985314374E-3</v>
      </c>
      <c r="V15" s="20">
        <f t="shared" ref="V15" si="15">P15+S15</f>
        <v>-1.8174882050420397E-2</v>
      </c>
      <c r="W15" s="15">
        <f t="shared" ref="W15" si="16">$W$10/(I15/L15*M15)</f>
        <v>3016.3953095495858</v>
      </c>
      <c r="X15" s="19"/>
      <c r="Y15" s="375">
        <f>Tabelad[[#This Row],[Exp %]]*$Y$10*$AD$7/Tabelad[[#This Row],[Price Today]]</f>
        <v>-4550</v>
      </c>
      <c r="Z15" s="266">
        <f>Tabelad[[#This Row],[Vol 10d]]/16*Tabelad[[#This Row],[Exp %]]*100</f>
        <v>-9.2018213168724078E-2</v>
      </c>
      <c r="AA15" s="19">
        <f>Tabelad[[#This Row],[Exp %]]*Tabelad[[#This Row],[Beta Adj2]]</f>
        <v>-1.0735295118943721E-3</v>
      </c>
      <c r="AB15" s="36">
        <f>_xll.BDP($B15&amp;" Equity","volatility_10d")</f>
        <v>13.664655093921144</v>
      </c>
      <c r="AC15" s="36">
        <f>_xll.BDP(B15&amp;" EQUITY","eqy_beta")</f>
        <v>0.99636596441268921</v>
      </c>
      <c r="AD15" s="15">
        <f>Tabelad[[#This Row],[D1 P&amp;L bps]]*$AD$5/10000</f>
        <v>-4082.1422442007961</v>
      </c>
      <c r="AE15" s="277"/>
      <c r="AF15" s="231" t="str">
        <f>_xll.BDP(B15&amp;" Equity","EXPECTED_REPORT_DT")</f>
        <v>#N/A N/A</v>
      </c>
      <c r="AG15" s="172" t="e">
        <f>_xll.BDP(B15&amp;" Index","CHG_PCT_1D_PRE_FROM_REGULAR")/100</f>
        <v>#VALUE!</v>
      </c>
      <c r="AH15" s="20" t="e">
        <f t="shared" ref="AH15" si="17">(T15*AG15)/$AD$7*10000</f>
        <v>#VALUE!</v>
      </c>
      <c r="AI15" s="445" t="str">
        <f>_xll.BDP(B15&amp;" Equity","DVD_EX_DT")</f>
        <v>22/12/2025</v>
      </c>
    </row>
    <row r="16" spans="1:39" s="59" customFormat="1">
      <c r="A16" s="468"/>
      <c r="B16" s="423" t="s">
        <v>3</v>
      </c>
      <c r="C16" s="59" t="s">
        <v>78</v>
      </c>
      <c r="E16" s="59" t="s">
        <v>194</v>
      </c>
      <c r="F16" s="163" t="str">
        <f>IF(T16&gt;0,"Long","Short")</f>
        <v>Short</v>
      </c>
      <c r="G16" s="404"/>
      <c r="H16" s="469">
        <v>-29900</v>
      </c>
      <c r="I16" s="14" cm="1">
        <f t="array" ref="I16">_xll.BDP(B16&amp;" Equity","LAST_PRICE")</f>
        <v>198.595</v>
      </c>
      <c r="J16" s="470">
        <f t="shared" ref="J16" si="18">I16/K16-1</f>
        <v>5.0354251012145745E-3</v>
      </c>
      <c r="K16" s="471">
        <v>197.6</v>
      </c>
      <c r="L16" s="8" cm="1">
        <f t="array" ref="L16">_xll.BDP(E16&amp;" Curncy","PX_LAST")</f>
        <v>1</v>
      </c>
      <c r="M16" s="472">
        <v>1</v>
      </c>
      <c r="N16" s="404">
        <f t="shared" ref="N16" si="19">IFERROR(IF(((I16/L16)*H16*M16)&lt;&gt;0,((I16/L16)*H16*M16),0),"-")</f>
        <v>-5937990.5</v>
      </c>
      <c r="O16" s="473">
        <f>IFERROR(IF(Tabelad[[#This Row],[D1 Exp USD]]&lt;&gt;0,N16/$AE$7,0),"-")</f>
        <v>-2.4781234662230602E-3</v>
      </c>
      <c r="P16" s="474">
        <f>IFERROR(IF(Tabelad[[#This Row],[D1 Exp USD]]&lt;&gt;0,((I16-K16)/L16*M16*H16)/$AD$7*10000,0),"-")</f>
        <v>-0.12415885842503366</v>
      </c>
      <c r="Q16" s="404"/>
      <c r="R16" s="128"/>
      <c r="S16" s="474"/>
      <c r="T16" s="475">
        <f t="shared" ref="T16" si="20">N16+Q16</f>
        <v>-5937990.5</v>
      </c>
      <c r="U16" s="476">
        <f t="shared" ref="U16" si="21">T16/$AE$7</f>
        <v>-2.4781234662230602E-3</v>
      </c>
      <c r="V16" s="474">
        <f t="shared" ref="V16" si="22">P16+S16</f>
        <v>-0.12415885842503366</v>
      </c>
      <c r="W16" s="404">
        <f t="shared" ref="W16" si="23">$W$10/(I16/L16*M16)</f>
        <v>3016.3953095495858</v>
      </c>
      <c r="X16" s="128"/>
      <c r="Y16" s="477">
        <f>Tabelad[[#This Row],[Exp %]]*$Y$10*$AD$7/Tabelad[[#This Row],[Price Today]]</f>
        <v>-10465</v>
      </c>
      <c r="Z16" s="478">
        <f>Tabelad[[#This Row],[Vol 10d]]/16*Tabelad[[#This Row],[Exp %]]*100</f>
        <v>-0.2116418902880654</v>
      </c>
      <c r="AA16" s="128">
        <f>Tabelad[[#This Row],[Exp %]]*Tabelad[[#This Row],[Beta Adj2]]</f>
        <v>-2.4691178773570558E-3</v>
      </c>
      <c r="AB16" s="14">
        <f>_xll.BDP($B16&amp;" Equity","volatility_10d")</f>
        <v>13.664655093921144</v>
      </c>
      <c r="AC16" s="14">
        <f>_xll.BDP(B16&amp;" EQUITY","eqy_beta")</f>
        <v>0.99636596441268921</v>
      </c>
      <c r="AD16" s="404">
        <f>Tabelad[[#This Row],[D1 P&amp;L bps]]*$AD$5/10000</f>
        <v>-27886.515002547283</v>
      </c>
      <c r="AE16" s="337"/>
      <c r="AF16" s="479" t="str">
        <f>_xll.BDP(B16&amp;" Equity","EXPECTED_REPORT_DT")</f>
        <v>#N/A N/A</v>
      </c>
      <c r="AG16" s="480" t="e">
        <f>_xll.BDP(B16&amp;" Index","CHG_PCT_1D_PRE_FROM_REGULAR")/100</f>
        <v>#VALUE!</v>
      </c>
      <c r="AH16" s="474" t="e">
        <f t="shared" ref="AH16" si="24">(T16*AG16)/$AD$7*10000</f>
        <v>#VALUE!</v>
      </c>
      <c r="AI16" s="481" t="str">
        <f>_xll.BDP(B16&amp;" Equity","DVD_EX_DT")</f>
        <v>22/12/2025</v>
      </c>
    </row>
    <row r="17" spans="1:35" s="59" customFormat="1">
      <c r="A17" s="468"/>
      <c r="B17" s="423" t="s">
        <v>3</v>
      </c>
      <c r="C17" s="59" t="s">
        <v>78</v>
      </c>
      <c r="E17" s="59" t="s">
        <v>194</v>
      </c>
      <c r="F17" s="163" t="str">
        <f>IF(T17&gt;0,"Long","Short")</f>
        <v>Long</v>
      </c>
      <c r="G17" s="404"/>
      <c r="H17" s="469">
        <v>20000</v>
      </c>
      <c r="I17" s="14" cm="1">
        <f t="array" ref="I17">_xll.BDP(B17&amp;" Equity","LAST_PRICE")</f>
        <v>198.595</v>
      </c>
      <c r="J17" s="470">
        <f t="shared" ref="J17" si="25">I17/K17-1</f>
        <v>2.4481348745646336E-3</v>
      </c>
      <c r="K17" s="471">
        <v>198.11</v>
      </c>
      <c r="L17" s="8" cm="1">
        <f t="array" ref="L17">_xll.BDP(E17&amp;" Curncy","PX_LAST")</f>
        <v>1</v>
      </c>
      <c r="M17" s="472">
        <v>1</v>
      </c>
      <c r="N17" s="404">
        <f t="shared" ref="N17" si="26">IFERROR(IF(((I17/L17)*H17*M17)&lt;&gt;0,((I17/L17)*H17*M17),0),"-")</f>
        <v>3971900</v>
      </c>
      <c r="O17" s="473">
        <f>IFERROR(IF(Tabelad[[#This Row],[D1 Exp USD]]&lt;&gt;0,N17/$AE$7,0),"-")</f>
        <v>1.6576076697144215E-3</v>
      </c>
      <c r="P17" s="474">
        <f>IFERROR(IF(Tabelad[[#This Row],[D1 Exp USD]]&lt;&gt;0,((I17-K17)/L17*M17*H17)/$AD$7*10000,0),"-")</f>
        <v>4.0481367597949097E-2</v>
      </c>
      <c r="Q17" s="404"/>
      <c r="R17" s="128"/>
      <c r="S17" s="474"/>
      <c r="T17" s="475">
        <f t="shared" ref="T17" si="27">N17+Q17</f>
        <v>3971900</v>
      </c>
      <c r="U17" s="476">
        <f t="shared" ref="U17" si="28">T17/$AE$7</f>
        <v>1.6576076697144215E-3</v>
      </c>
      <c r="V17" s="474">
        <f t="shared" ref="V17" si="29">P17+S17</f>
        <v>4.0481367597949097E-2</v>
      </c>
      <c r="W17" s="404">
        <f t="shared" ref="W17" si="30">$W$10/(I17/L17*M17)</f>
        <v>3016.3953095495858</v>
      </c>
      <c r="X17" s="128"/>
      <c r="Y17" s="477">
        <f>Tabelad[[#This Row],[Exp %]]*$Y$10*$AD$7/Tabelad[[#This Row],[Price Today]]</f>
        <v>6999.9999999999991</v>
      </c>
      <c r="Z17" s="478">
        <f>Tabelad[[#This Row],[Vol 10d]]/16*Tabelad[[#This Row],[Exp %]]*100</f>
        <v>0.14156648179803705</v>
      </c>
      <c r="AA17" s="128">
        <f>Tabelad[[#This Row],[Exp %]]*Tabelad[[#This Row],[Beta Adj2]]</f>
        <v>1.65158386445288E-3</v>
      </c>
      <c r="AB17" s="14">
        <f>_xll.BDP($B17&amp;" Equity","volatility_10d")</f>
        <v>13.664655093921144</v>
      </c>
      <c r="AC17" s="14">
        <f>_xll.BDP(B17&amp;" EQUITY","eqy_beta")</f>
        <v>0.99636596441268921</v>
      </c>
      <c r="AD17" s="404">
        <f>Tabelad[[#This Row],[D1 P&amp;L bps]]*$AD$5/10000</f>
        <v>9092.2571225592601</v>
      </c>
      <c r="AE17" s="337"/>
      <c r="AF17" s="479" t="str">
        <f>_xll.BDP(B17&amp;" Equity","EXPECTED_REPORT_DT")</f>
        <v>#N/A N/A</v>
      </c>
      <c r="AG17" s="480" t="e">
        <f>_xll.BDP(B17&amp;" Index","CHG_PCT_1D_PRE_FROM_REGULAR")/100</f>
        <v>#VALUE!</v>
      </c>
      <c r="AH17" s="474" t="e">
        <f t="shared" ref="AH17" si="31">(T17*AG17)/$AD$7*10000</f>
        <v>#VALUE!</v>
      </c>
      <c r="AI17" s="481" t="str">
        <f>_xll.BDP(B17&amp;" Equity","DVD_EX_DT")</f>
        <v>22/12/2025</v>
      </c>
    </row>
    <row r="18" spans="1:35">
      <c r="B18" s="40" t="s">
        <v>135</v>
      </c>
      <c r="C18" t="s">
        <v>78</v>
      </c>
      <c r="E18" t="s">
        <v>194</v>
      </c>
      <c r="F18" s="22" t="str">
        <f>IF(T18&gt;0,"Long","Short")</f>
        <v>Short</v>
      </c>
      <c r="G18" s="15"/>
      <c r="H18" s="446"/>
      <c r="I18" s="36" cm="1">
        <f t="array" ref="I18">_xll.BDP(B18&amp;" Equity","LAST_PRICE")</f>
        <v>629.82000000000005</v>
      </c>
      <c r="J18" s="51">
        <f t="shared" ref="J18" si="32">I18/K18-1</f>
        <v>-5.3693818893907341E-3</v>
      </c>
      <c r="K18" s="438" cm="1">
        <f t="array" ref="K18">_xll.BDP(B18&amp;" EQUITY","PX_YEST_CLOSE")</f>
        <v>633.22</v>
      </c>
      <c r="L18" s="53" cm="1">
        <f t="array" ref="L18">_xll.BDP(E18&amp;" Curncy","PX_LAST")</f>
        <v>1</v>
      </c>
      <c r="M18" s="52">
        <v>1</v>
      </c>
      <c r="N18" s="15">
        <f t="shared" ref="N18" si="33">IFERROR(IF(((I18/L18)*H18*M18)&lt;&gt;0,((I18/L18)*H18*M18),0),"-")</f>
        <v>0</v>
      </c>
      <c r="O18" s="357">
        <f>IFERROR(IF(Tabelad[[#This Row],[D1 Exp USD]]&lt;&gt;0,N18/$AE$7,0),"-")</f>
        <v>0</v>
      </c>
      <c r="P18" s="20">
        <f>IFERROR(IF(Tabelad[[#This Row],[D1 Exp USD]]&lt;&gt;0,((I18-K18)/L18*M18*H18)/$AD$7*10000,0),"-")</f>
        <v>0</v>
      </c>
      <c r="Q18" s="15">
        <f>IF(SUM(SUMIFS(Options!$AL$4:$AL$25, Options!$D$4:$D$25, B18), SUMIFS(Options!$AL$4:$AL$25, Options!$D$4:$D$25, B18 &amp; " US"))=0,0,SUM(SUMIFS(Options!$AL$4:$AL$25, Options!$D$4:$D$25, B18), SUMIFS(Options!$AL$4:$AL$25, Options!$D$4:$D$25, B18 &amp; " US")))</f>
        <v>-3862244.8415011168</v>
      </c>
      <c r="R18" s="19">
        <f t="shared" ref="R18" si="34">Q18/$AE$7</f>
        <v>-1.6118448781659183E-3</v>
      </c>
      <c r="S18" s="20">
        <f>IF(SUM(SUMIFS(Options!$AK$4:$AK$25, Options!$D$4:$D$25, B18), SUMIFS(Options!$AK$4:$AK$25, Options!$D$4:$D$25, B18 &amp; " US"))=0,0,SUM(SUMIFS(Options!$AK$4:$AK$25, Options!$D$4:$D$25, B18), SUMIFS(Options!AK$4:$AK$25, Options!$D$4:$D$25, B18 &amp; " US")))</f>
        <v>-0.22275185521037091</v>
      </c>
      <c r="T18" s="13">
        <f t="shared" ref="T18" si="35">N18+Q18</f>
        <v>-3862244.8415011168</v>
      </c>
      <c r="U18" s="48">
        <f t="shared" ref="U18" si="36">T18/$AE$7</f>
        <v>-1.6118448781659183E-3</v>
      </c>
      <c r="V18" s="20">
        <f t="shared" ref="V18" si="37">P18+S18</f>
        <v>-0.22275185521037091</v>
      </c>
      <c r="W18" s="15">
        <f t="shared" ref="W18" si="38">$W$10/(I18/L18*M18)</f>
        <v>951.13052380045087</v>
      </c>
      <c r="X18" s="19"/>
      <c r="Y18" s="375">
        <f>Tabelad[[#This Row],[Exp %]]*$Y$10*$AD$7/Tabelad[[#This Row],[Price Today]]</f>
        <v>-2146.3048085570331</v>
      </c>
      <c r="Z18" s="266">
        <f>Tabelad[[#This Row],[Vol 10d]]/16*Tabelad[[#This Row],[Exp %]]*100</f>
        <v>-0.16001093597590038</v>
      </c>
      <c r="AA18" s="19">
        <f>Tabelad[[#This Row],[Exp %]]*Tabelad[[#This Row],[Beta Adj2]]</f>
        <v>-1.613472746556934E-3</v>
      </c>
      <c r="AB18" s="36">
        <f>_xll.BDP($B18&amp;" Equity","volatility_10d")</f>
        <v>15.883507217689404</v>
      </c>
      <c r="AC18" s="36">
        <f>_xll.BDP(B18&amp;" EQUITY","eqy_beta")</f>
        <v>1.0010099411010742</v>
      </c>
      <c r="AD18" s="15">
        <f>Tabelad[[#This Row],[D1 P&amp;L bps]]*$AD$5/10000</f>
        <v>0</v>
      </c>
      <c r="AE18" s="277"/>
      <c r="AF18" s="231" t="str">
        <f>_xll.BDP(B18&amp;" Equity","EXPECTED_REPORT_DT")</f>
        <v>#N/A N/A</v>
      </c>
      <c r="AG18" s="172">
        <f>_xll.BDP(B18&amp;" Index","CHG_PCT_1D_PRE_FROM_REGULAR")/100</f>
        <v>-1.0580570000000001E-3</v>
      </c>
      <c r="AH18" s="20">
        <f t="shared" ref="AH18" si="39">(T18*AG18)/$AD$7*10000</f>
        <v>1.7054237562575972E-2</v>
      </c>
      <c r="AI18" s="445" t="str">
        <f>_xll.BDP(B18&amp;" Equity","DVD_EX_DT")</f>
        <v>22/12/2025</v>
      </c>
    </row>
    <row r="19" spans="1:35">
      <c r="B19" s="40" t="s">
        <v>131</v>
      </c>
      <c r="C19" t="s">
        <v>2138</v>
      </c>
      <c r="E19" t="s">
        <v>194</v>
      </c>
      <c r="F19" s="22"/>
      <c r="G19" s="15"/>
      <c r="H19" s="446">
        <v>14010</v>
      </c>
      <c r="I19" s="36" cm="1">
        <f t="array" ref="I19">_xll.BDP(B19&amp;" Equity","LAST_PRICE")</f>
        <v>107.51</v>
      </c>
      <c r="J19" s="51">
        <f>I19/K19-1</f>
        <v>-4.1458630527817286E-2</v>
      </c>
      <c r="K19" s="438" cm="1">
        <f t="array" ref="K19">_xll.BDP(B19&amp;" EQUITY","PX_YEST_CLOSE")</f>
        <v>112.16</v>
      </c>
      <c r="L19" s="53" cm="1">
        <f t="array" ref="L19">_xll.BDP(E19&amp;" Curncy","PX_LAST")</f>
        <v>1</v>
      </c>
      <c r="M19" s="52">
        <v>1</v>
      </c>
      <c r="N19" s="15">
        <f t="shared" ref="N19:N27" si="40">IFERROR(IF(((I19/L19)*H19*M19)&lt;&gt;0,((I19/L19)*H19*M19),0),"-")</f>
        <v>1506215.1</v>
      </c>
      <c r="O19" s="357">
        <f>IFERROR(IF(Tabelad[[#This Row],[D1 Exp USD]]&lt;&gt;0,N19/$AE$7,0),"-")</f>
        <v>6.2859430046065473E-4</v>
      </c>
      <c r="P19" s="20">
        <f>IFERROR(IF(Tabelad[[#This Row],[D1 Exp USD]]&lt;&gt;0,((I19-K19)/L19*M19*H19)/$AD$7*10000,0),"-")</f>
        <v>-0.27187829012575937</v>
      </c>
      <c r="Q19" s="15">
        <f>IF(SUM(SUMIFS(Options!$AL$4:$AL$25, Options!$D$4:$D$25, B19), SUMIFS(Options!$AL$4:$AL$25, Options!$D$4:$D$25, B19 &amp; " US"))=0,0,SUM(SUMIFS(Options!$AL$4:$AL$25, Options!$D$4:$D$25, B19), SUMIFS(Options!$AL$4:$AL$25, Options!$D$4:$D$25, B19 &amp; " US")))</f>
        <v>1053432.0508360853</v>
      </c>
      <c r="R19" s="19">
        <f t="shared" ref="R19" si="41">Q19/$AE$7</f>
        <v>4.3963268133359032E-4</v>
      </c>
      <c r="S19" s="20">
        <f>IF(SUM(SUMIFS(Options!$AK$4:$AK$25, Options!$D$4:$D$25, B19), SUMIFS(Options!$AK$4:$AK$25, Options!$D$4:$D$25, B19 &amp; " US"))=0,0,SUM(SUMIFS(Options!$AK$4:$AK$25, Options!$D$4:$D$25, B19), SUMIFS(Options!AK$4:$AK$25, Options!$D$4:$D$25, B19 &amp; " US")))</f>
        <v>-0.2915075800739001</v>
      </c>
      <c r="T19" s="13">
        <f t="shared" ref="T19:T27" si="42">N19+Q19</f>
        <v>2559647.1508360854</v>
      </c>
      <c r="U19" s="48">
        <f t="shared" ref="U19:U27" si="43">T19/$AE$7</f>
        <v>1.0682269817942451E-3</v>
      </c>
      <c r="V19" s="20">
        <f t="shared" ref="V19:V27" si="44">P19+S19</f>
        <v>-0.56338587019965947</v>
      </c>
      <c r="W19" s="15">
        <f t="shared" si="8"/>
        <v>5571.9563435959444</v>
      </c>
      <c r="X19" s="19"/>
      <c r="Y19" s="375">
        <f>Tabelad[[#This Row],[Exp %]]*$Y$10*$AD$7/Tabelad[[#This Row],[Price Today]]</f>
        <v>8332.9597506523096</v>
      </c>
      <c r="Z19" s="266">
        <f>Tabelad[[#This Row],[Vol 10d]]/16*Tabelad[[#This Row],[Exp %]]*100</f>
        <v>0.22799492264360524</v>
      </c>
      <c r="AA19" s="19">
        <f>Tabelad[[#This Row],[Exp %]]*Tabelad[[#This Row],[Beta Adj2]]</f>
        <v>1.0586918241205538E-3</v>
      </c>
      <c r="AB19" s="36">
        <f>_xll.BDP($B19&amp;" Equity","volatility_10d")</f>
        <v>34.149284978464642</v>
      </c>
      <c r="AC19" s="36">
        <f>_xll.BDP(B19&amp;" EQUITY","eqy_beta")</f>
        <v>0.9910738468170166</v>
      </c>
      <c r="AD19" s="15">
        <f>Tabelad[[#This Row],[D1 P&amp;L bps]]*$AD$5/10000</f>
        <v>-61064.81738503337</v>
      </c>
      <c r="AE19" s="277"/>
      <c r="AF19" s="231" t="str">
        <f>_xll.BDP(B19&amp;" Equity","EXPECTED_REPORT_DT")</f>
        <v>#N/A N/A</v>
      </c>
      <c r="AG19" s="172">
        <f>_xll.BDP(B19&amp;" Index","CHG_PCT_1D_PRE_FROM_REGULAR")/100</f>
        <v>1.0788150000000002E-2</v>
      </c>
      <c r="AH19" s="20">
        <f t="shared" si="9"/>
        <v>0.11524192913643587</v>
      </c>
      <c r="AI19" s="445" t="str">
        <f>_xll.BDP(B19&amp;" Equity","DVD_EX_DT")</f>
        <v>22/12/2025</v>
      </c>
    </row>
    <row r="20" spans="1:35" s="384" customFormat="1">
      <c r="A20" s="530"/>
      <c r="B20" s="531" t="s">
        <v>131</v>
      </c>
      <c r="C20" s="384" t="s">
        <v>2138</v>
      </c>
      <c r="E20" s="384" t="s">
        <v>194</v>
      </c>
      <c r="F20" s="532"/>
      <c r="G20" s="533"/>
      <c r="H20" s="534">
        <v>10000</v>
      </c>
      <c r="I20" s="123" cm="1">
        <f t="array" ref="I20">_xll.BDP(B20&amp;" Equity","LAST_PRICE")</f>
        <v>107.51</v>
      </c>
      <c r="J20" s="535">
        <f>I20/K20-1</f>
        <v>-4.2312488865134501E-2</v>
      </c>
      <c r="K20" s="536">
        <v>112.26</v>
      </c>
      <c r="L20" s="221" cm="1">
        <f t="array" ref="L20">_xll.BDP(E20&amp;" Curncy","PX_LAST")</f>
        <v>1</v>
      </c>
      <c r="M20" s="537">
        <v>1</v>
      </c>
      <c r="N20" s="533">
        <f t="shared" ref="N20" si="45">IFERROR(IF(((I20/L20)*H20*M20)&lt;&gt;0,((I20/L20)*H20*M20),0),"-")</f>
        <v>1075100</v>
      </c>
      <c r="O20" s="538">
        <f>IFERROR(IF(Tabelad[[#This Row],[D1 Exp USD]]&lt;&gt;0,N20/$AE$7,0),"-")</f>
        <v>4.4867544643872566E-4</v>
      </c>
      <c r="P20" s="539">
        <f>IFERROR(IF(Tabelad[[#This Row],[D1 Exp USD]]&lt;&gt;0,((I20-K20)/L20*M20*H20)/$AD$7*10000,0),"-")</f>
        <v>-0.19823350112398352</v>
      </c>
      <c r="Q20" s="533"/>
      <c r="R20" s="412"/>
      <c r="S20" s="539"/>
      <c r="T20" s="540">
        <f t="shared" ref="T20" si="46">N20+Q20</f>
        <v>1075100</v>
      </c>
      <c r="U20" s="369">
        <f t="shared" ref="U20" si="47">T20/$AE$7</f>
        <v>4.4867544643872566E-4</v>
      </c>
      <c r="V20" s="539">
        <f t="shared" ref="V20" si="48">P20+S20</f>
        <v>-0.19823350112398352</v>
      </c>
      <c r="W20" s="533">
        <f t="shared" ref="W20" si="49">$W$10/(I20/L20*M20)</f>
        <v>5571.9563435959444</v>
      </c>
      <c r="X20" s="412"/>
      <c r="Y20" s="541">
        <f>Tabelad[[#This Row],[Exp %]]*$Y$10*$AD$7/Tabelad[[#This Row],[Price Today]]</f>
        <v>3500</v>
      </c>
      <c r="Z20" s="542">
        <f>Tabelad[[#This Row],[Vol 10d]]/16*Tabelad[[#This Row],[Exp %]]*100</f>
        <v>9.5762160520474315E-2</v>
      </c>
      <c r="AA20" s="412">
        <f>Tabelad[[#This Row],[Exp %]]*Tabelad[[#This Row],[Beta Adj2]]</f>
        <v>4.4467050067437011E-4</v>
      </c>
      <c r="AB20" s="123">
        <f>_xll.BDP($B20&amp;" Equity","volatility_10d")</f>
        <v>34.149284978464642</v>
      </c>
      <c r="AC20" s="123">
        <f>_xll.BDP(B20&amp;" EQUITY","eqy_beta")</f>
        <v>0.9910738468170166</v>
      </c>
      <c r="AD20" s="533">
        <f>Tabelad[[#This Row],[D1 P&amp;L bps]]*$AD$5/10000</f>
        <v>-44523.939517688443</v>
      </c>
      <c r="AE20" s="368"/>
      <c r="AF20" s="543" t="str">
        <f>_xll.BDP(B20&amp;" Equity","EXPECTED_REPORT_DT")</f>
        <v>#N/A N/A</v>
      </c>
      <c r="AG20" s="544">
        <f>_xll.BDP(B20&amp;" Index","CHG_PCT_1D_PRE_FROM_REGULAR")/100</f>
        <v>1.0788150000000002E-2</v>
      </c>
      <c r="AH20" s="539">
        <f t="shared" ref="AH20" si="50">(T20*AG20)/$AD$7*10000</f>
        <v>4.8403780174979393E-2</v>
      </c>
      <c r="AI20" s="545" t="str">
        <f>_xll.BDP(B20&amp;" Equity","DVD_EX_DT")</f>
        <v>22/12/2025</v>
      </c>
    </row>
    <row r="21" spans="1:35" s="59" customFormat="1">
      <c r="A21" s="468"/>
      <c r="B21" s="423" t="s">
        <v>131</v>
      </c>
      <c r="C21" s="59" t="s">
        <v>2138</v>
      </c>
      <c r="E21" s="59" t="s">
        <v>194</v>
      </c>
      <c r="F21" s="163"/>
      <c r="G21" s="404"/>
      <c r="H21" s="469">
        <v>2500</v>
      </c>
      <c r="I21" s="14" cm="1">
        <f t="array" ref="I21">_xll.BDP(B21&amp;" Equity","LAST_PRICE")</f>
        <v>107.51</v>
      </c>
      <c r="J21" s="470">
        <f>I21/K21-1</f>
        <v>9.3023255814062011E-5</v>
      </c>
      <c r="K21" s="471">
        <v>107.5</v>
      </c>
      <c r="L21" s="8" cm="1">
        <f t="array" ref="L21">_xll.BDP(E21&amp;" Curncy","PX_LAST")</f>
        <v>1</v>
      </c>
      <c r="M21" s="472">
        <v>1</v>
      </c>
      <c r="N21" s="404">
        <f t="shared" ref="N21" si="51">IFERROR(IF(((I21/L21)*H21*M21)&lt;&gt;0,((I21/L21)*H21*M21),0),"-")</f>
        <v>268775</v>
      </c>
      <c r="O21" s="473">
        <f>IFERROR(IF(Tabelad[[#This Row],[D1 Exp USD]]&lt;&gt;0,N21/$AE$7,0),"-")</f>
        <v>1.1216886160968142E-4</v>
      </c>
      <c r="P21" s="474">
        <f>IFERROR(IF(Tabelad[[#This Row],[D1 Exp USD]]&lt;&gt;0,((I21-K21)/L21*M21*H21)/$AD$7*10000,0),"-")</f>
        <v>1.0433342164425524E-4</v>
      </c>
      <c r="Q21" s="404"/>
      <c r="R21" s="128"/>
      <c r="S21" s="474"/>
      <c r="T21" s="475">
        <f t="shared" ref="T21" si="52">N21+Q21</f>
        <v>268775</v>
      </c>
      <c r="U21" s="476">
        <f t="shared" ref="U21" si="53">T21/$AE$7</f>
        <v>1.1216886160968142E-4</v>
      </c>
      <c r="V21" s="474">
        <f t="shared" ref="V21" si="54">P21+S21</f>
        <v>1.0433342164425524E-4</v>
      </c>
      <c r="W21" s="404">
        <f t="shared" ref="W21" si="55">$W$10/(I21/L21*M21)</f>
        <v>5571.9563435959444</v>
      </c>
      <c r="X21" s="128"/>
      <c r="Y21" s="477">
        <f>Tabelad[[#This Row],[Exp %]]*$Y$10*$AD$7/Tabelad[[#This Row],[Price Today]]</f>
        <v>875</v>
      </c>
      <c r="Z21" s="478">
        <f>Tabelad[[#This Row],[Vol 10d]]/16*Tabelad[[#This Row],[Exp %]]*100</f>
        <v>2.3940540130118579E-2</v>
      </c>
      <c r="AA21" s="128">
        <f>Tabelad[[#This Row],[Exp %]]*Tabelad[[#This Row],[Beta Adj2]]</f>
        <v>1.1116762516859253E-4</v>
      </c>
      <c r="AB21" s="14">
        <f>_xll.BDP($B21&amp;" Equity","volatility_10d")</f>
        <v>34.149284978464642</v>
      </c>
      <c r="AC21" s="14">
        <f>_xll.BDP(B21&amp;" EQUITY","eqy_beta")</f>
        <v>0.9910738468170166</v>
      </c>
      <c r="AD21" s="404">
        <f>Tabelad[[#This Row],[D1 P&amp;L bps]]*$AD$5/10000</f>
        <v>23.433652377742749</v>
      </c>
      <c r="AE21" s="337"/>
      <c r="AF21" s="479" t="str">
        <f>_xll.BDP(B21&amp;" Equity","EXPECTED_REPORT_DT")</f>
        <v>#N/A N/A</v>
      </c>
      <c r="AG21" s="480">
        <f>_xll.BDP(B21&amp;" Index","CHG_PCT_1D_PRE_FROM_REGULAR")/100</f>
        <v>1.0788150000000002E-2</v>
      </c>
      <c r="AH21" s="474">
        <f t="shared" ref="AH21" si="56">(T21*AG21)/$AD$7*10000</f>
        <v>1.2100945043744848E-2</v>
      </c>
      <c r="AI21" s="481" t="str">
        <f>_xll.BDP(B21&amp;" Equity","DVD_EX_DT")</f>
        <v>22/12/2025</v>
      </c>
    </row>
    <row r="22" spans="1:35" s="59" customFormat="1">
      <c r="A22" s="468"/>
      <c r="B22" s="423" t="s">
        <v>131</v>
      </c>
      <c r="C22" s="59" t="s">
        <v>2138</v>
      </c>
      <c r="E22" s="59" t="s">
        <v>194</v>
      </c>
      <c r="F22" s="163"/>
      <c r="G22" s="404"/>
      <c r="H22" s="469">
        <v>3345</v>
      </c>
      <c r="I22" s="14" cm="1">
        <f t="array" ref="I22">_xll.BDP(B22&amp;" Equity","LAST_PRICE")</f>
        <v>107.51</v>
      </c>
      <c r="J22" s="470">
        <f>I22/K22-1</f>
        <v>1.8606381989028087E-4</v>
      </c>
      <c r="K22" s="471">
        <v>107.49</v>
      </c>
      <c r="L22" s="8" cm="1">
        <f t="array" ref="L22">_xll.BDP(E22&amp;" Curncy","PX_LAST")</f>
        <v>1</v>
      </c>
      <c r="M22" s="472">
        <v>1</v>
      </c>
      <c r="N22" s="404">
        <f t="shared" ref="N22" si="57">IFERROR(IF(((I22/L22)*H22*M22)&lt;&gt;0,((I22/L22)*H22*M22),0),"-")</f>
        <v>359620.95</v>
      </c>
      <c r="O22" s="473">
        <f>IFERROR(IF(Tabelad[[#This Row],[D1 Exp USD]]&lt;&gt;0,N22/$AE$7,0),"-")</f>
        <v>1.5008193683375374E-4</v>
      </c>
      <c r="P22" s="474">
        <f>IFERROR(IF(Tabelad[[#This Row],[D1 Exp USD]]&lt;&gt;0,((I22-K22)/L22*M22*H22)/$AD$7*10000,0),"-")</f>
        <v>2.7919623632002703E-4</v>
      </c>
      <c r="Q22" s="404"/>
      <c r="R22" s="128"/>
      <c r="S22" s="474"/>
      <c r="T22" s="475">
        <f t="shared" ref="T22" si="58">N22+Q22</f>
        <v>359620.95</v>
      </c>
      <c r="U22" s="476">
        <f t="shared" ref="U22" si="59">T22/$AE$7</f>
        <v>1.5008193683375374E-4</v>
      </c>
      <c r="V22" s="474">
        <f t="shared" ref="V22" si="60">P22+S22</f>
        <v>2.7919623632002703E-4</v>
      </c>
      <c r="W22" s="404">
        <f t="shared" ref="W22" si="61">$W$10/(I22/L22*M22)</f>
        <v>5571.9563435959444</v>
      </c>
      <c r="X22" s="128"/>
      <c r="Y22" s="477">
        <f>Tabelad[[#This Row],[Exp %]]*$Y$10*$AD$7/Tabelad[[#This Row],[Price Today]]</f>
        <v>1170.7499999999998</v>
      </c>
      <c r="Z22" s="478">
        <f>Tabelad[[#This Row],[Vol 10d]]/16*Tabelad[[#This Row],[Exp %]]*100</f>
        <v>3.2032442694098662E-2</v>
      </c>
      <c r="AA22" s="128">
        <f>Tabelad[[#This Row],[Exp %]]*Tabelad[[#This Row],[Beta Adj2]]</f>
        <v>1.487422824755768E-4</v>
      </c>
      <c r="AB22" s="14">
        <f>_xll.BDP($B22&amp;" Equity","volatility_10d")</f>
        <v>34.149284978464642</v>
      </c>
      <c r="AC22" s="14">
        <f>_xll.BDP(B22&amp;" EQUITY","eqy_beta")</f>
        <v>0.9910738468170166</v>
      </c>
      <c r="AD22" s="404">
        <f>Tabelad[[#This Row],[D1 P&amp;L bps]]*$AD$5/10000</f>
        <v>62.708453762839596</v>
      </c>
      <c r="AE22" s="337"/>
      <c r="AF22" s="479" t="str">
        <f>_xll.BDP(B22&amp;" Equity","EXPECTED_REPORT_DT")</f>
        <v>#N/A N/A</v>
      </c>
      <c r="AG22" s="480">
        <f>_xll.BDP(B22&amp;" Index","CHG_PCT_1D_PRE_FROM_REGULAR")/100</f>
        <v>1.0788150000000002E-2</v>
      </c>
      <c r="AH22" s="474">
        <f t="shared" ref="AH22" si="62">(T22*AG22)/$AD$7*10000</f>
        <v>1.6191064468530608E-2</v>
      </c>
      <c r="AI22" s="481" t="str">
        <f>_xll.BDP(B22&amp;" Equity","DVD_EX_DT")</f>
        <v>22/12/2025</v>
      </c>
    </row>
    <row r="23" spans="1:35">
      <c r="B23" s="40" t="s">
        <v>2148</v>
      </c>
      <c r="C23" t="s">
        <v>2249</v>
      </c>
      <c r="E23" t="s">
        <v>194</v>
      </c>
      <c r="F23" s="22" t="s">
        <v>99</v>
      </c>
      <c r="G23" s="15"/>
      <c r="H23" s="446">
        <v>8750</v>
      </c>
      <c r="I23" s="36" cm="1">
        <f t="array" ref="I23">_xll.BDP(B23&amp;" Equity","LAST_PRICE")</f>
        <v>338.875</v>
      </c>
      <c r="J23" s="51">
        <f t="shared" ref="J23:J27" si="63">I23/K23-1</f>
        <v>7.7167836326870187E-3</v>
      </c>
      <c r="K23" s="438" cm="1">
        <f t="array" ref="K23">_xll.BDP(B23&amp;" EQUITY","PX_YEST_CLOSE")</f>
        <v>336.28</v>
      </c>
      <c r="L23" s="53" cm="1">
        <f t="array" ref="L23">_xll.BDP(E23&amp;" Curncy","PX_LAST")</f>
        <v>1</v>
      </c>
      <c r="M23" s="52">
        <v>1</v>
      </c>
      <c r="N23" s="15">
        <f t="shared" si="40"/>
        <v>2965156.25</v>
      </c>
      <c r="O23" s="357">
        <f>IFERROR(IF(Tabelad[[#This Row],[D1 Exp USD]]&lt;&gt;0,N23/$AE$7,0),"-")</f>
        <v>1.2374595890887617E-3</v>
      </c>
      <c r="P23" s="20">
        <f>IFERROR(IF(Tabelad[[#This Row],[D1 Exp USD]]&lt;&gt;0,((I23-K23)/L23*M23*H23)/$AD$7*10000,0),"-")</f>
        <v>9.4760830208347344E-2</v>
      </c>
      <c r="Q23" s="15">
        <f>IF(SUM(SUMIFS(Options!$AL$4:$AL$25, Options!$D$4:$D$25, B23), SUMIFS(Options!$AL$4:$AL$25, Options!$D$4:$D$25, B23 &amp; " US"))=0,0,SUM(SUMIFS(Options!$AL$4:$AL$25, Options!$D$4:$D$25, B23), SUMIFS(Options!$AL$4:$AL$25, Options!$D$4:$D$25, B23 &amp; " US")))</f>
        <v>0</v>
      </c>
      <c r="R23" s="19">
        <f t="shared" ref="R23:R42" si="64">Q23/$AE$7</f>
        <v>0</v>
      </c>
      <c r="S23" s="20">
        <f>IF(SUM(SUMIFS(Options!$AK$4:$AK$25, Options!$D$4:$D$25, B23), SUMIFS(Options!$AK$4:$AK$25, Options!$D$4:$D$25, B23 &amp; " US"))=0,0,SUM(SUMIFS(Options!$AK$4:$AK$25, Options!$D$4:$D$25, B23), SUMIFS(Options!AK$4:$AK$25, Options!$D$4:$D$25, B23 &amp; " US")))</f>
        <v>0</v>
      </c>
      <c r="T23" s="13">
        <f t="shared" si="42"/>
        <v>2965156.25</v>
      </c>
      <c r="U23" s="48">
        <f t="shared" si="43"/>
        <v>1.2374595890887617E-3</v>
      </c>
      <c r="V23" s="20">
        <f t="shared" si="44"/>
        <v>9.4760830208347344E-2</v>
      </c>
      <c r="W23" s="15">
        <f t="shared" si="8"/>
        <v>1767.7344935448175</v>
      </c>
      <c r="X23" s="19"/>
      <c r="Y23" s="375">
        <f>Tabelad[[#This Row],[Exp %]]*$Y$10*$AD$7/Tabelad[[#This Row],[Price Today]]</f>
        <v>3062.5</v>
      </c>
      <c r="Z23" s="266">
        <f>Tabelad[[#This Row],[Vol 10d]]/16*Tabelad[[#This Row],[Exp %]]*100</f>
        <v>0.1675264741738853</v>
      </c>
      <c r="AA23" s="19">
        <f>Tabelad[[#This Row],[Exp %]]*Tabelad[[#This Row],[Beta Adj2]]</f>
        <v>1.2784083013132907E-3</v>
      </c>
      <c r="AB23" s="36">
        <f>_xll.BDP($B23&amp;" Equity","volatility_10d")</f>
        <v>21.660695916187215</v>
      </c>
      <c r="AC23" s="36" cm="1">
        <f t="array" ref="AC23">_xll.BDP(B23&amp;" EQUITY","eqy_beta")</f>
        <v>1.0330909490585327</v>
      </c>
      <c r="AD23" s="15">
        <f>Tabelad[[#This Row],[D1 P&amp;L bps]]*$AD$5/10000</f>
        <v>21283.614772074186</v>
      </c>
      <c r="AE23" s="277"/>
      <c r="AF23" s="231" t="str">
        <f>_xll.BDP(B23&amp;" Equity","EXPECTED_REPORT_DT")</f>
        <v>04/02/2026</v>
      </c>
      <c r="AG23" s="172">
        <f>_xll.BDP(B23&amp;" Index","CHG_PCT_1D_PRE_FROM_REGULAR")/100</f>
        <v>1.1062209999999999E-2</v>
      </c>
      <c r="AH23" s="20">
        <f t="shared" si="9"/>
        <v>0.13689037841013588</v>
      </c>
      <c r="AI23" s="445" t="str">
        <f>_xll.BDP(B23&amp;" Equity","DVD_EX_DT")</f>
        <v>08/12/2025</v>
      </c>
    </row>
    <row r="24" spans="1:35" s="59" customFormat="1">
      <c r="A24" s="468" t="s">
        <v>1770</v>
      </c>
      <c r="B24" s="423" t="s">
        <v>2148</v>
      </c>
      <c r="C24" s="59" t="s">
        <v>2249</v>
      </c>
      <c r="E24" s="59" t="s">
        <v>194</v>
      </c>
      <c r="F24" s="163" t="s">
        <v>99</v>
      </c>
      <c r="G24" s="404"/>
      <c r="H24" s="469">
        <v>5750</v>
      </c>
      <c r="I24" s="14" cm="1">
        <f t="array" ref="I24">_xll.BDP(B24&amp;" Equity","LAST_PRICE")</f>
        <v>338.875</v>
      </c>
      <c r="J24" s="470">
        <f t="shared" ref="J24" si="65">I24/K24-1</f>
        <v>2.6365205803071001E-2</v>
      </c>
      <c r="K24" s="471">
        <v>330.17</v>
      </c>
      <c r="L24" s="8" cm="1">
        <f t="array" ref="L24">_xll.BDP(E24&amp;" Curncy","PX_LAST")</f>
        <v>1</v>
      </c>
      <c r="M24" s="472">
        <v>1</v>
      </c>
      <c r="N24" s="404">
        <f t="shared" ref="N24" si="66">IFERROR(IF(((I24/L24)*H24*M24)&lt;&gt;0,((I24/L24)*H24*M24),0),"-")</f>
        <v>1948531.25</v>
      </c>
      <c r="O24" s="473">
        <f>IFERROR(IF(Tabelad[[#This Row],[D1 Exp USD]]&lt;&gt;0,N24/$AE$7,0),"-")</f>
        <v>8.1318772997261484E-4</v>
      </c>
      <c r="P24" s="474">
        <f>IFERROR(IF(Tabelad[[#This Row],[D1 Exp USD]]&lt;&gt;0,((I24-K24)/L24*M24*H24)/$AD$7*10000,0),"-")</f>
        <v>0.20889116014493836</v>
      </c>
      <c r="Q24" s="404"/>
      <c r="R24" s="128"/>
      <c r="S24" s="474"/>
      <c r="T24" s="475">
        <f t="shared" ref="T24" si="67">N24+Q24</f>
        <v>1948531.25</v>
      </c>
      <c r="U24" s="476">
        <f t="shared" ref="U24" si="68">T24/$AE$7</f>
        <v>8.1318772997261484E-4</v>
      </c>
      <c r="V24" s="474">
        <f t="shared" ref="V24" si="69">P24+S24</f>
        <v>0.20889116014493836</v>
      </c>
      <c r="W24" s="404">
        <f t="shared" ref="W24" si="70">$W$10/(I24/L24*M24)</f>
        <v>1767.7344935448175</v>
      </c>
      <c r="X24" s="128"/>
      <c r="Y24" s="477">
        <f>Tabelad[[#This Row],[Exp %]]*$Y$10*$AD$7/Tabelad[[#This Row],[Price Today]]</f>
        <v>2012.4999999999995</v>
      </c>
      <c r="Z24" s="478">
        <f>Tabelad[[#This Row],[Vol 10d]]/16*Tabelad[[#This Row],[Exp %]]*100</f>
        <v>0.11008882588569606</v>
      </c>
      <c r="AA24" s="128">
        <f>Tabelad[[#This Row],[Exp %]]*Tabelad[[#This Row],[Beta Adj2]]</f>
        <v>8.4009688372016251E-4</v>
      </c>
      <c r="AB24" s="14">
        <f>_xll.BDP($B24&amp;" Equity","volatility_10d")</f>
        <v>21.660695916187215</v>
      </c>
      <c r="AC24" s="14" cm="1">
        <f t="array" ref="AC24">_xll.BDP(B24&amp;" EQUITY","eqy_beta")</f>
        <v>1.0330909490585327</v>
      </c>
      <c r="AD24" s="404">
        <f>Tabelad[[#This Row],[D1 P&amp;L bps]]*$AD$5/10000</f>
        <v>46917.687108073551</v>
      </c>
      <c r="AE24" s="337"/>
      <c r="AF24" s="479" t="str">
        <f>_xll.BDP(B24&amp;" Equity","EXPECTED_REPORT_DT")</f>
        <v>04/02/2026</v>
      </c>
      <c r="AG24" s="480">
        <f>_xll.BDP(B24&amp;" Index","CHG_PCT_1D_PRE_FROM_REGULAR")/100</f>
        <v>1.1062209999999999E-2</v>
      </c>
      <c r="AH24" s="474">
        <f t="shared" ref="AH24" si="71">(T24*AG24)/$AD$7*10000</f>
        <v>8.9956534383803577E-2</v>
      </c>
      <c r="AI24" s="481" t="str">
        <f>_xll.BDP(B24&amp;" Equity","DVD_EX_DT")</f>
        <v>08/12/2025</v>
      </c>
    </row>
    <row r="25" spans="1:35">
      <c r="B25" s="40" t="s">
        <v>79</v>
      </c>
      <c r="C25" t="s">
        <v>2249</v>
      </c>
      <c r="E25" t="s">
        <v>194</v>
      </c>
      <c r="F25" s="22" t="s">
        <v>99</v>
      </c>
      <c r="G25" s="15"/>
      <c r="H25" s="446">
        <v>10800</v>
      </c>
      <c r="I25" s="36" cm="1">
        <f t="array" ref="I25">_xll.BDP(B25&amp;" Equity","LAST_PRICE")</f>
        <v>258.41000000000003</v>
      </c>
      <c r="J25" s="51">
        <f t="shared" ref="J25" si="72">I25/K25-1</f>
        <v>7.6821088753704636E-3</v>
      </c>
      <c r="K25" s="438" cm="1">
        <f t="array" ref="K25">_xll.BDP(B25&amp;" EQUITY","PX_YEST_CLOSE")</f>
        <v>256.44</v>
      </c>
      <c r="L25" s="53" cm="1">
        <f t="array" ref="L25">_xll.BDP(E25&amp;" Curncy","PX_LAST")</f>
        <v>1</v>
      </c>
      <c r="M25" s="52">
        <v>1</v>
      </c>
      <c r="N25" s="15">
        <f t="shared" ref="N25" si="73">IFERROR(IF(((I25/L25)*H25*M25)&lt;&gt;0,((I25/L25)*H25*M25),0),"-")</f>
        <v>2790828.0000000005</v>
      </c>
      <c r="O25" s="357">
        <f>IFERROR(IF(Tabelad[[#This Row],[D1 Exp USD]]&lt;&gt;0,N25/$AE$7,0),"-")</f>
        <v>1.1647065378417787E-3</v>
      </c>
      <c r="P25" s="20">
        <f>IFERROR(IF(Tabelad[[#This Row],[D1 Exp USD]]&lt;&gt;0,((I25-K25)/L25*M25*H25)/$AD$7*10000,0),"-")</f>
        <v>8.8791915156082771E-2</v>
      </c>
      <c r="Q25" s="15">
        <f>IF(SUM(SUMIFS(Options!$AL$4:$AL$25, Options!$D$4:$D$25, B25), SUMIFS(Options!$AL$4:$AL$25, Options!$D$4:$D$25, B25 &amp; " US"))=0,0,SUM(SUMIFS(Options!$AL$4:$AL$25, Options!$D$4:$D$25, B25), SUMIFS(Options!$AL$4:$AL$25, Options!$D$4:$D$25, B25 &amp; " US")))</f>
        <v>0</v>
      </c>
      <c r="R25" s="19">
        <f t="shared" si="64"/>
        <v>0</v>
      </c>
      <c r="S25" s="20">
        <f>IF(SUM(SUMIFS(Options!$AK$4:$AK$25, Options!$D$4:$D$25, B25), SUMIFS(Options!$AK$4:$AK$25, Options!$D$4:$D$25, B25 &amp; " US"))=0,0,SUM(SUMIFS(Options!$AK$4:$AK$25, Options!$D$4:$D$25, B25), SUMIFS(Options!AK$4:$AK$25, Options!$D$4:$D$25, B25 &amp; " US")))</f>
        <v>0</v>
      </c>
      <c r="T25" s="13">
        <f t="shared" ref="T25" si="74">N25+Q25</f>
        <v>2790828.0000000005</v>
      </c>
      <c r="U25" s="48">
        <f t="shared" ref="U25" si="75">T25/$AE$7</f>
        <v>1.1647065378417787E-3</v>
      </c>
      <c r="V25" s="20">
        <f t="shared" ref="V25" si="76">P25+S25</f>
        <v>8.8791915156082771E-2</v>
      </c>
      <c r="W25" s="15">
        <f t="shared" ref="W25" si="77">$W$10/(I25/L25*M25)</f>
        <v>2318.1805135250183</v>
      </c>
      <c r="X25" s="19"/>
      <c r="Y25" s="375">
        <f>Tabelad[[#This Row],[Exp %]]*$Y$10*$AD$7/Tabelad[[#This Row],[Price Today]]</f>
        <v>3780.0000000000009</v>
      </c>
      <c r="Z25" s="266">
        <f>Tabelad[[#This Row],[Vol 10d]]/16*Tabelad[[#This Row],[Exp %]]*100</f>
        <v>0.20443144350325246</v>
      </c>
      <c r="AA25" s="19">
        <f>Tabelad[[#This Row],[Exp %]]*Tabelad[[#This Row],[Beta Adj2]]</f>
        <v>1.2474170622757716E-3</v>
      </c>
      <c r="AB25" s="36">
        <f>_xll.BDP($B25&amp;" Equity","volatility_10d")</f>
        <v>28.083495625542547</v>
      </c>
      <c r="AC25" s="36" cm="1">
        <f t="array" ref="AC25">_xll.BDP(B25&amp;" EQUITY","eqy_beta")</f>
        <v>1.0710140466690063</v>
      </c>
      <c r="AD25" s="15">
        <f>Tabelad[[#This Row],[D1 P&amp;L bps]]*$AD$5/10000</f>
        <v>19942.975519544259</v>
      </c>
      <c r="AE25" s="277"/>
      <c r="AF25" s="231" t="str">
        <f>_xll.BDP(B25&amp;" Equity","EXPECTED_REPORT_DT")</f>
        <v>29/01/2026</v>
      </c>
      <c r="AG25" s="172">
        <f>_xll.BDP(B25&amp;" Index","CHG_PCT_1D_PRE_FROM_REGULAR")/100</f>
        <v>5.303327E-3</v>
      </c>
      <c r="AH25" s="20">
        <f t="shared" ref="AH25" si="78">(T25*AG25)/$AD$7*10000</f>
        <v>6.1768196292128257E-2</v>
      </c>
      <c r="AI25" s="445" t="str">
        <f>_xll.BDP(B25&amp;" Equity","DVD_EX_DT")</f>
        <v>10/11/2025</v>
      </c>
    </row>
    <row r="26" spans="1:35" s="59" customFormat="1">
      <c r="A26" s="468" t="s">
        <v>1770</v>
      </c>
      <c r="B26" s="423" t="s">
        <v>79</v>
      </c>
      <c r="C26" s="59" t="s">
        <v>2249</v>
      </c>
      <c r="E26" s="59" t="s">
        <v>194</v>
      </c>
      <c r="F26" s="163" t="s">
        <v>99</v>
      </c>
      <c r="G26" s="404"/>
      <c r="H26" s="469">
        <v>-10800</v>
      </c>
      <c r="I26" s="14" cm="1">
        <f t="array" ref="I26">_xll.BDP(B26&amp;" Equity","LAST_PRICE")</f>
        <v>258.41000000000003</v>
      </c>
      <c r="J26" s="470">
        <f t="shared" ref="J26" si="79">I26/K26-1</f>
        <v>8.4686231657822297E-3</v>
      </c>
      <c r="K26" s="471">
        <v>256.24</v>
      </c>
      <c r="L26" s="8" cm="1">
        <f t="array" ref="L26">_xll.BDP(E26&amp;" Curncy","PX_LAST")</f>
        <v>1</v>
      </c>
      <c r="M26" s="472">
        <v>1</v>
      </c>
      <c r="N26" s="404">
        <f t="shared" ref="N26" si="80">IFERROR(IF(((I26/L26)*H26*M26)&lt;&gt;0,((I26/L26)*H26*M26),0),"-")</f>
        <v>-2790828.0000000005</v>
      </c>
      <c r="O26" s="473">
        <f>IFERROR(IF(Tabelad[[#This Row],[D1 Exp USD]]&lt;&gt;0,N26/$AE$7,0),"-")</f>
        <v>-1.1647065378417787E-3</v>
      </c>
      <c r="P26" s="474">
        <f>IFERROR(IF(Tabelad[[#This Row],[D1 Exp USD]]&lt;&gt;0,((I26-K26)/L26*M26*H26)/$AD$7*10000,0),"-")</f>
        <v>-9.7806322786141306E-2</v>
      </c>
      <c r="Q26" s="404"/>
      <c r="R26" s="128"/>
      <c r="S26" s="474"/>
      <c r="T26" s="475">
        <f t="shared" ref="T26" si="81">N26+Q26</f>
        <v>-2790828.0000000005</v>
      </c>
      <c r="U26" s="476">
        <f t="shared" ref="U26" si="82">T26/$AE$7</f>
        <v>-1.1647065378417787E-3</v>
      </c>
      <c r="V26" s="474">
        <f t="shared" ref="V26" si="83">P26+S26</f>
        <v>-9.7806322786141306E-2</v>
      </c>
      <c r="W26" s="404">
        <f t="shared" ref="W26" si="84">$W$10/(I26/L26*M26)</f>
        <v>2318.1805135250183</v>
      </c>
      <c r="X26" s="128"/>
      <c r="Y26" s="477">
        <f>Tabelad[[#This Row],[Exp %]]*$Y$10*$AD$7/Tabelad[[#This Row],[Price Today]]</f>
        <v>-3780.0000000000009</v>
      </c>
      <c r="Z26" s="478">
        <f>Tabelad[[#This Row],[Vol 10d]]/16*Tabelad[[#This Row],[Exp %]]*100</f>
        <v>-0.20443144350325246</v>
      </c>
      <c r="AA26" s="128">
        <f>Tabelad[[#This Row],[Exp %]]*Tabelad[[#This Row],[Beta Adj2]]</f>
        <v>-1.2474170622757716E-3</v>
      </c>
      <c r="AB26" s="14">
        <f>_xll.BDP($B26&amp;" Equity","volatility_10d")</f>
        <v>28.083495625542547</v>
      </c>
      <c r="AC26" s="14" cm="1">
        <f t="array" ref="AC26">_xll.BDP(B26&amp;" EQUITY","eqy_beta")</f>
        <v>1.0710140466690063</v>
      </c>
      <c r="AD26" s="404">
        <f>Tabelad[[#This Row],[D1 P&amp;L bps]]*$AD$5/10000</f>
        <v>-21967.643084980082</v>
      </c>
      <c r="AE26" s="337"/>
      <c r="AF26" s="479" t="str">
        <f>_xll.BDP(B26&amp;" Equity","EXPECTED_REPORT_DT")</f>
        <v>29/01/2026</v>
      </c>
      <c r="AG26" s="480">
        <f>_xll.BDP(B26&amp;" Index","CHG_PCT_1D_PRE_FROM_REGULAR")/100</f>
        <v>5.303327E-3</v>
      </c>
      <c r="AH26" s="474">
        <f t="shared" ref="AH26" si="85">(T26*AG26)/$AD$7*10000</f>
        <v>-6.1768196292128257E-2</v>
      </c>
      <c r="AI26" s="481" t="str">
        <f>_xll.BDP(B26&amp;" Equity","DVD_EX_DT")</f>
        <v>10/11/2025</v>
      </c>
    </row>
    <row r="27" spans="1:35">
      <c r="B27" s="40" t="s">
        <v>399</v>
      </c>
      <c r="C27" t="s">
        <v>2249</v>
      </c>
      <c r="E27" t="s">
        <v>194</v>
      </c>
      <c r="F27" s="22" t="s">
        <v>99</v>
      </c>
      <c r="G27" s="15"/>
      <c r="H27" s="446">
        <v>18135</v>
      </c>
      <c r="I27" s="36" cm="1">
        <f t="array" ref="I27">_xll.BDP(B27&amp;" Equity","LAST_PRICE")</f>
        <v>241.8</v>
      </c>
      <c r="J27" s="51">
        <f t="shared" si="63"/>
        <v>-4.9792189621825633E-3</v>
      </c>
      <c r="K27" s="438" cm="1">
        <f t="array" ref="K27">_xll.BDP(B27&amp;" EQUITY","PX_YEST_CLOSE")</f>
        <v>243.01</v>
      </c>
      <c r="L27" s="53" cm="1">
        <f t="array" ref="L27">_xll.BDP(E27&amp;" Curncy","PX_LAST")</f>
        <v>1</v>
      </c>
      <c r="M27" s="52">
        <v>1</v>
      </c>
      <c r="N27" s="15">
        <f t="shared" si="40"/>
        <v>4385043</v>
      </c>
      <c r="O27" s="357">
        <f>IFERROR(IF(Tabelad[[#This Row],[D1 Exp USD]]&lt;&gt;0,N27/$AE$7,0),"-")</f>
        <v>1.8300261609878233E-3</v>
      </c>
      <c r="P27" s="20">
        <f>IFERROR(IF(Tabelad[[#This Row],[D1 Exp USD]]&lt;&gt;0,((I27-K27)/L27*M27*H27)/$AD$7*10000,0),"-")</f>
        <v>-9.157699151345032E-2</v>
      </c>
      <c r="Q27" s="15">
        <f>IF(SUM(SUMIFS(Options!$AL$4:$AL$25, Options!$D$4:$D$25, B27), SUMIFS(Options!$AL$4:$AL$25, Options!$D$4:$D$25, B27 &amp; " US"))=0,0,SUM(SUMIFS(Options!$AL$4:$AL$25, Options!$D$4:$D$25, B27), SUMIFS(Options!$AL$4:$AL$25, Options!$D$4:$D$25, B27 &amp; " US")))</f>
        <v>0</v>
      </c>
      <c r="R27" s="19">
        <f t="shared" si="64"/>
        <v>0</v>
      </c>
      <c r="S27" s="20">
        <f>IF(SUM(SUMIFS(Options!$AK$4:$AK$25, Options!$D$4:$D$25, B27), SUMIFS(Options!$AK$4:$AK$25, Options!$D$4:$D$25, B27 &amp; " US"))=0,0,SUM(SUMIFS(Options!$AK$4:$AK$25, Options!$D$4:$D$25, B27), SUMIFS(Options!AK$4:$AK$25, Options!$D$4:$D$25, B27 &amp; " US")))</f>
        <v>0</v>
      </c>
      <c r="T27" s="13">
        <f t="shared" si="42"/>
        <v>4385043</v>
      </c>
      <c r="U27" s="48">
        <f t="shared" si="43"/>
        <v>1.8300261609878233E-3</v>
      </c>
      <c r="V27" s="20">
        <f t="shared" si="44"/>
        <v>-9.157699151345032E-2</v>
      </c>
      <c r="W27" s="15">
        <f t="shared" si="8"/>
        <v>2477.4236000827132</v>
      </c>
      <c r="X27" s="19"/>
      <c r="Y27" s="375">
        <f>Tabelad[[#This Row],[Exp %]]*$Y$10*$AD$7/Tabelad[[#This Row],[Price Today]]</f>
        <v>6347.2499999999991</v>
      </c>
      <c r="Z27" s="266">
        <f>Tabelad[[#This Row],[Vol 10d]]/16*Tabelad[[#This Row],[Exp %]]*100</f>
        <v>0.33690494269140453</v>
      </c>
      <c r="AA27" s="19">
        <f>Tabelad[[#This Row],[Exp %]]*Tabelad[[#This Row],[Beta Adj2]]</f>
        <v>2.3224941826311858E-3</v>
      </c>
      <c r="AB27" s="36">
        <f>_xll.BDP($B27&amp;" Equity","volatility_10d")</f>
        <v>29.455748764557359</v>
      </c>
      <c r="AC27" s="36" cm="1">
        <f t="array" ref="AC27">_xll.BDP(B27&amp;" EQUITY","eqy_beta")</f>
        <v>1.2691043615341187</v>
      </c>
      <c r="AD27" s="15">
        <f>Tabelad[[#This Row],[D1 P&amp;L bps]]*$AD$5/10000</f>
        <v>-20568.513436114783</v>
      </c>
      <c r="AE27" s="277"/>
      <c r="AF27" s="231" t="str">
        <f>_xll.BDP(B27&amp;" Equity","EXPECTED_REPORT_DT")</f>
        <v>05/02/2026</v>
      </c>
      <c r="AG27" s="172">
        <f>_xll.BDP(B27&amp;" Index","CHG_PCT_1D_PRE_FROM_REGULAR")/100</f>
        <v>-8.6412680000000006E-4</v>
      </c>
      <c r="AH27" s="20">
        <f t="shared" si="9"/>
        <v>-1.5813746504106926E-2</v>
      </c>
      <c r="AI27" s="445" t="str">
        <f>_xll.BDP(B27&amp;" Equity","DVD_EX_DT")</f>
        <v>#N/A Field Not Applicable</v>
      </c>
    </row>
    <row r="28" spans="1:35" s="59" customFormat="1">
      <c r="A28" s="468"/>
      <c r="B28" s="423" t="s">
        <v>399</v>
      </c>
      <c r="C28" s="59" t="s">
        <v>2249</v>
      </c>
      <c r="E28" s="59" t="s">
        <v>194</v>
      </c>
      <c r="F28" s="163" t="s">
        <v>99</v>
      </c>
      <c r="G28" s="404"/>
      <c r="H28" s="469">
        <v>-3135</v>
      </c>
      <c r="I28" s="14" cm="1">
        <f t="array" ref="I28">_xll.BDP(B28&amp;" Equity","LAST_PRICE")</f>
        <v>241.8</v>
      </c>
      <c r="J28" s="470">
        <f t="shared" ref="J28" si="86">I28/K28-1</f>
        <v>8.7609511889863434E-3</v>
      </c>
      <c r="K28" s="471">
        <v>239.7</v>
      </c>
      <c r="L28" s="8" cm="1">
        <f t="array" ref="L28">_xll.BDP(E28&amp;" Curncy","PX_LAST")</f>
        <v>1</v>
      </c>
      <c r="M28" s="472">
        <v>1</v>
      </c>
      <c r="N28" s="404">
        <f t="shared" ref="N28" si="87">IFERROR(IF(((I28/L28)*H28*M28)&lt;&gt;0,((I28/L28)*H28*M28),0),"-")</f>
        <v>-758043</v>
      </c>
      <c r="O28" s="473">
        <f>IFERROR(IF(Tabelad[[#This Row],[D1 Exp USD]]&lt;&gt;0,N28/$AE$7,0),"-")</f>
        <v>-3.1635687977374285E-4</v>
      </c>
      <c r="P28" s="474">
        <f>IFERROR(IF(Tabelad[[#This Row],[D1 Exp USD]]&lt;&gt;0,((I28-K28)/L28*M28*H28)/$AD$7*10000,0),"-")</f>
        <v>-2.7475163255784415E-2</v>
      </c>
      <c r="Q28" s="404"/>
      <c r="R28" s="128"/>
      <c r="S28" s="474"/>
      <c r="T28" s="475">
        <f t="shared" ref="T28" si="88">N28+Q28</f>
        <v>-758043</v>
      </c>
      <c r="U28" s="476">
        <f t="shared" ref="U28" si="89">T28/$AE$7</f>
        <v>-3.1635687977374285E-4</v>
      </c>
      <c r="V28" s="474">
        <f t="shared" ref="V28" si="90">P28+S28</f>
        <v>-2.7475163255784415E-2</v>
      </c>
      <c r="W28" s="404">
        <f t="shared" ref="W28" si="91">$W$10/(I28/L28*M28)</f>
        <v>2477.4236000827132</v>
      </c>
      <c r="X28" s="128"/>
      <c r="Y28" s="477">
        <f>Tabelad[[#This Row],[Exp %]]*$Y$10*$AD$7/Tabelad[[#This Row],[Price Today]]</f>
        <v>-1097.25</v>
      </c>
      <c r="Z28" s="478">
        <f>Tabelad[[#This Row],[Vol 10d]]/16*Tabelad[[#This Row],[Exp %]]*100</f>
        <v>-5.8240804815966545E-2</v>
      </c>
      <c r="AA28" s="128">
        <f>Tabelad[[#This Row],[Exp %]]*Tabelad[[#This Row],[Beta Adj2]]</f>
        <v>-4.0148989592218187E-4</v>
      </c>
      <c r="AB28" s="14">
        <f>_xll.BDP($B28&amp;" Equity","volatility_10d")</f>
        <v>29.455748764557359</v>
      </c>
      <c r="AC28" s="14" cm="1">
        <f t="array" ref="AC28">_xll.BDP(B28&amp;" EQUITY","eqy_beta")</f>
        <v>1.2691043615341187</v>
      </c>
      <c r="AD28" s="404">
        <f>Tabelad[[#This Row],[D1 P&amp;L bps]]*$AD$5/10000</f>
        <v>-6171.0180171516849</v>
      </c>
      <c r="AE28" s="337"/>
      <c r="AF28" s="479" t="str">
        <f>_xll.BDP(B28&amp;" Equity","EXPECTED_REPORT_DT")</f>
        <v>05/02/2026</v>
      </c>
      <c r="AG28" s="480">
        <f>_xll.BDP(B28&amp;" Index","CHG_PCT_1D_PRE_FROM_REGULAR")/100</f>
        <v>-8.6412680000000006E-4</v>
      </c>
      <c r="AH28" s="474">
        <f t="shared" ref="AH28" si="92">(T28*AG28)/$AD$7*10000</f>
        <v>2.7337245817686908E-3</v>
      </c>
      <c r="AI28" s="481" t="str">
        <f>_xll.BDP(B28&amp;" Equity","DVD_EX_DT")</f>
        <v>#N/A Field Not Applicable</v>
      </c>
    </row>
    <row r="29" spans="1:35">
      <c r="B29" s="40" t="s">
        <v>81</v>
      </c>
      <c r="C29" t="s">
        <v>2249</v>
      </c>
      <c r="E29" t="s">
        <v>194</v>
      </c>
      <c r="F29" s="22" t="s">
        <v>99</v>
      </c>
      <c r="G29" s="15"/>
      <c r="H29" s="446"/>
      <c r="I29" s="36" cm="1">
        <f t="array" ref="I29">_xll.BDP(B29&amp;" Equity","LAST_PRICE")</f>
        <v>740.35</v>
      </c>
      <c r="J29" s="51">
        <f t="shared" si="2"/>
        <v>0.10709853004949688</v>
      </c>
      <c r="K29" s="438" cm="1">
        <f t="array" ref="K29">_xll.BDP(B29&amp;" EQUITY","PX_YEST_CLOSE")</f>
        <v>668.73</v>
      </c>
      <c r="L29" s="53" cm="1">
        <f t="array" ref="L29">_xll.BDP(E29&amp;" Curncy","PX_LAST")</f>
        <v>1</v>
      </c>
      <c r="M29" s="52">
        <v>1</v>
      </c>
      <c r="N29" s="15">
        <f t="shared" si="3"/>
        <v>0</v>
      </c>
      <c r="O29" s="357">
        <f>IFERROR(IF(Tabelad[[#This Row],[D1 Exp USD]]&lt;&gt;0,N29/$AE$7,0),"-")</f>
        <v>0</v>
      </c>
      <c r="P29" s="20">
        <f>IFERROR(IF(Tabelad[[#This Row],[D1 Exp USD]]&lt;&gt;0,((I29-K29)/L29*M29*H29)/$AD$7*10000,0),"-")</f>
        <v>0</v>
      </c>
      <c r="Q29" s="15">
        <f>IF(SUM(SUMIFS(Options!$AL$4:$AL$25, Options!$D$4:$D$25, B29), SUMIFS(Options!$AL$4:$AL$25, Options!$D$4:$D$25, B29 &amp; " US"))=0,0,SUM(SUMIFS(Options!$AL$4:$AL$25, Options!$D$4:$D$25, B29), SUMIFS(Options!$AL$4:$AL$25, Options!$D$4:$D$25, B29 &amp; " US")))</f>
        <v>6888781.1908587813</v>
      </c>
      <c r="R29" s="19">
        <f t="shared" si="64"/>
        <v>2.874920450402065E-3</v>
      </c>
      <c r="S29" s="20">
        <f>IF(SUM(SUMIFS(Options!$AK$4:$AK$25, Options!$D$4:$D$25, B29), SUMIFS(Options!$AK$4:$AK$25, Options!$D$4:$D$25, B29 &amp; " US"))=0,0,SUM(SUMIFS(Options!$AK$4:$AK$25, Options!$D$4:$D$25, B29), SUMIFS(Options!AK$4:$AK$25, Options!$D$4:$D$25, B29 &amp; " US")))</f>
        <v>2.188967352806177</v>
      </c>
      <c r="T29" s="13">
        <f t="shared" si="5"/>
        <v>6888781.1908587813</v>
      </c>
      <c r="U29" s="48">
        <f t="shared" si="6"/>
        <v>2.874920450402065E-3</v>
      </c>
      <c r="V29" s="20">
        <f t="shared" si="7"/>
        <v>2.188967352806177</v>
      </c>
      <c r="W29" s="15">
        <f t="shared" si="8"/>
        <v>809.13220301208889</v>
      </c>
      <c r="X29" s="19"/>
      <c r="Y29" s="375">
        <f>Tabelad[[#This Row],[Exp %]]*$Y$10*$AD$7/Tabelad[[#This Row],[Price Today]]</f>
        <v>3256.6670045256615</v>
      </c>
      <c r="Z29" s="266">
        <f>Tabelad[[#This Row],[Vol 10d]]/16*Tabelad[[#This Row],[Exp %]]*100</f>
        <v>0.64713538855330111</v>
      </c>
      <c r="AA29" s="19">
        <f>Tabelad[[#This Row],[Exp %]]*Tabelad[[#This Row],[Beta Adj2]]</f>
        <v>3.3876545490796731E-3</v>
      </c>
      <c r="AB29" s="36">
        <f>_xll.BDP($B29&amp;" Equity","volatility_10d")</f>
        <v>36.015487716902783</v>
      </c>
      <c r="AC29" s="36" cm="1">
        <f t="array" ref="AC29">_xll.BDP(B29&amp;" EQUITY","eqy_beta")</f>
        <v>1.1783472299575806</v>
      </c>
      <c r="AD29" s="15">
        <f>Tabelad[[#This Row],[D1 P&amp;L bps]]*$AD$5/10000</f>
        <v>0</v>
      </c>
      <c r="AE29" s="277"/>
      <c r="AF29" s="231" t="str">
        <f>_xll.BDP(B29&amp;" Equity","EXPECTED_REPORT_DT")</f>
        <v>30/04/2026</v>
      </c>
      <c r="AG29" s="172" t="e">
        <f>_xll.BDP(B29&amp;" Index","CHG_PCT_1D_PRE_FROM_REGULAR")/100</f>
        <v>#VALUE!</v>
      </c>
      <c r="AH29" s="20" t="e">
        <f t="shared" si="9"/>
        <v>#VALUE!</v>
      </c>
      <c r="AI29" s="445" t="str">
        <f>_xll.BDP(B29&amp;" Equity","DVD_EX_DT")</f>
        <v>15/12/2025</v>
      </c>
    </row>
    <row r="30" spans="1:35" s="384" customFormat="1">
      <c r="A30" s="530"/>
      <c r="B30" s="531" t="s">
        <v>81</v>
      </c>
      <c r="C30" s="384" t="s">
        <v>2249</v>
      </c>
      <c r="E30" s="384" t="s">
        <v>194</v>
      </c>
      <c r="F30" s="532" t="s">
        <v>99</v>
      </c>
      <c r="G30" s="533"/>
      <c r="H30" s="534">
        <v>3250</v>
      </c>
      <c r="I30" s="123" cm="1">
        <f t="array" ref="I30">_xll.BDP(B30&amp;" Equity","LAST_PRICE")</f>
        <v>740.35</v>
      </c>
      <c r="J30" s="535">
        <f t="shared" ref="J30" si="93">I30/K30-1</f>
        <v>1.4456015346670403E-2</v>
      </c>
      <c r="K30" s="536">
        <v>729.8</v>
      </c>
      <c r="L30" s="221" cm="1">
        <f t="array" ref="L30">_xll.BDP(E30&amp;" Curncy","PX_LAST")</f>
        <v>1</v>
      </c>
      <c r="M30" s="537">
        <v>1</v>
      </c>
      <c r="N30" s="533">
        <f t="shared" ref="N30" si="94">IFERROR(IF(((I30/L30)*H30*M30)&lt;&gt;0,((I30/L30)*H30*M30),0),"-")</f>
        <v>2406137.5</v>
      </c>
      <c r="O30" s="538">
        <f>IFERROR(IF(Tabelad[[#This Row],[D1 Exp USD]]&lt;&gt;0,N30/$AE$7,0),"-")</f>
        <v>1.0041622332857031E-3</v>
      </c>
      <c r="P30" s="539">
        <f>IFERROR(IF(Tabelad[[#This Row],[D1 Exp USD]]&lt;&gt;0,((I30-K30)/L30*M30*H30)/$AD$7*10000,0),"-")</f>
        <v>0.14309328778502375</v>
      </c>
      <c r="Q30" s="533"/>
      <c r="R30" s="412"/>
      <c r="S30" s="539"/>
      <c r="T30" s="540">
        <f t="shared" ref="T30" si="95">N30+Q30</f>
        <v>2406137.5</v>
      </c>
      <c r="U30" s="369">
        <f t="shared" ref="U30" si="96">T30/$AE$7</f>
        <v>1.0041622332857031E-3</v>
      </c>
      <c r="V30" s="539">
        <f t="shared" ref="V30" si="97">P30+S30</f>
        <v>0.14309328778502375</v>
      </c>
      <c r="W30" s="533">
        <f t="shared" ref="W30" si="98">$W$10/(I30/L30*M30)</f>
        <v>809.13220301208889</v>
      </c>
      <c r="X30" s="412"/>
      <c r="Y30" s="541">
        <f>Tabelad[[#This Row],[Exp %]]*$Y$10*$AD$7/Tabelad[[#This Row],[Price Today]]</f>
        <v>1137.5</v>
      </c>
      <c r="Z30" s="542">
        <f>Tabelad[[#This Row],[Vol 10d]]/16*Tabelad[[#This Row],[Exp %]]*100</f>
        <v>0.22603370361674319</v>
      </c>
      <c r="AA30" s="412">
        <f>Tabelad[[#This Row],[Exp %]]*Tabelad[[#This Row],[Beta Adj2]]</f>
        <v>1.1832517860202261E-3</v>
      </c>
      <c r="AB30" s="123">
        <f>_xll.BDP($B30&amp;" Equity","volatility_10d")</f>
        <v>36.015487716902783</v>
      </c>
      <c r="AC30" s="123" cm="1">
        <f t="array" ref="AC30">_xll.BDP(B30&amp;" EQUITY","eqy_beta")</f>
        <v>1.1783472299575806</v>
      </c>
      <c r="AD30" s="533">
        <f>Tabelad[[#This Row],[D1 P&amp;L bps]]*$AD$5/10000</f>
        <v>32139.254236057935</v>
      </c>
      <c r="AE30" s="368"/>
      <c r="AF30" s="543" t="str">
        <f>_xll.BDP(B30&amp;" Equity","EXPECTED_REPORT_DT")</f>
        <v>30/04/2026</v>
      </c>
      <c r="AG30" s="544" t="e">
        <f>_xll.BDP(B30&amp;" Index","CHG_PCT_1D_PRE_FROM_REGULAR")/100</f>
        <v>#VALUE!</v>
      </c>
      <c r="AH30" s="539" t="e">
        <f t="shared" ref="AH30" si="99">(T30*AG30)/$AD$7*10000</f>
        <v>#VALUE!</v>
      </c>
      <c r="AI30" s="545" t="str">
        <f>_xll.BDP(B30&amp;" Equity","DVD_EX_DT")</f>
        <v>15/12/2025</v>
      </c>
    </row>
    <row r="31" spans="1:35" s="59" customFormat="1">
      <c r="A31" s="468" t="s">
        <v>1770</v>
      </c>
      <c r="B31" s="423" t="s">
        <v>81</v>
      </c>
      <c r="C31" s="59" t="s">
        <v>2249</v>
      </c>
      <c r="E31" s="59" t="s">
        <v>194</v>
      </c>
      <c r="F31" s="163" t="s">
        <v>99</v>
      </c>
      <c r="G31" s="404"/>
      <c r="H31" s="469">
        <v>750</v>
      </c>
      <c r="I31" s="14" cm="1">
        <f t="array" ref="I31">_xll.BDP(B31&amp;" Equity","LAST_PRICE")</f>
        <v>740.35</v>
      </c>
      <c r="J31" s="470">
        <f t="shared" ref="J31" si="100">I31/K31-1</f>
        <v>1.9064005505849968E-2</v>
      </c>
      <c r="K31" s="471">
        <v>726.5</v>
      </c>
      <c r="L31" s="8" cm="1">
        <f t="array" ref="L31">_xll.BDP(E31&amp;" Curncy","PX_LAST")</f>
        <v>1</v>
      </c>
      <c r="M31" s="472">
        <v>1</v>
      </c>
      <c r="N31" s="404">
        <f t="shared" ref="N31" si="101">IFERROR(IF(((I31/L31)*H31*M31)&lt;&gt;0,((I31/L31)*H31*M31),0),"-")</f>
        <v>555262.5</v>
      </c>
      <c r="O31" s="473">
        <f>IFERROR(IF(Tabelad[[#This Row],[D1 Exp USD]]&lt;&gt;0,N31/$AE$7,0),"-")</f>
        <v>2.3172974614285455E-4</v>
      </c>
      <c r="P31" s="474">
        <f>IFERROR(IF(Tabelad[[#This Row],[D1 Exp USD]]&lt;&gt;0,((I31-K31)/L31*M31*H31)/$AD$7*10000,0),"-")</f>
        <v>4.3350536693165943E-2</v>
      </c>
      <c r="Q31" s="404"/>
      <c r="R31" s="128"/>
      <c r="S31" s="474"/>
      <c r="T31" s="475">
        <f t="shared" ref="T31" si="102">N31+Q31</f>
        <v>555262.5</v>
      </c>
      <c r="U31" s="476">
        <f t="shared" ref="U31" si="103">T31/$AE$7</f>
        <v>2.3172974614285455E-4</v>
      </c>
      <c r="V31" s="474">
        <f t="shared" ref="V31" si="104">P31+S31</f>
        <v>4.3350536693165943E-2</v>
      </c>
      <c r="W31" s="404">
        <f t="shared" ref="W31" si="105">$W$10/(I31/L31*M31)</f>
        <v>809.13220301208889</v>
      </c>
      <c r="X31" s="128"/>
      <c r="Y31" s="477">
        <f>Tabelad[[#This Row],[Exp %]]*$Y$10*$AD$7/Tabelad[[#This Row],[Price Today]]</f>
        <v>262.5</v>
      </c>
      <c r="Z31" s="478">
        <f>Tabelad[[#This Row],[Vol 10d]]/16*Tabelad[[#This Row],[Exp %]]*100</f>
        <v>5.2161623911556113E-2</v>
      </c>
      <c r="AA31" s="128">
        <f>Tabelad[[#This Row],[Exp %]]*Tabelad[[#This Row],[Beta Adj2]]</f>
        <v>2.7305810446620599E-4</v>
      </c>
      <c r="AB31" s="14">
        <f>_xll.BDP($B31&amp;" Equity","volatility_10d")</f>
        <v>36.015487716902783</v>
      </c>
      <c r="AC31" s="14" cm="1">
        <f t="array" ref="AC31">_xll.BDP(B31&amp;" EQUITY","eqy_beta")</f>
        <v>1.1783472299575806</v>
      </c>
      <c r="AD31" s="404">
        <f>Tabelad[[#This Row],[D1 P&amp;L bps]]*$AD$5/10000</f>
        <v>9736.6825629471459</v>
      </c>
      <c r="AE31" s="337"/>
      <c r="AF31" s="479" t="str">
        <f>_xll.BDP(B31&amp;" Equity","EXPECTED_REPORT_DT")</f>
        <v>30/04/2026</v>
      </c>
      <c r="AG31" s="480" t="e">
        <f>_xll.BDP(B31&amp;" Index","CHG_PCT_1D_PRE_FROM_REGULAR")/100</f>
        <v>#VALUE!</v>
      </c>
      <c r="AH31" s="474" t="e">
        <f t="shared" ref="AH31" si="106">(T31*AG31)/$AD$7*10000</f>
        <v>#VALUE!</v>
      </c>
      <c r="AI31" s="481" t="str">
        <f>_xll.BDP(B31&amp;" Equity","DVD_EX_DT")</f>
        <v>15/12/2025</v>
      </c>
    </row>
    <row r="32" spans="1:35">
      <c r="B32" s="40" t="s">
        <v>90</v>
      </c>
      <c r="C32" t="s">
        <v>2249</v>
      </c>
      <c r="E32" t="s">
        <v>194</v>
      </c>
      <c r="F32" s="22" t="s">
        <v>99</v>
      </c>
      <c r="G32" s="15"/>
      <c r="H32" s="446">
        <v>3000</v>
      </c>
      <c r="I32" s="36" cm="1">
        <f t="array" ref="I32">_xll.BDP(B32&amp;" Equity","LAST_PRICE")</f>
        <v>432.33600000000001</v>
      </c>
      <c r="J32" s="51">
        <f t="shared" si="2"/>
        <v>-0.10234827564728111</v>
      </c>
      <c r="K32" s="438" cm="1">
        <f t="array" ref="K32">_xll.BDP(B32&amp;" EQUITY","PX_YEST_CLOSE")</f>
        <v>481.63</v>
      </c>
      <c r="L32" s="53" cm="1">
        <f t="array" ref="L32">_xll.BDP(E32&amp;" Curncy","PX_LAST")</f>
        <v>1</v>
      </c>
      <c r="M32" s="52">
        <v>1</v>
      </c>
      <c r="N32" s="15">
        <f t="shared" si="3"/>
        <v>1297008</v>
      </c>
      <c r="O32" s="357">
        <f>IFERROR(IF(Tabelad[[#This Row],[D1 Exp USD]]&lt;&gt;0,N32/$AE$7,0),"-")</f>
        <v>5.4128513015961189E-4</v>
      </c>
      <c r="P32" s="20">
        <f>IFERROR(IF(Tabelad[[#This Row],[D1 Exp USD]]&lt;&gt;0,((I32-K32)/L32*M32*H32)/$AD$7*10000,0),"-")</f>
        <v>-0.61716140238351413</v>
      </c>
      <c r="Q32" s="15">
        <f>IF(SUM(SUMIFS(Options!$AL$4:$AL$25, Options!$D$4:$D$25, B32), SUMIFS(Options!$AL$4:$AL$25, Options!$D$4:$D$25, B32 &amp; " US"))=0,0,SUM(SUMIFS(Options!$AL$4:$AL$25, Options!$D$4:$D$25, B32), SUMIFS(Options!$AL$4:$AL$25, Options!$D$4:$D$25, B32 &amp; " US")))</f>
        <v>0</v>
      </c>
      <c r="R32" s="19">
        <f t="shared" si="64"/>
        <v>0</v>
      </c>
      <c r="S32" s="20">
        <f>IF(SUM(SUMIFS(Options!$AK$4:$AK$25, Options!$D$4:$D$25, B32), SUMIFS(Options!$AK$4:$AK$25, Options!$D$4:$D$25, B32 &amp; " US"))=0,0,SUM(SUMIFS(Options!$AK$4:$AK$25, Options!$D$4:$D$25, B32), SUMIFS(Options!AK$4:$AK$25, Options!$D$4:$D$25, B32 &amp; " US")))</f>
        <v>-1.5278586265576921</v>
      </c>
      <c r="T32" s="13">
        <f t="shared" si="5"/>
        <v>1297008</v>
      </c>
      <c r="U32" s="48">
        <f t="shared" si="6"/>
        <v>5.4128513015961189E-4</v>
      </c>
      <c r="V32" s="20">
        <f t="shared" si="7"/>
        <v>-2.1450200289412065</v>
      </c>
      <c r="W32" s="15">
        <f t="shared" si="8"/>
        <v>1385.591360654676</v>
      </c>
      <c r="X32" s="19"/>
      <c r="Y32" s="375">
        <f>Tabelad[[#This Row],[Exp %]]*$Y$10*$AD$7/Tabelad[[#This Row],[Price Today]]</f>
        <v>1050</v>
      </c>
      <c r="Z32" s="266">
        <f>Tabelad[[#This Row],[Vol 10d]]/16*Tabelad[[#This Row],[Exp %]]*100</f>
        <v>9.3660969077998202E-2</v>
      </c>
      <c r="AA32" s="19">
        <f>Tabelad[[#This Row],[Exp %]]*Tabelad[[#This Row],[Beta Adj2]]</f>
        <v>5.5194286069885424E-4</v>
      </c>
      <c r="AB32" s="36">
        <f>_xll.BDP($B32&amp;" Equity","volatility_10d")</f>
        <v>27.685510311470729</v>
      </c>
      <c r="AC32" s="36" cm="1">
        <f t="array" ref="AC32">_xll.BDP(B32&amp;" EQUITY","eqy_beta")</f>
        <v>1.019689679145813</v>
      </c>
      <c r="AD32" s="15">
        <f>Tabelad[[#This Row],[D1 P&amp;L bps]]*$AD$5/10000</f>
        <v>-138616.61523694315</v>
      </c>
      <c r="AE32" s="277"/>
      <c r="AF32" s="231" t="str">
        <f>_xll.BDP(B32&amp;" Equity","EXPECTED_REPORT_DT")</f>
        <v>30/04/2026</v>
      </c>
      <c r="AG32" s="172" t="e">
        <f>_xll.BDP(B32&amp;" Index","CHG_PCT_1D_PRE_FROM_REGULAR")/100</f>
        <v>#VALUE!</v>
      </c>
      <c r="AH32" s="20" t="e">
        <f t="shared" si="9"/>
        <v>#VALUE!</v>
      </c>
      <c r="AI32" s="445" t="str">
        <f>_xll.BDP(B32&amp;" Equity","DVD_EX_DT")</f>
        <v>19/02/2026</v>
      </c>
    </row>
    <row r="33" spans="1:35" s="384" customFormat="1">
      <c r="A33" s="530"/>
      <c r="B33" s="531" t="s">
        <v>90</v>
      </c>
      <c r="C33" s="384" t="s">
        <v>2249</v>
      </c>
      <c r="E33" s="384" t="s">
        <v>194</v>
      </c>
      <c r="F33" s="532" t="s">
        <v>99</v>
      </c>
      <c r="G33" s="533"/>
      <c r="H33" s="534">
        <v>4500</v>
      </c>
      <c r="I33" s="123" cm="1">
        <f t="array" ref="I33">_xll.BDP(B33&amp;" Equity","LAST_PRICE")</f>
        <v>432.33600000000001</v>
      </c>
      <c r="J33" s="535">
        <f t="shared" ref="J33:J34" si="107">I33/K33-1</f>
        <v>1.4036550621916444E-3</v>
      </c>
      <c r="K33" s="536">
        <v>431.73</v>
      </c>
      <c r="L33" s="221" cm="1">
        <f t="array" ref="L33">_xll.BDP(E33&amp;" Curncy","PX_LAST")</f>
        <v>1</v>
      </c>
      <c r="M33" s="537">
        <v>1</v>
      </c>
      <c r="N33" s="533">
        <f t="shared" ref="N33:N34" si="108">IFERROR(IF(((I33/L33)*H33*M33)&lt;&gt;0,((I33/L33)*H33*M33),0),"-")</f>
        <v>1945512</v>
      </c>
      <c r="O33" s="538">
        <f>IFERROR(IF(Tabelad[[#This Row],[D1 Exp USD]]&lt;&gt;0,N33/$AE$7,0),"-")</f>
        <v>8.1192769523941784E-4</v>
      </c>
      <c r="P33" s="539">
        <f>IFERROR(IF(Tabelad[[#This Row],[D1 Exp USD]]&lt;&gt;0,((I33-K33)/L33*M33*H33)/$AD$7*10000,0),"-")</f>
        <v>1.1380689632949435E-2</v>
      </c>
      <c r="Q33" s="533"/>
      <c r="R33" s="412"/>
      <c r="S33" s="539"/>
      <c r="T33" s="540">
        <f t="shared" ref="T33:T34" si="109">N33+Q33</f>
        <v>1945512</v>
      </c>
      <c r="U33" s="369">
        <f t="shared" ref="U33:U34" si="110">T33/$AE$7</f>
        <v>8.1192769523941784E-4</v>
      </c>
      <c r="V33" s="539">
        <f t="shared" ref="V33:V34" si="111">P33+S33</f>
        <v>1.1380689632949435E-2</v>
      </c>
      <c r="W33" s="533">
        <f t="shared" ref="W33:W34" si="112">$W$10/(I33/L33*M33)</f>
        <v>1385.591360654676</v>
      </c>
      <c r="X33" s="412"/>
      <c r="Y33" s="541">
        <f>Tabelad[[#This Row],[Exp %]]*$Y$10*$AD$7/Tabelad[[#This Row],[Price Today]]</f>
        <v>1575.0000000000002</v>
      </c>
      <c r="Z33" s="542">
        <f>Tabelad[[#This Row],[Vol 10d]]/16*Tabelad[[#This Row],[Exp %]]*100</f>
        <v>0.1404914536169973</v>
      </c>
      <c r="AA33" s="412">
        <f>Tabelad[[#This Row],[Exp %]]*Tabelad[[#This Row],[Beta Adj2]]</f>
        <v>8.2791429104828141E-4</v>
      </c>
      <c r="AB33" s="123">
        <f>_xll.BDP($B33&amp;" Equity","volatility_10d")</f>
        <v>27.685510311470729</v>
      </c>
      <c r="AC33" s="123" cm="1">
        <f t="array" ref="AC33">_xll.BDP(B33&amp;" EQUITY","eqy_beta")</f>
        <v>1.019689679145813</v>
      </c>
      <c r="AD33" s="533">
        <f>Tabelad[[#This Row],[D1 P&amp;L bps]]*$AD$5/10000</f>
        <v>2556.1428013628479</v>
      </c>
      <c r="AE33" s="368"/>
      <c r="AF33" s="543" t="str">
        <f>_xll.BDP(B33&amp;" Equity","EXPECTED_REPORT_DT")</f>
        <v>30/04/2026</v>
      </c>
      <c r="AG33" s="544" t="e">
        <f>_xll.BDP(B33&amp;" Index","CHG_PCT_1D_PRE_FROM_REGULAR")/100</f>
        <v>#VALUE!</v>
      </c>
      <c r="AH33" s="539" t="e">
        <f t="shared" ref="AH33:AH34" si="113">(T33*AG33)/$AD$7*10000</f>
        <v>#VALUE!</v>
      </c>
      <c r="AI33" s="545" t="str">
        <f>_xll.BDP(B33&amp;" Equity","DVD_EX_DT")</f>
        <v>19/02/2026</v>
      </c>
    </row>
    <row r="34" spans="1:35" s="384" customFormat="1">
      <c r="A34" s="530"/>
      <c r="B34" s="531" t="s">
        <v>90</v>
      </c>
      <c r="C34" s="384" t="s">
        <v>2249</v>
      </c>
      <c r="E34" s="384" t="s">
        <v>194</v>
      </c>
      <c r="F34" s="532" t="s">
        <v>99</v>
      </c>
      <c r="G34" s="533"/>
      <c r="H34" s="534">
        <v>-5000</v>
      </c>
      <c r="I34" s="123" cm="1">
        <f t="array" ref="I34">_xll.BDP(B34&amp;" Equity","LAST_PRICE")</f>
        <v>432.33600000000001</v>
      </c>
      <c r="J34" s="535">
        <f t="shared" si="107"/>
        <v>-3.685617536980923E-2</v>
      </c>
      <c r="K34" s="536">
        <v>448.88</v>
      </c>
      <c r="L34" s="221" cm="1">
        <f t="array" ref="L34">_xll.BDP(E34&amp;" Curncy","PX_LAST")</f>
        <v>1</v>
      </c>
      <c r="M34" s="537">
        <v>1</v>
      </c>
      <c r="N34" s="533">
        <f t="shared" si="108"/>
        <v>-2161680</v>
      </c>
      <c r="O34" s="538">
        <f>IFERROR(IF(Tabelad[[#This Row],[D1 Exp USD]]&lt;&gt;0,N34/$AE$7,0),"-")</f>
        <v>-9.0214188359935316E-4</v>
      </c>
      <c r="P34" s="539">
        <f>IFERROR(IF(Tabelad[[#This Row],[D1 Exp USD]]&lt;&gt;0,((I34-K34)/L34*M34*H34)/$AD$7*10000,0),"-")</f>
        <v>0.34521842553633475</v>
      </c>
      <c r="Q34" s="533"/>
      <c r="R34" s="412"/>
      <c r="S34" s="539"/>
      <c r="T34" s="540">
        <f t="shared" si="109"/>
        <v>-2161680</v>
      </c>
      <c r="U34" s="369">
        <f t="shared" si="110"/>
        <v>-9.0214188359935316E-4</v>
      </c>
      <c r="V34" s="539">
        <f t="shared" si="111"/>
        <v>0.34521842553633475</v>
      </c>
      <c r="W34" s="533">
        <f t="shared" si="112"/>
        <v>1385.591360654676</v>
      </c>
      <c r="X34" s="412"/>
      <c r="Y34" s="541">
        <f>Tabelad[[#This Row],[Exp %]]*$Y$10*$AD$7/Tabelad[[#This Row],[Price Today]]</f>
        <v>-1750</v>
      </c>
      <c r="Z34" s="542">
        <f>Tabelad[[#This Row],[Vol 10d]]/16*Tabelad[[#This Row],[Exp %]]*100</f>
        <v>-0.15610161512999698</v>
      </c>
      <c r="AA34" s="412">
        <f>Tabelad[[#This Row],[Exp %]]*Tabelad[[#This Row],[Beta Adj2]]</f>
        <v>-9.199047678314238E-4</v>
      </c>
      <c r="AB34" s="123">
        <f>_xll.BDP($B34&amp;" Equity","volatility_10d")</f>
        <v>27.685510311470729</v>
      </c>
      <c r="AC34" s="123" cm="1">
        <f t="array" ref="AC34">_xll.BDP(B34&amp;" EQUITY","eqy_beta")</f>
        <v>1.019689679145813</v>
      </c>
      <c r="AD34" s="533">
        <f>Tabelad[[#This Row],[D1 P&amp;L bps]]*$AD$5/10000</f>
        <v>77537.268987435455</v>
      </c>
      <c r="AE34" s="368"/>
      <c r="AF34" s="543" t="str">
        <f>_xll.BDP(B34&amp;" Equity","EXPECTED_REPORT_DT")</f>
        <v>30/04/2026</v>
      </c>
      <c r="AG34" s="544" t="e">
        <f>_xll.BDP(B34&amp;" Index","CHG_PCT_1D_PRE_FROM_REGULAR")/100</f>
        <v>#VALUE!</v>
      </c>
      <c r="AH34" s="539" t="e">
        <f t="shared" si="113"/>
        <v>#VALUE!</v>
      </c>
      <c r="AI34" s="545" t="str">
        <f>_xll.BDP(B34&amp;" Equity","DVD_EX_DT")</f>
        <v>19/02/2026</v>
      </c>
    </row>
    <row r="35" spans="1:35" s="59" customFormat="1">
      <c r="A35" s="468" t="s">
        <v>1770</v>
      </c>
      <c r="B35" s="423" t="s">
        <v>90</v>
      </c>
      <c r="C35" s="59" t="s">
        <v>2249</v>
      </c>
      <c r="E35" s="59" t="s">
        <v>194</v>
      </c>
      <c r="F35" s="163" t="s">
        <v>99</v>
      </c>
      <c r="G35" s="404"/>
      <c r="H35" s="469">
        <v>-2500</v>
      </c>
      <c r="I35" s="14" cm="1">
        <f t="array" ref="I35">_xll.BDP(B35&amp;" Equity","LAST_PRICE")</f>
        <v>432.33600000000001</v>
      </c>
      <c r="J35" s="470">
        <f t="shared" ref="J35" si="114">I35/K35-1</f>
        <v>-3.496428571428567E-2</v>
      </c>
      <c r="K35" s="471">
        <v>448</v>
      </c>
      <c r="L35" s="8" cm="1">
        <f t="array" ref="L35">_xll.BDP(E35&amp;" Curncy","PX_LAST")</f>
        <v>1</v>
      </c>
      <c r="M35" s="472">
        <v>1</v>
      </c>
      <c r="N35" s="404">
        <f t="shared" ref="N35" si="115">IFERROR(IF(((I35/L35)*H35*M35)&lt;&gt;0,((I35/L35)*H35*M35),0),"-")</f>
        <v>-1080840</v>
      </c>
      <c r="O35" s="473">
        <f>IFERROR(IF(Tabelad[[#This Row],[D1 Exp USD]]&lt;&gt;0,N35/$AE$7,0),"-")</f>
        <v>-4.5107094179967658E-4</v>
      </c>
      <c r="P35" s="474">
        <f>IFERROR(IF(Tabelad[[#This Row],[D1 Exp USD]]&lt;&gt;0,((I35-K35)/L35*M35*H35)/$AD$7*10000,0),"-")</f>
        <v>0.16342787166347766</v>
      </c>
      <c r="Q35" s="404"/>
      <c r="R35" s="128"/>
      <c r="S35" s="474"/>
      <c r="T35" s="475">
        <f t="shared" ref="T35" si="116">N35+Q35</f>
        <v>-1080840</v>
      </c>
      <c r="U35" s="476">
        <f t="shared" ref="U35" si="117">T35/$AE$7</f>
        <v>-4.5107094179967658E-4</v>
      </c>
      <c r="V35" s="474">
        <f t="shared" ref="V35" si="118">P35+S35</f>
        <v>0.16342787166347766</v>
      </c>
      <c r="W35" s="404">
        <f t="shared" ref="W35" si="119">$W$10/(I35/L35*M35)</f>
        <v>1385.591360654676</v>
      </c>
      <c r="X35" s="128"/>
      <c r="Y35" s="477">
        <f>Tabelad[[#This Row],[Exp %]]*$Y$10*$AD$7/Tabelad[[#This Row],[Price Today]]</f>
        <v>-875</v>
      </c>
      <c r="Z35" s="478">
        <f>Tabelad[[#This Row],[Vol 10d]]/16*Tabelad[[#This Row],[Exp %]]*100</f>
        <v>-7.8050807564998492E-2</v>
      </c>
      <c r="AA35" s="128">
        <f>Tabelad[[#This Row],[Exp %]]*Tabelad[[#This Row],[Beta Adj2]]</f>
        <v>-4.599523839157119E-4</v>
      </c>
      <c r="AB35" s="14">
        <f>_xll.BDP($B35&amp;" Equity","volatility_10d")</f>
        <v>27.685510311470729</v>
      </c>
      <c r="AC35" s="14" cm="1">
        <f t="array" ref="AC35">_xll.BDP(B35&amp;" EQUITY","eqy_beta")</f>
        <v>1.019689679145813</v>
      </c>
      <c r="AD35" s="404">
        <f>Tabelad[[#This Row],[D1 P&amp;L bps]]*$AD$5/10000</f>
        <v>36706.473084477431</v>
      </c>
      <c r="AE35" s="337"/>
      <c r="AF35" s="479" t="str">
        <f>_xll.BDP(B35&amp;" Equity","EXPECTED_REPORT_DT")</f>
        <v>30/04/2026</v>
      </c>
      <c r="AG35" s="480" t="e">
        <f>_xll.BDP(B35&amp;" Index","CHG_PCT_1D_PRE_FROM_REGULAR")/100</f>
        <v>#VALUE!</v>
      </c>
      <c r="AH35" s="474" t="e">
        <f t="shared" ref="AH35" si="120">(T35*AG35)/$AD$7*10000</f>
        <v>#VALUE!</v>
      </c>
      <c r="AI35" s="481" t="str">
        <f>_xll.BDP(B35&amp;" Equity","DVD_EX_DT")</f>
        <v>19/02/2026</v>
      </c>
    </row>
    <row r="36" spans="1:35" s="59" customFormat="1">
      <c r="A36" s="468" t="s">
        <v>1770</v>
      </c>
      <c r="B36" s="423" t="s">
        <v>89</v>
      </c>
      <c r="C36" s="59" t="s">
        <v>2249</v>
      </c>
      <c r="E36" s="59" t="s">
        <v>194</v>
      </c>
      <c r="F36" s="163" t="s">
        <v>99</v>
      </c>
      <c r="G36" s="404"/>
      <c r="H36" s="469">
        <v>-4500</v>
      </c>
      <c r="I36" s="14" cm="1">
        <f t="array" ref="I36">_xll.BDP(B36&amp;" Equity","LAST_PRICE")</f>
        <v>92.355000000000004</v>
      </c>
      <c r="J36" s="470">
        <f t="shared" ref="J36" si="121">I36/K36-1</f>
        <v>-4.8377125193199366E-2</v>
      </c>
      <c r="K36" s="438">
        <v>97.05</v>
      </c>
      <c r="L36" s="8" cm="1">
        <f t="array" ref="L36">_xll.BDP(E36&amp;" Curncy","PX_LAST")</f>
        <v>1</v>
      </c>
      <c r="M36" s="472">
        <v>1</v>
      </c>
      <c r="N36" s="404">
        <f t="shared" ref="N36" si="122">IFERROR(IF(((I36/L36)*H36*M36)&lt;&gt;0,((I36/L36)*H36*M36),0),"-")</f>
        <v>-415597.5</v>
      </c>
      <c r="O36" s="473">
        <f>IFERROR(IF(Tabelad[[#This Row],[D1 Exp USD]]&lt;&gt;0,N36/$AE$7,0),"-")</f>
        <v>-1.7344283680710473E-4</v>
      </c>
      <c r="P36" s="474">
        <f>IFERROR(IF(Tabelad[[#This Row],[D1 Exp USD]]&lt;&gt;0,((I36-K36)/L36*M36*H36)/$AD$7*10000,0),"-")</f>
        <v>8.8172174631514874E-2</v>
      </c>
      <c r="Q36" s="404"/>
      <c r="R36" s="128"/>
      <c r="S36" s="474"/>
      <c r="T36" s="475">
        <f t="shared" ref="T36" si="123">N36+Q36</f>
        <v>-415597.5</v>
      </c>
      <c r="U36" s="476">
        <f t="shared" ref="U36" si="124">T36/$AE$7</f>
        <v>-1.7344283680710473E-4</v>
      </c>
      <c r="V36" s="474">
        <f t="shared" ref="V36" si="125">P36+S36</f>
        <v>8.8172174631514874E-2</v>
      </c>
      <c r="W36" s="404">
        <f t="shared" ref="W36" si="126">$W$10/(I36/L36*M36)</f>
        <v>6486.2868983812468</v>
      </c>
      <c r="X36" s="128"/>
      <c r="Y36" s="477">
        <f>Tabelad[[#This Row],[Exp %]]*$Y$10*$AD$7/Tabelad[[#This Row],[Price Today]]</f>
        <v>-1575</v>
      </c>
      <c r="Z36" s="478">
        <f>Tabelad[[#This Row],[Vol 10d]]/16*Tabelad[[#This Row],[Exp %]]*100</f>
        <v>-2.3488366167438272E-2</v>
      </c>
      <c r="AA36" s="128">
        <f>Tabelad[[#This Row],[Exp %]]*Tabelad[[#This Row],[Beta Adj2]]</f>
        <v>-1.7330993149611678E-4</v>
      </c>
      <c r="AB36" s="14">
        <f>_xll.BDP($B36&amp;" Equity","volatility_10d")</f>
        <v>21.66788006915359</v>
      </c>
      <c r="AC36" s="14" cm="1">
        <f t="array" ref="AC36">_xll.BDP(B36&amp;" EQUITY","eqy_beta")</f>
        <v>0.99923372268676758</v>
      </c>
      <c r="AD36" s="404">
        <f>Tabelad[[#This Row],[D1 P&amp;L bps]]*$AD$5/10000</f>
        <v>19803.779624420236</v>
      </c>
      <c r="AE36" s="337"/>
      <c r="AF36" s="479" t="str">
        <f>_xll.BDP(B36&amp;" Equity","EXPECTED_REPORT_DT")</f>
        <v>#N/A N/A</v>
      </c>
      <c r="AG36" s="480">
        <f>_xll.BDP(B36&amp;" Index","CHG_PCT_1D_PRE_FROM_REGULAR")/100</f>
        <v>-2.9260209999999998E-2</v>
      </c>
      <c r="AH36" s="474">
        <f t="shared" ref="AH36" si="127">(T36*AG36)/$AD$7*10000</f>
        <v>5.0749738279716135E-2</v>
      </c>
      <c r="AI36" s="481" t="str">
        <f>_xll.BDP(B36&amp;" Equity","DVD_EX_DT")</f>
        <v>21/03/2024</v>
      </c>
    </row>
    <row r="37" spans="1:35">
      <c r="B37" s="443" t="s">
        <v>2276</v>
      </c>
      <c r="C37" t="s">
        <v>2137</v>
      </c>
      <c r="E37" t="s">
        <v>2110</v>
      </c>
      <c r="F37" s="22" t="s">
        <v>99</v>
      </c>
      <c r="G37" s="15"/>
      <c r="H37" s="446">
        <v>2186</v>
      </c>
      <c r="I37" s="36" cm="1">
        <f t="array" ref="I37">_xll.BDP(B37&amp;" Equity","LAST_PRICE")</f>
        <v>861000</v>
      </c>
      <c r="J37" s="51">
        <f t="shared" si="2"/>
        <v>2.378121284185486E-2</v>
      </c>
      <c r="K37" s="438" cm="1">
        <f t="array" ref="K37">_xll.BDP(B37&amp;" EQUITY","PX_YEST_CLOSE")</f>
        <v>841000</v>
      </c>
      <c r="L37" s="53" cm="1">
        <f t="array" ref="L37">_xll.BDP(E37&amp;" Curncy","PX_LAST")</f>
        <v>1434.45</v>
      </c>
      <c r="M37" s="52">
        <v>1</v>
      </c>
      <c r="N37" s="15">
        <f t="shared" si="3"/>
        <v>1312102.8965805711</v>
      </c>
      <c r="O37" s="357">
        <f>IFERROR(IF(Tabelad[[#This Row],[D1 Exp USD]]&lt;&gt;0,N37/$AE$7,0),"-")</f>
        <v>5.4758473899807719E-4</v>
      </c>
      <c r="P37" s="20">
        <f>IFERROR(IF(Tabelad[[#This Row],[D1 Exp USD]]&lt;&gt;0,((I37-K37)/L37*M37*H37)/$AD$7*10000,0),"-")</f>
        <v>0.12719738420396681</v>
      </c>
      <c r="Q37" s="15">
        <f>IF(SUM(SUMIFS(Options!$AL$4:$AL$25, Options!$D$4:$D$25, B37), SUMIFS(Options!$AL$4:$AL$25, Options!$D$4:$D$25, B37 &amp; " US"))=0,0,SUM(SUMIFS(Options!$AL$4:$AL$25, Options!$D$4:$D$25, B37), SUMIFS(Options!$AL$4:$AL$25, Options!$D$4:$D$25, B37 &amp; " US")))</f>
        <v>0</v>
      </c>
      <c r="R37" s="19">
        <f t="shared" si="64"/>
        <v>0</v>
      </c>
      <c r="S37" s="20">
        <f>IF(SUM(SUMIFS(Options!$AK$4:$AK$25, Options!$D$4:$D$25, B37), SUMIFS(Options!$AK$4:$AK$25, Options!$D$4:$D$25, B37 &amp; " US"))=0,0,SUM(SUMIFS(Options!$AK$4:$AK$25, Options!$D$4:$D$25, B37), SUMIFS(Options!AK$4:$AK$25, Options!$D$4:$D$25, B37 &amp; " US")))</f>
        <v>0</v>
      </c>
      <c r="T37" s="13">
        <f t="shared" si="5"/>
        <v>1312102.8965805711</v>
      </c>
      <c r="U37" s="48">
        <f t="shared" si="6"/>
        <v>5.4758473899807719E-4</v>
      </c>
      <c r="V37" s="20">
        <f t="shared" si="7"/>
        <v>0.12719738420396681</v>
      </c>
      <c r="W37" s="15">
        <f t="shared" si="8"/>
        <v>998.01904815670741</v>
      </c>
      <c r="X37" s="19"/>
      <c r="Y37" s="375">
        <f>Tabelad[[#This Row],[Exp %]]*$Y$10*$AD$7/Tabelad[[#This Row],[Price Today]]</f>
        <v>0.53337516121161421</v>
      </c>
      <c r="Z37" s="266">
        <f>Tabelad[[#This Row],[Vol 10d]]/16*Tabelad[[#This Row],[Exp %]]*100</f>
        <v>0.20814414634286851</v>
      </c>
      <c r="AA37" s="19">
        <f>Tabelad[[#This Row],[Exp %]]*Tabelad[[#This Row],[Beta Adj2]]</f>
        <v>8.9480986475097503E-4</v>
      </c>
      <c r="AB37" s="36">
        <f>_xll.BDP($B37&amp;" Equity","volatility_10d")</f>
        <v>60.818100000000001</v>
      </c>
      <c r="AC37" s="36" cm="1">
        <f t="array" ref="AC37">_xll.BDP(B37&amp;" EQUITY","eqy_beta")</f>
        <v>1.6341030000000001</v>
      </c>
      <c r="AD37" s="15">
        <f>Tabelad[[#This Row],[D1 P&amp;L bps]]*$AD$5/10000</f>
        <v>28568.978547997875</v>
      </c>
      <c r="AE37" s="277"/>
      <c r="AF37" s="231" t="str">
        <f>_xll.BDP(B37&amp;" Equity","EXPECTED_REPORT_DT")</f>
        <v>23/04/2026</v>
      </c>
      <c r="AG37" s="172" t="e">
        <f>_xll.BDP(B37&amp;" Index","CHG_PCT_1D_PRE_FROM_REGULAR")/100</f>
        <v>#VALUE!</v>
      </c>
      <c r="AH37" s="20" t="e">
        <f t="shared" si="9"/>
        <v>#VALUE!</v>
      </c>
      <c r="AI37" s="445" t="str">
        <f>_xll.BDP(B37&amp;" Equity","DVD_EX_DT")</f>
        <v>26/02/2026</v>
      </c>
    </row>
    <row r="38" spans="1:35">
      <c r="B38" s="40" t="s">
        <v>1754</v>
      </c>
      <c r="C38" t="s">
        <v>2137</v>
      </c>
      <c r="E38" t="s">
        <v>194</v>
      </c>
      <c r="F38" s="22" t="s">
        <v>99</v>
      </c>
      <c r="G38" s="15"/>
      <c r="H38" s="446">
        <v>44716</v>
      </c>
      <c r="I38" s="36" cm="1">
        <f t="array" ref="I38">_xll.BDP(B38&amp;" Equity","LAST_PRICE")</f>
        <v>124.55500000000001</v>
      </c>
      <c r="J38" s="51">
        <f t="shared" si="2"/>
        <v>-8.0041414463204452E-3</v>
      </c>
      <c r="K38" s="438" cm="1">
        <f t="array" ref="K38">_xll.BDP(B38&amp;" EQUITY","PX_YEST_CLOSE")</f>
        <v>125.56</v>
      </c>
      <c r="L38" s="53" cm="1">
        <f t="array" ref="L38">_xll.BDP(E38&amp;" Curncy","PX_LAST")</f>
        <v>1</v>
      </c>
      <c r="M38" s="52">
        <v>1</v>
      </c>
      <c r="N38" s="15">
        <f t="shared" si="3"/>
        <v>5569601.3799999999</v>
      </c>
      <c r="O38" s="357">
        <f>IFERROR(IF(Tabelad[[#This Row],[D1 Exp USD]]&lt;&gt;0,N38/$AE$7,0),"-")</f>
        <v>2.3243822766786742E-3</v>
      </c>
      <c r="P38" s="20">
        <f>IFERROR(IF(Tabelad[[#This Row],[D1 Exp USD]]&lt;&gt;0,((I38-K38)/L38*M38*H38)/$AD$7*10000,0),"-")</f>
        <v>-0.1875480059461328</v>
      </c>
      <c r="Q38" s="15">
        <f>IF(SUM(SUMIFS(Options!$AL$4:$AL$25, Options!$D$4:$D$25, B38), SUMIFS(Options!$AL$4:$AL$25, Options!$D$4:$D$25, B38 &amp; " US"))=0,0,SUM(SUMIFS(Options!$AL$4:$AL$25, Options!$D$4:$D$25, B38), SUMIFS(Options!$AL$4:$AL$25, Options!$D$4:$D$25, B38 &amp; " US")))</f>
        <v>0</v>
      </c>
      <c r="R38" s="19">
        <f t="shared" si="64"/>
        <v>0</v>
      </c>
      <c r="S38" s="20">
        <f>IF(SUM(SUMIFS(Options!$AK$4:$AK$25, Options!$D$4:$D$25, B38), SUMIFS(Options!$AK$4:$AK$25, Options!$D$4:$D$25, B38 &amp; " US"))=0,0,SUM(SUMIFS(Options!$AK$4:$AK$25, Options!$D$4:$D$25, B38), SUMIFS(Options!AK$4:$AK$25, Options!$D$4:$D$25, B38 &amp; " US")))</f>
        <v>0</v>
      </c>
      <c r="T38" s="13">
        <f t="shared" si="5"/>
        <v>5569601.3799999999</v>
      </c>
      <c r="U38" s="48">
        <f t="shared" si="6"/>
        <v>2.3243822766786742E-3</v>
      </c>
      <c r="V38" s="20">
        <f t="shared" si="7"/>
        <v>-0.1875480059461328</v>
      </c>
      <c r="W38" s="15">
        <f t="shared" si="8"/>
        <v>4809.4498534783834</v>
      </c>
      <c r="X38" s="19"/>
      <c r="Y38" s="375">
        <f>Tabelad[[#This Row],[Exp %]]*$Y$10*$AD$7/Tabelad[[#This Row],[Price Today]]</f>
        <v>15650.599999999997</v>
      </c>
      <c r="Z38" s="266">
        <f>Tabelad[[#This Row],[Vol 10d]]/16*Tabelad[[#This Row],[Exp %]]*100</f>
        <v>0.50147993551857462</v>
      </c>
      <c r="AA38" s="19">
        <f>Tabelad[[#This Row],[Exp %]]*Tabelad[[#This Row],[Beta Adj2]]</f>
        <v>2.1826722897258129E-3</v>
      </c>
      <c r="AB38" s="36">
        <f>_xll.BDP($B38&amp;" Equity","volatility_10d")</f>
        <v>34.519618604915046</v>
      </c>
      <c r="AC38" s="36" cm="1">
        <f t="array" ref="AC38">_xll.BDP(B38&amp;" EQUITY","eqy_beta")</f>
        <v>0.93903326988220215</v>
      </c>
      <c r="AD38" s="15">
        <f>Tabelad[[#This Row],[D1 P&amp;L bps]]*$AD$5/10000</f>
        <v>-42123.939828848677</v>
      </c>
      <c r="AE38" s="277"/>
      <c r="AF38" s="231" t="str">
        <f>_xll.BDP(B38&amp;" Equity","EXPECTED_REPORT_DT")</f>
        <v>#N/A N/A</v>
      </c>
      <c r="AG38" s="172">
        <f>_xll.BDP(B38&amp;" Index","CHG_PCT_1D_PRE_FROM_REGULAR")/100</f>
        <v>0</v>
      </c>
      <c r="AH38" s="20">
        <f t="shared" si="9"/>
        <v>0</v>
      </c>
      <c r="AI38" s="445" t="str">
        <f>_xll.BDP(B38&amp;" Equity","DVD_EX_DT")</f>
        <v>16/12/2025</v>
      </c>
    </row>
    <row r="39" spans="1:35" s="59" customFormat="1">
      <c r="A39" s="468" t="s">
        <v>1770</v>
      </c>
      <c r="B39" s="423" t="s">
        <v>1754</v>
      </c>
      <c r="C39" s="59" t="s">
        <v>2137</v>
      </c>
      <c r="E39" s="59" t="s">
        <v>194</v>
      </c>
      <c r="F39" s="163" t="s">
        <v>99</v>
      </c>
      <c r="G39" s="404"/>
      <c r="H39" s="469">
        <v>-10000</v>
      </c>
      <c r="I39" s="14" cm="1">
        <f t="array" ref="I39">_xll.BDP(B39&amp;" Equity","LAST_PRICE")</f>
        <v>124.55500000000001</v>
      </c>
      <c r="J39" s="470">
        <f t="shared" ref="J39" si="128">I39/K39-1</f>
        <v>2.1528746001804322E-2</v>
      </c>
      <c r="K39" s="471">
        <v>121.93</v>
      </c>
      <c r="L39" s="8" cm="1">
        <f t="array" ref="L39">_xll.BDP(E39&amp;" Curncy","PX_LAST")</f>
        <v>1</v>
      </c>
      <c r="M39" s="472">
        <v>1</v>
      </c>
      <c r="N39" s="404">
        <f t="shared" ref="N39" si="129">IFERROR(IF(((I39/L39)*H39*M39)&lt;&gt;0,((I39/L39)*H39*M39),0),"-")</f>
        <v>-1245550</v>
      </c>
      <c r="O39" s="473">
        <f>IFERROR(IF(Tabelad[[#This Row],[D1 Exp USD]]&lt;&gt;0,N39/$AE$7,0),"-")</f>
        <v>-5.1980997331574255E-4</v>
      </c>
      <c r="P39" s="474">
        <f>IFERROR(IF(Tabelad[[#This Row],[D1 Exp USD]]&lt;&gt;0,((I39-K39)/L39*M39*H39)/$AD$7*10000,0),"-")</f>
        <v>-0.10955009272641196</v>
      </c>
      <c r="Q39" s="404"/>
      <c r="R39" s="128"/>
      <c r="S39" s="474"/>
      <c r="T39" s="475">
        <f t="shared" ref="T39" si="130">N39+Q39</f>
        <v>-1245550</v>
      </c>
      <c r="U39" s="476">
        <f t="shared" ref="U39" si="131">T39/$AE$7</f>
        <v>-5.1980997331574255E-4</v>
      </c>
      <c r="V39" s="474">
        <f t="shared" ref="V39" si="132">P39+S39</f>
        <v>-0.10955009272641196</v>
      </c>
      <c r="W39" s="404">
        <f t="shared" ref="W39" si="133">$W$10/(I39/L39*M39)</f>
        <v>4809.4498534783834</v>
      </c>
      <c r="X39" s="128"/>
      <c r="Y39" s="477">
        <f>Tabelad[[#This Row],[Exp %]]*$Y$10*$AD$7/Tabelad[[#This Row],[Price Today]]</f>
        <v>-3500</v>
      </c>
      <c r="Z39" s="478">
        <f>Tabelad[[#This Row],[Vol 10d]]/16*Tabelad[[#This Row],[Exp %]]*100</f>
        <v>-0.11214776266181563</v>
      </c>
      <c r="AA39" s="128">
        <f>Tabelad[[#This Row],[Exp %]]*Tabelad[[#This Row],[Beta Adj2]]</f>
        <v>-4.8811885896006199E-4</v>
      </c>
      <c r="AB39" s="14">
        <f>_xll.BDP($B39&amp;" Equity","volatility_10d")</f>
        <v>34.519618604915046</v>
      </c>
      <c r="AC39" s="14" cm="1">
        <f t="array" ref="AC39">_xll.BDP(B39&amp;" EQUITY","eqy_beta")</f>
        <v>0.93903326988220215</v>
      </c>
      <c r="AD39" s="404">
        <f>Tabelad[[#This Row],[D1 P&amp;L bps]]*$AD$5/10000</f>
        <v>-24605.334996617301</v>
      </c>
      <c r="AE39" s="337"/>
      <c r="AF39" s="479" t="str">
        <f>_xll.BDP(B39&amp;" Equity","EXPECTED_REPORT_DT")</f>
        <v>#N/A N/A</v>
      </c>
      <c r="AG39" s="480">
        <f>_xll.BDP(B39&amp;" Index","CHG_PCT_1D_PRE_FROM_REGULAR")/100</f>
        <v>0</v>
      </c>
      <c r="AH39" s="474">
        <f t="shared" ref="AH39" si="134">(T39*AG39)/$AD$7*10000</f>
        <v>0</v>
      </c>
      <c r="AI39" s="481" t="str">
        <f>_xll.BDP(B39&amp;" Equity","DVD_EX_DT")</f>
        <v>16/12/2025</v>
      </c>
    </row>
    <row r="40" spans="1:35" s="59" customFormat="1">
      <c r="A40" s="468" t="s">
        <v>1770</v>
      </c>
      <c r="B40" s="423" t="s">
        <v>1754</v>
      </c>
      <c r="C40" s="59" t="s">
        <v>2137</v>
      </c>
      <c r="E40" s="59" t="s">
        <v>194</v>
      </c>
      <c r="F40" s="163" t="s">
        <v>99</v>
      </c>
      <c r="G40" s="404"/>
      <c r="H40" s="469">
        <v>5000</v>
      </c>
      <c r="I40" s="14" cm="1">
        <f t="array" ref="I40">_xll.BDP(B40&amp;" Equity","LAST_PRICE")</f>
        <v>124.55500000000001</v>
      </c>
      <c r="J40" s="470">
        <f t="shared" ref="J40" si="135">I40/K40-1</f>
        <v>4.2328468918810813E-3</v>
      </c>
      <c r="K40" s="471">
        <v>124.03</v>
      </c>
      <c r="L40" s="8" cm="1">
        <f t="array" ref="L40">_xll.BDP(E40&amp;" Curncy","PX_LAST")</f>
        <v>1</v>
      </c>
      <c r="M40" s="472">
        <v>1</v>
      </c>
      <c r="N40" s="404">
        <f t="shared" ref="N40" si="136">IFERROR(IF(((I40/L40)*H40*M40)&lt;&gt;0,((I40/L40)*H40*M40),0),"-")</f>
        <v>622775</v>
      </c>
      <c r="O40" s="473">
        <f>IFERROR(IF(Tabelad[[#This Row],[D1 Exp USD]]&lt;&gt;0,N40/$AE$7,0),"-")</f>
        <v>2.5990498665787127E-4</v>
      </c>
      <c r="P40" s="474">
        <f>IFERROR(IF(Tabelad[[#This Row],[D1 Exp USD]]&lt;&gt;0,((I40-K40)/L40*M40*H40)/$AD$7*10000,0),"-")</f>
        <v>1.0955009272641314E-2</v>
      </c>
      <c r="Q40" s="404"/>
      <c r="R40" s="128"/>
      <c r="S40" s="474"/>
      <c r="T40" s="475">
        <f t="shared" ref="T40" si="137">N40+Q40</f>
        <v>622775</v>
      </c>
      <c r="U40" s="476">
        <f t="shared" ref="U40" si="138">T40/$AE$7</f>
        <v>2.5990498665787127E-4</v>
      </c>
      <c r="V40" s="474">
        <f t="shared" ref="V40" si="139">P40+S40</f>
        <v>1.0955009272641314E-2</v>
      </c>
      <c r="W40" s="404">
        <f t="shared" ref="W40" si="140">$W$10/(I40/L40*M40)</f>
        <v>4809.4498534783834</v>
      </c>
      <c r="X40" s="128"/>
      <c r="Y40" s="477">
        <f>Tabelad[[#This Row],[Exp %]]*$Y$10*$AD$7/Tabelad[[#This Row],[Price Today]]</f>
        <v>1750</v>
      </c>
      <c r="Z40" s="478">
        <f>Tabelad[[#This Row],[Vol 10d]]/16*Tabelad[[#This Row],[Exp %]]*100</f>
        <v>5.6073881330907814E-2</v>
      </c>
      <c r="AA40" s="128">
        <f>Tabelad[[#This Row],[Exp %]]*Tabelad[[#This Row],[Beta Adj2]]</f>
        <v>2.44059429480031E-4</v>
      </c>
      <c r="AB40" s="14">
        <f>_xll.BDP($B40&amp;" Equity","volatility_10d")</f>
        <v>34.519618604915046</v>
      </c>
      <c r="AC40" s="14" cm="1">
        <f t="array" ref="AC40">_xll.BDP(B40&amp;" EQUITY","eqy_beta")</f>
        <v>0.93903326988220215</v>
      </c>
      <c r="AD40" s="404">
        <f>Tabelad[[#This Row],[D1 P&amp;L bps]]*$AD$5/10000</f>
        <v>2460.5334996617562</v>
      </c>
      <c r="AE40" s="337"/>
      <c r="AF40" s="479" t="str">
        <f>_xll.BDP(B40&amp;" Equity","EXPECTED_REPORT_DT")</f>
        <v>#N/A N/A</v>
      </c>
      <c r="AG40" s="480">
        <f>_xll.BDP(B40&amp;" Index","CHG_PCT_1D_PRE_FROM_REGULAR")/100</f>
        <v>0</v>
      </c>
      <c r="AH40" s="474">
        <f t="shared" ref="AH40" si="141">(T40*AG40)/$AD$7*10000</f>
        <v>0</v>
      </c>
      <c r="AI40" s="481" t="str">
        <f>_xll.BDP(B40&amp;" Equity","DVD_EX_DT")</f>
        <v>16/12/2025</v>
      </c>
    </row>
    <row r="41" spans="1:35">
      <c r="B41" s="40" t="s">
        <v>2063</v>
      </c>
      <c r="C41" t="s">
        <v>2064</v>
      </c>
      <c r="E41" t="s">
        <v>194</v>
      </c>
      <c r="F41" s="22" t="s">
        <v>99</v>
      </c>
      <c r="G41" s="15"/>
      <c r="H41" s="446">
        <v>900</v>
      </c>
      <c r="I41" s="36" cm="1">
        <f t="array" ref="I41">_xll.BDP(B41&amp;" Equity","LAST_PRICE")</f>
        <v>381.04500000000002</v>
      </c>
      <c r="J41" s="51">
        <f t="shared" si="2"/>
        <v>-1.0272727272727211E-2</v>
      </c>
      <c r="K41" s="438" cm="1">
        <f t="array" ref="K41">_xll.BDP(B41&amp;" EQUITY","PX_YEST_CLOSE")</f>
        <v>385</v>
      </c>
      <c r="L41" s="53" cm="1">
        <f t="array" ref="L41">_xll.BDP(E41&amp;" Curncy","PX_LAST")</f>
        <v>1</v>
      </c>
      <c r="M41" s="52">
        <v>1</v>
      </c>
      <c r="N41" s="15">
        <f t="shared" si="3"/>
        <v>342940.5</v>
      </c>
      <c r="O41" s="357">
        <f>IFERROR(IF(Tabelad[[#This Row],[D1 Exp USD]]&lt;&gt;0,N41/$AE$7,0),"-")</f>
        <v>1.4312062314149364E-4</v>
      </c>
      <c r="P41" s="20">
        <f>IFERROR(IF(Tabelad[[#This Row],[D1 Exp USD]]&lt;&gt;0,((I41-K41)/L41*M41*H41)/$AD$7*10000,0),"-")</f>
        <v>-1.48549925737014E-2</v>
      </c>
      <c r="Q41" s="15">
        <f>IF(SUM(SUMIFS(Options!$AL$4:$AL$25, Options!$D$4:$D$25, B41), SUMIFS(Options!$AL$4:$AL$25, Options!$D$4:$D$25, B41 &amp; " US"))=0,0,SUM(SUMIFS(Options!$AL$4:$AL$25, Options!$D$4:$D$25, B41), SUMIFS(Options!$AL$4:$AL$25, Options!$D$4:$D$25, B41 &amp; " US")))</f>
        <v>1114355.7187315822</v>
      </c>
      <c r="R41" s="19">
        <f t="shared" si="64"/>
        <v>4.6505818025619909E-4</v>
      </c>
      <c r="S41" s="20">
        <f>IF(SUM(SUMIFS(Options!$AK$4:$AK$25, Options!$D$4:$D$25, B41), SUMIFS(Options!$AK$4:$AK$25, Options!$D$4:$D$25, B41 &amp; " US"))=0,0,SUM(SUMIFS(Options!$AK$4:$AK$25, Options!$D$4:$D$25, B41), SUMIFS(Options!AK$4:$AK$25, Options!$D$4:$D$25, B41 &amp; " US")))</f>
        <v>-9.8908083718703438E-2</v>
      </c>
      <c r="T41" s="13">
        <f t="shared" si="5"/>
        <v>1457296.2187315822</v>
      </c>
      <c r="U41" s="48">
        <f t="shared" si="6"/>
        <v>6.0817880339769268E-4</v>
      </c>
      <c r="V41" s="20">
        <f t="shared" si="7"/>
        <v>-0.11376307629240484</v>
      </c>
      <c r="W41" s="15">
        <f t="shared" si="8"/>
        <v>1572.1004776338752</v>
      </c>
      <c r="X41" s="19"/>
      <c r="Y41" s="375">
        <f>Tabelad[[#This Row],[Exp %]]*$Y$10*$AD$7/Tabelad[[#This Row],[Price Today]]</f>
        <v>1338.5654622316358</v>
      </c>
      <c r="Z41" s="266">
        <f>Tabelad[[#This Row],[Vol 10d]]/16*Tabelad[[#This Row],[Exp %]]*100</f>
        <v>0.36653299990518368</v>
      </c>
      <c r="AA41" s="19">
        <f>Tabelad[[#This Row],[Exp %]]*Tabelad[[#This Row],[Beta Adj2]]</f>
        <v>1.2283793601618785E-3</v>
      </c>
      <c r="AB41" s="36">
        <f>_xll.BDP($B41&amp;" Equity","volatility_10d")</f>
        <v>96.427694712801099</v>
      </c>
      <c r="AC41" s="36" cm="1">
        <f t="array" ref="AC41">_xll.BDP(B41&amp;" EQUITY","eqy_beta")</f>
        <v>2.0197668075561523</v>
      </c>
      <c r="AD41" s="15">
        <f>Tabelad[[#This Row],[D1 P&amp;L bps]]*$AD$5/10000</f>
        <v>-3336.4834255412916</v>
      </c>
      <c r="AE41" s="277"/>
      <c r="AF41" s="231" t="str">
        <f>_xll.BDP(B41&amp;" Equity","EXPECTED_REPORT_DT")</f>
        <v>03/02/2026</v>
      </c>
      <c r="AG41" s="172" t="e">
        <f>_xll.BDP(B41&amp;" Index","CHG_PCT_1D_PRE_FROM_REGULAR")/100</f>
        <v>#VALUE!</v>
      </c>
      <c r="AH41" s="20" t="e">
        <f t="shared" si="9"/>
        <v>#VALUE!</v>
      </c>
      <c r="AI41" s="445" t="str">
        <f>_xll.BDP(B41&amp;" Equity","DVD_EX_DT")</f>
        <v>#N/A N/A</v>
      </c>
    </row>
    <row r="42" spans="1:35">
      <c r="B42" s="40" t="s">
        <v>2361</v>
      </c>
      <c r="C42" t="s">
        <v>2064</v>
      </c>
      <c r="E42" t="s">
        <v>194</v>
      </c>
      <c r="F42" s="22" t="s">
        <v>99</v>
      </c>
      <c r="G42" s="15"/>
      <c r="H42" s="446">
        <v>30410</v>
      </c>
      <c r="I42" s="36" cm="1">
        <f t="array" ref="I42">_xll.BDP(B42&amp;" Equity","LAST_PRICE")</f>
        <v>78.459999999999994</v>
      </c>
      <c r="J42" s="51">
        <f t="shared" ref="J42" si="142">I42/K42-1</f>
        <v>-6.3323201621073855E-3</v>
      </c>
      <c r="K42" s="438" cm="1">
        <f t="array" ref="K42">_xll.BDP(B42&amp;" EQUITY","PX_YEST_CLOSE")</f>
        <v>78.959999999999994</v>
      </c>
      <c r="L42" s="53" cm="1">
        <f t="array" ref="L42">_xll.BDP(E42&amp;" Curncy","PX_LAST")</f>
        <v>1</v>
      </c>
      <c r="M42" s="52">
        <v>1</v>
      </c>
      <c r="N42" s="15">
        <f t="shared" ref="N42" si="143">IFERROR(IF(((I42/L42)*H42*M42)&lt;&gt;0,((I42/L42)*H42*M42),0),"-")</f>
        <v>2385968.5999999996</v>
      </c>
      <c r="O42" s="357">
        <f>IFERROR(IF(Tabelad[[#This Row],[D1 Exp USD]]&lt;&gt;0,N42/$AE$7,0),"-")</f>
        <v>9.9574507189450394E-4</v>
      </c>
      <c r="P42" s="20">
        <f>IFERROR(IF(Tabelad[[#This Row],[D1 Exp USD]]&lt;&gt;0,((I42-K42)/L42*M42*H42)/$AD$7*10000,0),"-")</f>
        <v>-6.3455587044003572E-2</v>
      </c>
      <c r="Q42" s="15">
        <f>IF(SUM(SUMIFS(Options!$AL$4:$AL$25, Options!$D$4:$D$25, B42), SUMIFS(Options!$AL$4:$AL$25, Options!$D$4:$D$25, B42 &amp; " US"))=0,0,SUM(SUMIFS(Options!$AL$4:$AL$25, Options!$D$4:$D$25, B42), SUMIFS(Options!$AL$4:$AL$25, Options!$D$4:$D$25, B42 &amp; " US")))</f>
        <v>0</v>
      </c>
      <c r="R42" s="19">
        <f t="shared" si="64"/>
        <v>0</v>
      </c>
      <c r="S42" s="20">
        <f>IF(SUM(SUMIFS(Options!$AK$4:$AK$25, Options!$D$4:$D$25, B42), SUMIFS(Options!$AK$4:$AK$25, Options!$D$4:$D$25, B42 &amp; " US"))=0,0,SUM(SUMIFS(Options!$AK$4:$AK$25, Options!$D$4:$D$25, B42), SUMIFS(Options!AK$4:$AK$25, Options!$D$4:$D$25, B42 &amp; " US")))</f>
        <v>0</v>
      </c>
      <c r="T42" s="13">
        <f t="shared" ref="T42" si="144">N42+Q42</f>
        <v>2385968.5999999996</v>
      </c>
      <c r="U42" s="48">
        <f t="shared" ref="U42" si="145">T42/$AE$7</f>
        <v>9.9574507189450394E-4</v>
      </c>
      <c r="V42" s="20">
        <f t="shared" ref="V42" si="146">P42+S42</f>
        <v>-6.3455587044003572E-2</v>
      </c>
      <c r="W42" s="15">
        <f t="shared" ref="W42" si="147">$W$10/(I42/L42*M42)</f>
        <v>7634.9863178689793</v>
      </c>
      <c r="X42" s="19"/>
      <c r="Y42" s="375">
        <f>Tabelad[[#This Row],[Exp %]]*$Y$10*$AD$7/Tabelad[[#This Row],[Price Today]]</f>
        <v>10643.5</v>
      </c>
      <c r="Z42" s="266">
        <f>Tabelad[[#This Row],[Vol 10d]]/16*Tabelad[[#This Row],[Exp %]]*100</f>
        <v>0.1589024496152274</v>
      </c>
      <c r="AA42" s="19">
        <f>Tabelad[[#This Row],[Exp %]]*Tabelad[[#This Row],[Beta Adj2]]</f>
        <v>9.2777609279995083E-4</v>
      </c>
      <c r="AB42" s="36">
        <f>_xll.BDP($B42&amp;" Equity","volatility_10d")</f>
        <v>25.533033158842507</v>
      </c>
      <c r="AC42" s="36" cm="1">
        <f t="array" ref="AC42">_xll.BDP(B42&amp;" EQUITY","eqy_beta")</f>
        <v>0.93174058198928833</v>
      </c>
      <c r="AD42" s="15">
        <f>Tabelad[[#This Row],[D1 P&amp;L bps]]*$AD$5/10000</f>
        <v>-14252.347376135847</v>
      </c>
      <c r="AE42" s="277"/>
      <c r="AF42" s="231" t="str">
        <f>_xll.BDP(B42&amp;" Equity","EXPECTED_REPORT_DT")</f>
        <v>12/02/2026</v>
      </c>
      <c r="AG42" s="172">
        <f>_xll.BDP(B42&amp;" Index","CHG_PCT_1D_PRE_FROM_REGULAR")/100</f>
        <v>1.139868E-3</v>
      </c>
      <c r="AH42" s="20">
        <f t="shared" ref="AH42" si="148">(T42*AG42)/$AD$7*10000</f>
        <v>1.1350179436102444E-2</v>
      </c>
      <c r="AI42" s="445" t="str">
        <f>_xll.BDP(B42&amp;" Equity","DVD_EX_DT")</f>
        <v>02/01/2026</v>
      </c>
    </row>
    <row r="43" spans="1:35">
      <c r="B43" s="40" t="s">
        <v>2370</v>
      </c>
      <c r="C43" t="s">
        <v>2064</v>
      </c>
      <c r="E43" t="s">
        <v>194</v>
      </c>
      <c r="F43" s="22" t="s">
        <v>99</v>
      </c>
      <c r="G43" s="15"/>
      <c r="H43" s="446">
        <v>11600</v>
      </c>
      <c r="I43" s="36" cm="1">
        <f t="array" ref="I43">_xll.BDP(B43&amp;" Equity","LAST_PRICE")</f>
        <v>99.36</v>
      </c>
      <c r="J43" s="51">
        <f t="shared" ref="J43" si="149">I43/K43-1</f>
        <v>-2.6836434867776648E-2</v>
      </c>
      <c r="K43" s="438" cm="1">
        <f t="array" ref="K43">_xll.BDP(B43&amp;" EQUITY","PX_YEST_CLOSE")</f>
        <v>102.1</v>
      </c>
      <c r="L43" s="53" cm="1">
        <f t="array" ref="L43">_xll.BDP(E43&amp;" Curncy","PX_LAST")</f>
        <v>1</v>
      </c>
      <c r="M43" s="52">
        <v>1</v>
      </c>
      <c r="N43" s="15">
        <f t="shared" ref="N43" si="150">IFERROR(IF(((I43/L43)*H43*M43)&lt;&gt;0,((I43/L43)*H43*M43),0),"-")</f>
        <v>1152576</v>
      </c>
      <c r="O43" s="357">
        <f>IFERROR(IF(Tabelad[[#This Row],[D1 Exp USD]]&lt;&gt;0,N43/$AE$7,0),"-")</f>
        <v>4.8100879113995043E-4</v>
      </c>
      <c r="P43" s="20">
        <f>IFERROR(IF(Tabelad[[#This Row],[D1 Exp USD]]&lt;&gt;0,((I43-K43)/L43*M43*H43)/$AD$7*10000,0),"-")</f>
        <v>-0.13264533894157224</v>
      </c>
      <c r="Q43" s="15">
        <f>IF(SUM(SUMIFS(Options!$AL$4:$AL$25, Options!$D$4:$D$25, B43), SUMIFS(Options!$AL$4:$AL$25, Options!$D$4:$D$25, B43 &amp; " US"))=0,0,SUM(SUMIFS(Options!$AL$4:$AL$25, Options!$D$4:$D$25, B43), SUMIFS(Options!$AL$4:$AL$25, Options!$D$4:$D$25, B43 &amp; " US")))</f>
        <v>0</v>
      </c>
      <c r="R43" s="19">
        <f t="shared" ref="R43:R45" si="151">Q43/$AE$7</f>
        <v>0</v>
      </c>
      <c r="S43" s="20">
        <f>IF(SUM(SUMIFS(Options!$AK$4:$AK$25, Options!$D$4:$D$25, B43), SUMIFS(Options!$AK$4:$AK$25, Options!$D$4:$D$25, B43 &amp; " US"))=0,0,SUM(SUMIFS(Options!$AK$4:$AK$25, Options!$D$4:$D$25, B43), SUMIFS(Options!AK$4:$AK$25, Options!$D$4:$D$25, B43 &amp; " US")))</f>
        <v>0</v>
      </c>
      <c r="T43" s="13">
        <f t="shared" ref="T43" si="152">N43+Q43</f>
        <v>1152576</v>
      </c>
      <c r="U43" s="48">
        <f t="shared" ref="U43" si="153">T43/$AE$7</f>
        <v>4.8100879113995043E-4</v>
      </c>
      <c r="V43" s="20">
        <f t="shared" ref="V43" si="154">P43+S43</f>
        <v>-0.13264533894157224</v>
      </c>
      <c r="W43" s="15">
        <f t="shared" ref="W43" si="155">$W$10/(I43/L43*M43)</f>
        <v>6028.9958383655403</v>
      </c>
      <c r="X43" s="19"/>
      <c r="Y43" s="375">
        <f>Tabelad[[#This Row],[Exp %]]*$Y$10*$AD$7/Tabelad[[#This Row],[Price Today]]</f>
        <v>4060</v>
      </c>
      <c r="Z43" s="266">
        <f>Tabelad[[#This Row],[Vol 10d]]/16*Tabelad[[#This Row],[Exp %]]*100</f>
        <v>0.16954720529689377</v>
      </c>
      <c r="AA43" s="19">
        <f>Tabelad[[#This Row],[Exp %]]*Tabelad[[#This Row],[Beta Adj2]]</f>
        <v>3.5907937740437321E-4</v>
      </c>
      <c r="AB43" s="36">
        <f>_xll.BDP($B43&amp;" Equity","volatility_10d")</f>
        <v>56.397208007805801</v>
      </c>
      <c r="AC43" s="36" cm="1">
        <f t="array" ref="AC43">_xll.BDP(B43&amp;" EQUITY","eqy_beta")</f>
        <v>0.74651312828063965</v>
      </c>
      <c r="AD43" s="15">
        <f>Tabelad[[#This Row],[D1 P&amp;L bps]]*$AD$5/10000</f>
        <v>-29792.608286951727</v>
      </c>
      <c r="AE43" s="277"/>
      <c r="AF43" s="231" t="str">
        <f>_xll.BDP(B43&amp;" Equity","EXPECTED_REPORT_DT")</f>
        <v>19/02/2026</v>
      </c>
      <c r="AG43" s="172">
        <f>_xll.BDP(B43&amp;" Index","CHG_PCT_1D_PRE_FROM_REGULAR")/100</f>
        <v>-5.0930139999999999E-3</v>
      </c>
      <c r="AH43" s="20">
        <f t="shared" ref="AH43" si="156">(T43*AG43)/$AD$7*10000</f>
        <v>-2.4497845073988434E-2</v>
      </c>
      <c r="AI43" s="445" t="str">
        <f>_xll.BDP(B43&amp;" Equity","DVD_EX_DT")</f>
        <v>#N/A Field Not Applicable</v>
      </c>
    </row>
    <row r="44" spans="1:35" s="59" customFormat="1">
      <c r="A44" s="468" t="s">
        <v>1770</v>
      </c>
      <c r="B44" s="423" t="s">
        <v>2370</v>
      </c>
      <c r="C44" s="59" t="s">
        <v>2064</v>
      </c>
      <c r="E44" s="59" t="s">
        <v>194</v>
      </c>
      <c r="F44" s="163" t="s">
        <v>99</v>
      </c>
      <c r="G44" s="404"/>
      <c r="H44" s="469">
        <v>-5300</v>
      </c>
      <c r="I44" s="14" cm="1">
        <f t="array" ref="I44">_xll.BDP(B44&amp;" Equity","LAST_PRICE")</f>
        <v>99.36</v>
      </c>
      <c r="J44" s="470">
        <f t="shared" ref="J44" si="157">I44/K44-1</f>
        <v>3.3323235383218019E-3</v>
      </c>
      <c r="K44" s="471">
        <v>99.03</v>
      </c>
      <c r="L44" s="8" cm="1">
        <f t="array" ref="L44">_xll.BDP(E44&amp;" Curncy","PX_LAST")</f>
        <v>1</v>
      </c>
      <c r="M44" s="472">
        <v>1</v>
      </c>
      <c r="N44" s="404">
        <f t="shared" ref="N44" si="158">IFERROR(IF(((I44/L44)*H44*M44)&lt;&gt;0,((I44/L44)*H44*M44),0),"-")</f>
        <v>-526608</v>
      </c>
      <c r="O44" s="473">
        <f>IFERROR(IF(Tabelad[[#This Row],[D1 Exp USD]]&lt;&gt;0,N44/$AE$7,0),"-")</f>
        <v>-2.197712580208394E-4</v>
      </c>
      <c r="P44" s="474">
        <f>IFERROR(IF(Tabelad[[#This Row],[D1 Exp USD]]&lt;&gt;0,((I44-K44)/L44*M44*H44)/$AD$7*10000,0),"-")</f>
        <v>-7.2991661782283238E-3</v>
      </c>
      <c r="Q44" s="404"/>
      <c r="R44" s="128"/>
      <c r="S44" s="474"/>
      <c r="T44" s="475">
        <f t="shared" ref="T44" si="159">N44+Q44</f>
        <v>-526608</v>
      </c>
      <c r="U44" s="476">
        <f t="shared" ref="U44" si="160">T44/$AE$7</f>
        <v>-2.197712580208394E-4</v>
      </c>
      <c r="V44" s="474">
        <f t="shared" ref="V44" si="161">P44+S44</f>
        <v>-7.2991661782283238E-3</v>
      </c>
      <c r="W44" s="404">
        <f t="shared" ref="W44" si="162">$W$10/(I44/L44*M44)</f>
        <v>6028.9958383655403</v>
      </c>
      <c r="X44" s="128"/>
      <c r="Y44" s="477">
        <f>Tabelad[[#This Row],[Exp %]]*$Y$10*$AD$7/Tabelad[[#This Row],[Price Today]]</f>
        <v>-1854.9999999999995</v>
      </c>
      <c r="Z44" s="478">
        <f>Tabelad[[#This Row],[Vol 10d]]/16*Tabelad[[#This Row],[Exp %]]*100</f>
        <v>-7.7465533454615251E-2</v>
      </c>
      <c r="AA44" s="128">
        <f>Tabelad[[#This Row],[Exp %]]*Tabelad[[#This Row],[Beta Adj2]]</f>
        <v>-1.6406212933130844E-4</v>
      </c>
      <c r="AB44" s="14">
        <f>_xll.BDP($B44&amp;" Equity","volatility_10d")</f>
        <v>56.397208007805801</v>
      </c>
      <c r="AC44" s="14" cm="1">
        <f t="array" ref="AC44">_xll.BDP(B44&amp;" EQUITY","eqy_beta")</f>
        <v>0.74651312828063965</v>
      </c>
      <c r="AD44" s="404">
        <f>Tabelad[[#This Row],[D1 P&amp;L bps]]*$AD$5/10000</f>
        <v>-1639.4183203460352</v>
      </c>
      <c r="AE44" s="337"/>
      <c r="AF44" s="479" t="str">
        <f>_xll.BDP(B44&amp;" Equity","EXPECTED_REPORT_DT")</f>
        <v>19/02/2026</v>
      </c>
      <c r="AG44" s="480">
        <f>_xll.BDP(B44&amp;" Index","CHG_PCT_1D_PRE_FROM_REGULAR")/100</f>
        <v>-5.0930139999999999E-3</v>
      </c>
      <c r="AH44" s="474">
        <f t="shared" ref="AH44" si="163">(T44*AG44)/$AD$7*10000</f>
        <v>1.1192980938977474E-2</v>
      </c>
      <c r="AI44" s="481" t="str">
        <f>_xll.BDP(B44&amp;" Equity","DVD_EX_DT")</f>
        <v>#N/A Field Not Applicable</v>
      </c>
    </row>
    <row r="45" spans="1:35">
      <c r="B45" s="443" t="s">
        <v>2386</v>
      </c>
      <c r="C45" t="s">
        <v>2064</v>
      </c>
      <c r="E45" t="s">
        <v>1932</v>
      </c>
      <c r="F45" s="22" t="s">
        <v>99</v>
      </c>
      <c r="G45" s="15"/>
      <c r="H45" s="446">
        <v>2600</v>
      </c>
      <c r="I45" s="36" cm="1">
        <f t="array" ref="I45">_xll.BDP(B45&amp;" Equity","LAST_PRICE")</f>
        <v>393</v>
      </c>
      <c r="J45" s="51">
        <f t="shared" ref="J45" si="164">I45/K45-1</f>
        <v>-1.2721027859052825E-4</v>
      </c>
      <c r="K45" s="438" cm="1">
        <f t="array" ref="K45">_xll.BDP(B45&amp;" EQUITY","PX_YEST_CLOSE")</f>
        <v>393.05</v>
      </c>
      <c r="L45" s="53" cm="1">
        <f t="array" ref="L45">_xll.BDP(E45&amp;" Curncy","PX_LAST")</f>
        <v>6.9523999999999999</v>
      </c>
      <c r="M45" s="52">
        <v>1</v>
      </c>
      <c r="N45" s="15">
        <f t="shared" ref="N45" si="165">IFERROR(IF(((I45/L45)*H45*M45)&lt;&gt;0,((I45/L45)*H45*M45),0),"-")</f>
        <v>146970.8302169035</v>
      </c>
      <c r="O45" s="357">
        <f>IFERROR(IF(Tabelad[[#This Row],[D1 Exp USD]]&lt;&gt;0,N45/$AE$7,0),"-")</f>
        <v>6.1335878393674388E-5</v>
      </c>
      <c r="P45" s="20">
        <f>IFERROR(IF(Tabelad[[#This Row],[D1 Exp USD]]&lt;&gt;0,((I45-K45)/L45*M45*H45)/$AD$7*10000,0),"-")</f>
        <v>-7.8035468694259978E-5</v>
      </c>
      <c r="Q45" s="15">
        <f>IF(SUM(SUMIFS(Options!$AL$4:$AL$25, Options!$D$4:$D$25, B45), SUMIFS(Options!$AL$4:$AL$25, Options!$D$4:$D$25, B45 &amp; " US"))=0,0,SUM(SUMIFS(Options!$AL$4:$AL$25, Options!$D$4:$D$25, B45), SUMIFS(Options!$AL$4:$AL$25, Options!$D$4:$D$25, B45 &amp; " US")))</f>
        <v>0</v>
      </c>
      <c r="R45" s="19">
        <f t="shared" si="151"/>
        <v>0</v>
      </c>
      <c r="S45" s="20">
        <f>IF(SUM(SUMIFS(Options!$AK$4:$AK$25, Options!$D$4:$D$25, B45), SUMIFS(Options!$AK$4:$AK$25, Options!$D$4:$D$25, B45 &amp; " US"))=0,0,SUM(SUMIFS(Options!$AK$4:$AK$25, Options!$D$4:$D$25, B45), SUMIFS(Options!AK$4:$AK$25, Options!$D$4:$D$25, B45 &amp; " US")))</f>
        <v>0</v>
      </c>
      <c r="T45" s="13">
        <f t="shared" ref="T45" si="166">N45+Q45</f>
        <v>146970.8302169035</v>
      </c>
      <c r="U45" s="48">
        <f t="shared" ref="U45" si="167">T45/$AE$7</f>
        <v>6.1335878393674388E-5</v>
      </c>
      <c r="V45" s="20">
        <f t="shared" ref="V45" si="168">P45+S45</f>
        <v>-7.8035468694259978E-5</v>
      </c>
      <c r="W45" s="15">
        <f t="shared" ref="W45" si="169">$W$10/(I45/L45*M45)</f>
        <v>10597.386342591859</v>
      </c>
      <c r="X45" s="19"/>
      <c r="Y45" s="375">
        <f>Tabelad[[#This Row],[Exp %]]*$Y$10*$AD$7/Tabelad[[#This Row],[Price Today]]</f>
        <v>130.89005235602093</v>
      </c>
      <c r="Z45" s="266">
        <f>Tabelad[[#This Row],[Vol 10d]]/16*Tabelad[[#This Row],[Exp %]]*100</f>
        <v>2.2970198288105866E-2</v>
      </c>
      <c r="AA45" s="19">
        <f>Tabelad[[#This Row],[Exp %]]*Tabelad[[#This Row],[Beta Adj2]]</f>
        <v>7.4631595417192788E-5</v>
      </c>
      <c r="AB45" s="36">
        <f>_xll.BDP($B45&amp;" Equity","volatility_10d")</f>
        <v>59.91977</v>
      </c>
      <c r="AC45" s="36" cm="1">
        <f t="array" ref="AC45">_xll.BDP(B45&amp;" EQUITY","eqy_beta")</f>
        <v>1.216769</v>
      </c>
      <c r="AD45" s="15">
        <f>Tabelad[[#This Row],[D1 P&amp;L bps]]*$AD$5/10000</f>
        <v>-17.527039923512408</v>
      </c>
      <c r="AE45" s="277"/>
      <c r="AF45" s="231" t="str">
        <f>_xll.BDP(B45&amp;" Equity","EXPECTED_REPORT_DT")</f>
        <v>22/04/2026</v>
      </c>
      <c r="AG45" s="172" t="e">
        <f>_xll.BDP(B45&amp;" Index","CHG_PCT_1D_PRE_FROM_REGULAR")/100</f>
        <v>#VALUE!</v>
      </c>
      <c r="AH45" s="20" t="e">
        <f t="shared" ref="AH45" si="170">(T45*AG45)/$AD$7*10000</f>
        <v>#VALUE!</v>
      </c>
      <c r="AI45" s="445" t="str">
        <f>_xll.BDP(B45&amp;" Equity","DVD_EX_DT")</f>
        <v>28/05/2025</v>
      </c>
    </row>
    <row r="46" spans="1:35">
      <c r="B46" s="40" t="s">
        <v>137</v>
      </c>
      <c r="C46" t="s">
        <v>1880</v>
      </c>
      <c r="E46" t="s">
        <v>194</v>
      </c>
      <c r="F46" s="22" t="s">
        <v>99</v>
      </c>
      <c r="G46" s="15"/>
      <c r="H46" s="446"/>
      <c r="I46" s="36" cm="1">
        <f t="array" ref="I46">_xll.BDP(B46&amp;" Equity","LAST_PRICE")</f>
        <v>331.02</v>
      </c>
      <c r="J46" s="51">
        <f t="shared" si="2"/>
        <v>-6.6618653222902946E-3</v>
      </c>
      <c r="K46" s="438" cm="1">
        <f t="array" ref="K46">_xll.BDP(B46&amp;" EQUITY","PX_YEST_CLOSE")</f>
        <v>333.24</v>
      </c>
      <c r="L46" s="53" cm="1">
        <f t="array" ref="L46">_xll.BDP(E46&amp;" Curncy","PX_LAST")</f>
        <v>1</v>
      </c>
      <c r="M46" s="52">
        <v>1</v>
      </c>
      <c r="N46" s="15">
        <f t="shared" si="3"/>
        <v>0</v>
      </c>
      <c r="O46" s="357">
        <f>IFERROR(IF(Tabelad[[#This Row],[D1 Exp USD]]&lt;&gt;0,N46/$AE$7,0),"-")</f>
        <v>0</v>
      </c>
      <c r="P46" s="20">
        <f>IFERROR(IF(Tabelad[[#This Row],[D1 Exp USD]]&lt;&gt;0,((I46-K46)/L46*M46*H46)/$AD$7*10000,0),"-")</f>
        <v>0</v>
      </c>
      <c r="Q46" s="15">
        <f>IF(SUM(SUMIFS(Options!$AL$4:$AL$25, Options!$D$4:$D$25, B46), SUMIFS(Options!$AL$4:$AL$25, Options!$D$4:$D$25, B46 &amp; " US"))=0,0,SUM(SUMIFS(Options!$AL$4:$AL$25, Options!$D$4:$D$25, B46), SUMIFS(Options!$AL$4:$AL$25, Options!$D$4:$D$25, B46 &amp; " US")))</f>
        <v>2022127.5356769557</v>
      </c>
      <c r="R46" s="19">
        <f t="shared" ref="R46:R57" si="171">Q46/$AE$7</f>
        <v>8.4390193919253861E-4</v>
      </c>
      <c r="S46" s="20">
        <f>IF(SUM(SUMIFS(Options!$AK$4:$AK$25, Options!$D$4:$D$25, B46), SUMIFS(Options!$AK$4:$AK$25, Options!$D$4:$D$25, B46 &amp; " US"))=0,0,SUM(SUMIFS(Options!$AK$4:$AK$25, Options!$D$4:$D$25, B46), SUMIFS(Options!AK$4:$AK$25, Options!$D$4:$D$25, B46 &amp; " US")))</f>
        <v>-7.3617662312148779E-2</v>
      </c>
      <c r="T46" s="13">
        <f t="shared" si="5"/>
        <v>2022127.5356769557</v>
      </c>
      <c r="U46" s="48">
        <f t="shared" si="6"/>
        <v>8.4390193919253861E-4</v>
      </c>
      <c r="V46" s="20">
        <f t="shared" si="7"/>
        <v>-7.3617662312148779E-2</v>
      </c>
      <c r="W46" s="15">
        <f t="shared" si="8"/>
        <v>1809.6822744849255</v>
      </c>
      <c r="X46" s="19"/>
      <c r="Y46" s="375">
        <f>Tabelad[[#This Row],[Exp %]]*$Y$10*$AD$7/Tabelad[[#This Row],[Price Today]]</f>
        <v>2138.0721330642696</v>
      </c>
      <c r="Z46" s="266">
        <f>Tabelad[[#This Row],[Vol 10d]]/16*Tabelad[[#This Row],[Exp %]]*100</f>
        <v>0.21486965337900571</v>
      </c>
      <c r="AA46" s="19">
        <f>Tabelad[[#This Row],[Exp %]]*Tabelad[[#This Row],[Beta Adj2]]</f>
        <v>1.7143065952206521E-3</v>
      </c>
      <c r="AB46" s="36">
        <f>_xll.BDP($B46&amp;" Equity","volatility_10d")</f>
        <v>40.738316792512094</v>
      </c>
      <c r="AC46" s="36" cm="1">
        <f t="array" ref="AC46">_xll.BDP(B46&amp;" EQUITY","eqy_beta")</f>
        <v>2.031404972076416</v>
      </c>
      <c r="AD46" s="15">
        <f>Tabelad[[#This Row],[D1 P&amp;L bps]]*$AD$5/10000</f>
        <v>0</v>
      </c>
      <c r="AE46" s="277"/>
      <c r="AF46" s="231" t="str">
        <f>_xll.BDP(B46&amp;" Equity","EXPECTED_REPORT_DT")</f>
        <v>06/03/2026</v>
      </c>
      <c r="AG46" s="172">
        <f>_xll.BDP(B46&amp;" Index","CHG_PCT_1D_PRE_FROM_REGULAR")/100</f>
        <v>-2.3705979999999998E-3</v>
      </c>
      <c r="AH46" s="20">
        <f t="shared" si="9"/>
        <v>-2.0005522492459536E-2</v>
      </c>
      <c r="AI46" s="445" t="str">
        <f>_xll.BDP(B46&amp;" Equity","DVD_EX_DT")</f>
        <v>22/12/2025</v>
      </c>
    </row>
    <row r="47" spans="1:35" s="59" customFormat="1">
      <c r="A47" s="468"/>
      <c r="B47" s="423" t="s">
        <v>137</v>
      </c>
      <c r="C47" s="59" t="s">
        <v>1880</v>
      </c>
      <c r="E47" s="59" t="s">
        <v>194</v>
      </c>
      <c r="F47" s="163" t="s">
        <v>99</v>
      </c>
      <c r="G47" s="404"/>
      <c r="H47" s="469">
        <v>1500</v>
      </c>
      <c r="I47" s="14" cm="1">
        <f t="array" ref="I47">_xll.BDP(B47&amp;" Equity","LAST_PRICE")</f>
        <v>331.02</v>
      </c>
      <c r="J47" s="470">
        <f t="shared" ref="J47" si="172">I47/K47-1</f>
        <v>1.7708909795240757E-2</v>
      </c>
      <c r="K47" s="471">
        <v>325.26</v>
      </c>
      <c r="L47" s="8" cm="1">
        <f t="array" ref="L47">_xll.BDP(E47&amp;" Curncy","PX_LAST")</f>
        <v>1</v>
      </c>
      <c r="M47" s="472">
        <v>1</v>
      </c>
      <c r="N47" s="404">
        <f t="shared" ref="N47" si="173">IFERROR(IF(((I47/L47)*H47*M47)&lt;&gt;0,((I47/L47)*H47*M47),0),"-")</f>
        <v>496530</v>
      </c>
      <c r="O47" s="473">
        <f>IFERROR(IF(Tabelad[[#This Row],[D1 Exp USD]]&lt;&gt;0,N47/$AE$7,0),"-")</f>
        <v>2.0721869539598221E-4</v>
      </c>
      <c r="P47" s="474">
        <f>IFERROR(IF(Tabelad[[#This Row],[D1 Exp USD]]&lt;&gt;0,((I47-K47)/L47*M47*H47)/$AD$7*10000,0),"-")</f>
        <v>3.6057630520236104E-2</v>
      </c>
      <c r="Q47" s="404"/>
      <c r="R47" s="128"/>
      <c r="S47" s="474"/>
      <c r="T47" s="475">
        <f t="shared" ref="T47" si="174">N47+Q47</f>
        <v>496530</v>
      </c>
      <c r="U47" s="476">
        <f t="shared" ref="U47" si="175">T47/$AE$7</f>
        <v>2.0721869539598221E-4</v>
      </c>
      <c r="V47" s="474">
        <f t="shared" ref="V47" si="176">P47+S47</f>
        <v>3.6057630520236104E-2</v>
      </c>
      <c r="W47" s="404">
        <f t="shared" ref="W47" si="177">$W$10/(I47/L47*M47)</f>
        <v>1809.6822744849255</v>
      </c>
      <c r="X47" s="128"/>
      <c r="Y47" s="477">
        <f>Tabelad[[#This Row],[Exp %]]*$Y$10*$AD$7/Tabelad[[#This Row],[Price Today]]</f>
        <v>525</v>
      </c>
      <c r="Z47" s="478">
        <f>Tabelad[[#This Row],[Vol 10d]]/16*Tabelad[[#This Row],[Exp %]]*100</f>
        <v>5.2760880364828684E-2</v>
      </c>
      <c r="AA47" s="128">
        <f>Tabelad[[#This Row],[Exp %]]*Tabelad[[#This Row],[Beta Adj2]]</f>
        <v>4.2094508813458659E-4</v>
      </c>
      <c r="AB47" s="14">
        <f>_xll.BDP($B47&amp;" Equity","volatility_10d")</f>
        <v>40.738316792512094</v>
      </c>
      <c r="AC47" s="14" cm="1">
        <f t="array" ref="AC47">_xll.BDP(B47&amp;" EQUITY","eqy_beta")</f>
        <v>2.031404972076416</v>
      </c>
      <c r="AD47" s="404">
        <f>Tabelad[[#This Row],[D1 P&amp;L bps]]*$AD$5/10000</f>
        <v>8098.6702617437377</v>
      </c>
      <c r="AE47" s="337"/>
      <c r="AF47" s="479" t="str">
        <f>_xll.BDP(B47&amp;" Equity","EXPECTED_REPORT_DT")</f>
        <v>06/03/2026</v>
      </c>
      <c r="AG47" s="480">
        <f>_xll.BDP(B47&amp;" Index","CHG_PCT_1D_PRE_FROM_REGULAR")/100</f>
        <v>-2.3705979999999998E-3</v>
      </c>
      <c r="AH47" s="474">
        <f t="shared" ref="AH47" si="178">(T47*AG47)/$AD$7*10000</f>
        <v>-4.9123222486832452E-3</v>
      </c>
      <c r="AI47" s="481" t="str">
        <f>_xll.BDP(B47&amp;" Equity","DVD_EX_DT")</f>
        <v>22/12/2025</v>
      </c>
    </row>
    <row r="48" spans="1:35">
      <c r="B48" s="40" t="s">
        <v>96</v>
      </c>
      <c r="C48" t="s">
        <v>1880</v>
      </c>
      <c r="E48" t="s">
        <v>194</v>
      </c>
      <c r="F48" s="22" t="s">
        <v>99</v>
      </c>
      <c r="G48" s="15"/>
      <c r="H48" s="446">
        <v>2698</v>
      </c>
      <c r="I48" s="36" cm="1">
        <f t="array" ref="I48">_xll.BDP(B48&amp;" Equity","LAST_PRICE")</f>
        <v>339.5</v>
      </c>
      <c r="J48" s="51">
        <f t="shared" si="2"/>
        <v>-8.1799591002045258E-3</v>
      </c>
      <c r="K48" s="438" cm="1">
        <f t="array" ref="K48">_xll.BDP(B48&amp;" EQUITY","PX_YEST_CLOSE")</f>
        <v>342.3</v>
      </c>
      <c r="L48" s="53" cm="1">
        <f t="array" ref="L48">_xll.BDP(E48&amp;" Curncy","PX_LAST")</f>
        <v>1</v>
      </c>
      <c r="M48" s="52">
        <v>1</v>
      </c>
      <c r="N48" s="15">
        <f t="shared" si="3"/>
        <v>915971</v>
      </c>
      <c r="O48" s="357">
        <f>IFERROR(IF(Tabelad[[#This Row],[D1 Exp USD]]&lt;&gt;0,N48/$AE$7,0),"-")</f>
        <v>3.8226555422744488E-4</v>
      </c>
      <c r="P48" s="20">
        <f>IFERROR(IF(Tabelad[[#This Row],[D1 Exp USD]]&lt;&gt;0,((I48-K48)/L48*M48*H48)/$AD$7*10000,0),"-")</f>
        <v>-3.1527056018758465E-2</v>
      </c>
      <c r="Q48" s="15">
        <f>IF(SUM(SUMIFS(Options!$AL$4:$AL$25, Options!$D$4:$D$25, B48), SUMIFS(Options!$AL$4:$AL$25, Options!$D$4:$D$25, B48 &amp; " US"))=0,0,SUM(SUMIFS(Options!$AL$4:$AL$25, Options!$D$4:$D$25, B48), SUMIFS(Options!$AL$4:$AL$25, Options!$D$4:$D$25, B48 &amp; " US")))</f>
        <v>11747446.718379855</v>
      </c>
      <c r="R48" s="19">
        <f t="shared" si="171"/>
        <v>4.9026052468460835E-3</v>
      </c>
      <c r="S48" s="20">
        <f>IF(SUM(SUMIFS(Options!$AK$4:$AK$25, Options!$D$4:$D$25, B48), SUMIFS(Options!$AK$4:$AK$25, Options!$D$4:$D$25, B48 &amp; " US"))=0,0,SUM(SUMIFS(Options!$AK$4:$AK$25, Options!$D$4:$D$25, B48), SUMIFS(Options!AK$4:$AK$25, Options!$D$4:$D$25, B48 &amp; " US")))</f>
        <v>-0.81163472699143735</v>
      </c>
      <c r="T48" s="13">
        <f t="shared" si="5"/>
        <v>12663417.718379855</v>
      </c>
      <c r="U48" s="48">
        <f t="shared" si="6"/>
        <v>5.2848708010735284E-3</v>
      </c>
      <c r="V48" s="20">
        <f t="shared" si="7"/>
        <v>-0.84316178301019584</v>
      </c>
      <c r="W48" s="15">
        <f t="shared" si="8"/>
        <v>1764.4801958762887</v>
      </c>
      <c r="X48" s="19"/>
      <c r="Y48" s="375">
        <f>Tabelad[[#This Row],[Exp %]]*$Y$10*$AD$7/Tabelad[[#This Row],[Price Today]]</f>
        <v>13055.069812762737</v>
      </c>
      <c r="Z48" s="266">
        <f>Tabelad[[#This Row],[Vol 10d]]/16*Tabelad[[#This Row],[Exp %]]*100</f>
        <v>1.2956780425758228</v>
      </c>
      <c r="AA48" s="19">
        <f>Tabelad[[#This Row],[Exp %]]*Tabelad[[#This Row],[Beta Adj2]]</f>
        <v>7.8247948251820836E-3</v>
      </c>
      <c r="AB48" s="36">
        <f>_xll.BDP($B48&amp;" Equity","volatility_10d")</f>
        <v>39.226784270680859</v>
      </c>
      <c r="AC48" s="36" cm="1">
        <f t="array" ref="AC48">_xll.BDP(B48&amp;" EQUITY","eqy_beta")</f>
        <v>1.4806028604507446</v>
      </c>
      <c r="AD48" s="15">
        <f>Tabelad[[#This Row],[D1 P&amp;L bps]]*$AD$5/10000</f>
        <v>-7081.0873408931975</v>
      </c>
      <c r="AE48" s="277"/>
      <c r="AF48" s="231" t="str">
        <f>_xll.BDP(B48&amp;" Equity","EXPECTED_REPORT_DT")</f>
        <v>17/04/2026</v>
      </c>
      <c r="AG48" s="172" t="e">
        <f>_xll.BDP(B48&amp;" Index","CHG_PCT_1D_PRE_FROM_REGULAR")/100</f>
        <v>#VALUE!</v>
      </c>
      <c r="AH48" s="20" t="e">
        <f t="shared" si="9"/>
        <v>#VALUE!</v>
      </c>
      <c r="AI48" s="445" t="str">
        <f>_xll.BDP(B48&amp;" Equity","DVD_EX_DT")</f>
        <v>17/03/2026</v>
      </c>
    </row>
    <row r="49" spans="1:35" s="59" customFormat="1">
      <c r="A49" s="468"/>
      <c r="B49" s="423" t="s">
        <v>96</v>
      </c>
      <c r="C49" s="59" t="s">
        <v>1880</v>
      </c>
      <c r="E49" s="59" t="s">
        <v>194</v>
      </c>
      <c r="F49" s="163" t="s">
        <v>99</v>
      </c>
      <c r="G49" s="404"/>
      <c r="H49" s="469">
        <v>2500</v>
      </c>
      <c r="I49" s="14" cm="1">
        <f t="array" ref="I49">_xll.BDP(B49&amp;" Equity","LAST_PRICE")</f>
        <v>339.5</v>
      </c>
      <c r="J49" s="470">
        <f t="shared" ref="J49" si="179">I49/K49-1</f>
        <v>2.2344013490725123E-2</v>
      </c>
      <c r="K49" s="471">
        <v>332.08</v>
      </c>
      <c r="L49" s="8" cm="1">
        <f t="array" ref="L49">_xll.BDP(E49&amp;" Curncy","PX_LAST")</f>
        <v>1</v>
      </c>
      <c r="M49" s="472">
        <v>1</v>
      </c>
      <c r="N49" s="404">
        <f t="shared" ref="N49" si="180">IFERROR(IF(((I49/L49)*H49*M49)&lt;&gt;0,((I49/L49)*H49*M49),0),"-")</f>
        <v>848750</v>
      </c>
      <c r="O49" s="473">
        <f>IFERROR(IF(Tabelad[[#This Row],[D1 Exp USD]]&lt;&gt;0,N49/$AE$7,0),"-")</f>
        <v>3.5421196648206533E-4</v>
      </c>
      <c r="P49" s="474">
        <f>IFERROR(IF(Tabelad[[#This Row],[D1 Exp USD]]&lt;&gt;0,((I49-K49)/L49*M49*H49)/$AD$7*10000,0),"-")</f>
        <v>7.7415398859997958E-2</v>
      </c>
      <c r="Q49" s="404"/>
      <c r="R49" s="128"/>
      <c r="S49" s="474"/>
      <c r="T49" s="475">
        <f t="shared" ref="T49" si="181">N49+Q49</f>
        <v>848750</v>
      </c>
      <c r="U49" s="476">
        <f t="shared" ref="U49" si="182">T49/$AE$7</f>
        <v>3.5421196648206533E-4</v>
      </c>
      <c r="V49" s="474">
        <f t="shared" ref="V49" si="183">P49+S49</f>
        <v>7.7415398859997958E-2</v>
      </c>
      <c r="W49" s="404">
        <f t="shared" ref="W49" si="184">$W$10/(I49/L49*M49)</f>
        <v>1764.4801958762887</v>
      </c>
      <c r="X49" s="128"/>
      <c r="Y49" s="477">
        <f>Tabelad[[#This Row],[Exp %]]*$Y$10*$AD$7/Tabelad[[#This Row],[Price Today]]</f>
        <v>875</v>
      </c>
      <c r="Z49" s="478">
        <f>Tabelad[[#This Row],[Vol 10d]]/16*Tabelad[[#This Row],[Exp %]]*100</f>
        <v>8.684122747053509E-2</v>
      </c>
      <c r="AA49" s="128">
        <f>Tabelad[[#This Row],[Exp %]]*Tabelad[[#This Row],[Beta Adj2]]</f>
        <v>5.2444725077922924E-4</v>
      </c>
      <c r="AB49" s="14">
        <f>_xll.BDP($B49&amp;" Equity","volatility_10d")</f>
        <v>39.226784270680859</v>
      </c>
      <c r="AC49" s="14" cm="1">
        <f t="array" ref="AC49">_xll.BDP(B49&amp;" EQUITY","eqy_beta")</f>
        <v>1.4806028604507446</v>
      </c>
      <c r="AD49" s="404">
        <f>Tabelad[[#This Row],[D1 P&amp;L bps]]*$AD$5/10000</f>
        <v>17387.770064276265</v>
      </c>
      <c r="AE49" s="337"/>
      <c r="AF49" s="479" t="str">
        <f>_xll.BDP(B49&amp;" Equity","EXPECTED_REPORT_DT")</f>
        <v>17/04/2026</v>
      </c>
      <c r="AG49" s="480" t="e">
        <f>_xll.BDP(B49&amp;" Index","CHG_PCT_1D_PRE_FROM_REGULAR")/100</f>
        <v>#VALUE!</v>
      </c>
      <c r="AH49" s="474" t="e">
        <f t="shared" ref="AH49" si="185">(T49*AG49)/$AD$7*10000</f>
        <v>#VALUE!</v>
      </c>
      <c r="AI49" s="481" t="str">
        <f>_xll.BDP(B49&amp;" Equity","DVD_EX_DT")</f>
        <v>17/03/2026</v>
      </c>
    </row>
    <row r="50" spans="1:35">
      <c r="B50" s="40" t="s">
        <v>708</v>
      </c>
      <c r="C50" t="s">
        <v>1880</v>
      </c>
      <c r="E50" t="s">
        <v>194</v>
      </c>
      <c r="F50" s="22" t="s">
        <v>99</v>
      </c>
      <c r="G50" s="15"/>
      <c r="H50" s="446">
        <v>3500</v>
      </c>
      <c r="I50" s="36" cm="1">
        <f t="array" ref="I50">_xll.BDP(B50&amp;" Equity","LAST_PRICE")</f>
        <v>48.65</v>
      </c>
      <c r="J50" s="51">
        <f t="shared" ref="J50" si="186">I50/K50-1</f>
        <v>-2.6650266502665776E-3</v>
      </c>
      <c r="K50" s="438" cm="1">
        <f t="array" ref="K50">_xll.BDP(B50&amp;" EQUITY","PX_YEST_CLOSE")</f>
        <v>48.78</v>
      </c>
      <c r="L50" s="53" cm="1">
        <f t="array" ref="L50">_xll.BDP(E50&amp;" Curncy","PX_LAST")</f>
        <v>1</v>
      </c>
      <c r="M50" s="52">
        <v>1</v>
      </c>
      <c r="N50" s="15">
        <f t="shared" ref="N50" si="187">IFERROR(IF(((I50/L50)*H50*M50)&lt;&gt;0,((I50/L50)*H50*M50),0),"-")</f>
        <v>170275</v>
      </c>
      <c r="O50" s="357">
        <f>IFERROR(IF(Tabelad[[#This Row],[D1 Exp USD]]&lt;&gt;0,N50/$AE$7,0),"-")</f>
        <v>7.1061493481865888E-5</v>
      </c>
      <c r="P50" s="20">
        <f>IFERROR(IF(Tabelad[[#This Row],[D1 Exp USD]]&lt;&gt;0,((I50-K50)/L50*M50*H50)/$AD$7*10000,0),"-")</f>
        <v>-1.8988682739245113E-3</v>
      </c>
      <c r="Q50" s="15">
        <f>IF(SUM(SUMIFS(Options!$AL$4:$AL$25, Options!$D$4:$D$25, B50), SUMIFS(Options!$AL$4:$AL$25, Options!$D$4:$D$25, B50 &amp; " US"))=0,0,SUM(SUMIFS(Options!$AL$4:$AL$25, Options!$D$4:$D$25, B50), SUMIFS(Options!$AL$4:$AL$25, Options!$D$4:$D$25, B50 &amp; " US")))</f>
        <v>571661.16426512599</v>
      </c>
      <c r="R50" s="19">
        <f t="shared" ref="R50" si="188">Q50/$AE$7</f>
        <v>2.3857346115555491E-4</v>
      </c>
      <c r="S50" s="20">
        <f>IF(SUM(SUMIFS(Options!$AK$4:$AK$25, Options!$D$4:$D$25, B50), SUMIFS(Options!$AK$4:$AK$25, Options!$D$4:$D$25, B50 &amp; " US"))=0,0,SUM(SUMIFS(Options!$AK$4:$AK$25, Options!$D$4:$D$25, B50), SUMIFS(Options!AK$4:$AK$25, Options!$D$4:$D$25, B50 &amp; " US")))</f>
        <v>5.4253379254985291E-3</v>
      </c>
      <c r="T50" s="13">
        <f t="shared" ref="T50" si="189">N50+Q50</f>
        <v>741936.16426512599</v>
      </c>
      <c r="U50" s="48">
        <f t="shared" ref="U50" si="190">T50/$AE$7</f>
        <v>3.096349546374208E-4</v>
      </c>
      <c r="V50" s="20">
        <f t="shared" ref="V50" si="191">P50+S50</f>
        <v>3.5264696515740178E-3</v>
      </c>
      <c r="W50" s="15">
        <f t="shared" ref="W50" si="192">$W$10/(I50/L50*M50)</f>
        <v>12313.279064748203</v>
      </c>
      <c r="X50" s="19"/>
      <c r="Y50" s="375">
        <f>Tabelad[[#This Row],[Exp %]]*$Y$10*$AD$7/Tabelad[[#This Row],[Price Today]]</f>
        <v>5337.6702465116978</v>
      </c>
      <c r="Z50" s="266">
        <f>Tabelad[[#This Row],[Vol 10d]]/16*Tabelad[[#This Row],[Exp %]]*100</f>
        <v>0.28083541984057847</v>
      </c>
      <c r="AA50" s="19">
        <f>Tabelad[[#This Row],[Exp %]]*Tabelad[[#This Row],[Beta Adj2]]</f>
        <v>4.5575401089449727E-4</v>
      </c>
      <c r="AB50" s="36">
        <f>_xll.BDP($B50&amp;" Equity","volatility_10d")</f>
        <v>145.1181996784226</v>
      </c>
      <c r="AC50" s="36" cm="1">
        <f t="array" ref="AC50">_xll.BDP(B50&amp;" EQUITY","eqy_beta")</f>
        <v>1.4719074964523315</v>
      </c>
      <c r="AD50" s="15">
        <f>Tabelad[[#This Row],[D1 P&amp;L bps]]*$AD$5/10000</f>
        <v>-426.49247327470823</v>
      </c>
      <c r="AE50" s="277"/>
      <c r="AF50" s="231" t="str">
        <f>_xll.BDP(B50&amp;" Equity","EXPECTED_REPORT_DT")</f>
        <v>24/04/2026</v>
      </c>
      <c r="AG50" s="172" t="e">
        <f>_xll.BDP(B50&amp;" Index","CHG_PCT_1D_PRE_FROM_REGULAR")/100</f>
        <v>#VALUE!</v>
      </c>
      <c r="AH50" s="20" t="e">
        <f t="shared" ref="AH50" si="193">(T50*AG50)/$AD$7*10000</f>
        <v>#VALUE!</v>
      </c>
      <c r="AI50" s="445" t="str">
        <f>_xll.BDP(B50&amp;" Equity","DVD_EX_DT")</f>
        <v>03/09/2024</v>
      </c>
    </row>
    <row r="51" spans="1:35" s="59" customFormat="1">
      <c r="A51" s="468" t="s">
        <v>1770</v>
      </c>
      <c r="B51" s="423" t="s">
        <v>708</v>
      </c>
      <c r="C51" s="59" t="s">
        <v>1880</v>
      </c>
      <c r="E51" s="59" t="s">
        <v>194</v>
      </c>
      <c r="F51" s="163" t="s">
        <v>99</v>
      </c>
      <c r="G51" s="404"/>
      <c r="H51" s="469">
        <v>-3500</v>
      </c>
      <c r="I51" s="14" cm="1">
        <f t="array" ref="I51">_xll.BDP(B51&amp;" Equity","LAST_PRICE")</f>
        <v>48.65</v>
      </c>
      <c r="J51" s="470">
        <f t="shared" ref="J51" si="194">I51/K51-1</f>
        <v>1.2486992715921019E-2</v>
      </c>
      <c r="K51" s="471">
        <v>48.05</v>
      </c>
      <c r="L51" s="8" cm="1">
        <f t="array" ref="L51">_xll.BDP(E51&amp;" Curncy","PX_LAST")</f>
        <v>1</v>
      </c>
      <c r="M51" s="472">
        <v>1</v>
      </c>
      <c r="N51" s="404">
        <f t="shared" ref="N51" si="195">IFERROR(IF(((I51/L51)*H51*M51)&lt;&gt;0,((I51/L51)*H51*M51),0),"-")</f>
        <v>-170275</v>
      </c>
      <c r="O51" s="473">
        <f>IFERROR(IF(Tabelad[[#This Row],[D1 Exp USD]]&lt;&gt;0,N51/$AE$7,0),"-")</f>
        <v>-7.1061493481865888E-5</v>
      </c>
      <c r="P51" s="474">
        <f>IFERROR(IF(Tabelad[[#This Row],[D1 Exp USD]]&lt;&gt;0,((I51-K51)/L51*M51*H51)/$AD$7*10000,0),"-")</f>
        <v>-8.7640074181129773E-3</v>
      </c>
      <c r="Q51" s="404"/>
      <c r="R51" s="128"/>
      <c r="S51" s="474"/>
      <c r="T51" s="475">
        <f t="shared" ref="T51" si="196">N51+Q51</f>
        <v>-170275</v>
      </c>
      <c r="U51" s="476">
        <f t="shared" ref="U51" si="197">T51/$AE$7</f>
        <v>-7.1061493481865888E-5</v>
      </c>
      <c r="V51" s="474">
        <f t="shared" ref="V51" si="198">P51+S51</f>
        <v>-8.7640074181129773E-3</v>
      </c>
      <c r="W51" s="404">
        <f t="shared" ref="W51" si="199">$W$10/(I51/L51*M51)</f>
        <v>12313.279064748203</v>
      </c>
      <c r="X51" s="128"/>
      <c r="Y51" s="477">
        <f>Tabelad[[#This Row],[Exp %]]*$Y$10*$AD$7/Tabelad[[#This Row],[Price Today]]</f>
        <v>-1225</v>
      </c>
      <c r="Z51" s="478">
        <f>Tabelad[[#This Row],[Vol 10d]]/16*Tabelad[[#This Row],[Exp %]]*100</f>
        <v>-6.4451975003427114E-2</v>
      </c>
      <c r="AA51" s="128">
        <f>Tabelad[[#This Row],[Exp %]]*Tabelad[[#This Row],[Beta Adj2]]</f>
        <v>-1.045959449650569E-4</v>
      </c>
      <c r="AB51" s="14">
        <f>_xll.BDP($B51&amp;" Equity","volatility_10d")</f>
        <v>145.1181996784226</v>
      </c>
      <c r="AC51" s="14" cm="1">
        <f t="array" ref="AC51">_xll.BDP(B51&amp;" EQUITY","eqy_beta")</f>
        <v>1.4719074964523315</v>
      </c>
      <c r="AD51" s="404">
        <f>Tabelad[[#This Row],[D1 P&amp;L bps]]*$AD$5/10000</f>
        <v>-1968.4267997293887</v>
      </c>
      <c r="AE51" s="337"/>
      <c r="AF51" s="479" t="str">
        <f>_xll.BDP(B51&amp;" Equity","EXPECTED_REPORT_DT")</f>
        <v>24/04/2026</v>
      </c>
      <c r="AG51" s="480" t="e">
        <f>_xll.BDP(B51&amp;" Index","CHG_PCT_1D_PRE_FROM_REGULAR")/100</f>
        <v>#VALUE!</v>
      </c>
      <c r="AH51" s="474" t="e">
        <f t="shared" ref="AH51" si="200">(T51*AG51)/$AD$7*10000</f>
        <v>#VALUE!</v>
      </c>
      <c r="AI51" s="481" t="str">
        <f>_xll.BDP(B51&amp;" Equity","DVD_EX_DT")</f>
        <v>03/09/2024</v>
      </c>
    </row>
    <row r="52" spans="1:35">
      <c r="B52" s="40" t="s">
        <v>94</v>
      </c>
      <c r="C52" t="s">
        <v>1880</v>
      </c>
      <c r="E52" t="s">
        <v>194</v>
      </c>
      <c r="F52" s="22" t="s">
        <v>99</v>
      </c>
      <c r="G52" s="15"/>
      <c r="H52" s="446">
        <v>13508</v>
      </c>
      <c r="I52" s="36" cm="1">
        <f t="array" ref="I52">_xll.BDP(B52&amp;" Equity","LAST_PRICE")</f>
        <v>192.565</v>
      </c>
      <c r="J52" s="51">
        <f t="shared" si="2"/>
        <v>5.4563492063490759E-3</v>
      </c>
      <c r="K52" s="438" cm="1">
        <f t="array" ref="K52">_xll.BDP(B52&amp;" EQUITY","PX_YEST_CLOSE")</f>
        <v>191.52</v>
      </c>
      <c r="L52" s="53" cm="1">
        <f t="array" ref="L52">_xll.BDP(E52&amp;" Curncy","PX_LAST")</f>
        <v>1</v>
      </c>
      <c r="M52" s="52">
        <v>1</v>
      </c>
      <c r="N52" s="15">
        <f t="shared" si="3"/>
        <v>2601168.02</v>
      </c>
      <c r="O52" s="357">
        <f>IFERROR(IF(Tabelad[[#This Row],[D1 Exp USD]]&lt;&gt;0,N52/$AE$7,0),"-")</f>
        <v>1.0855550391922948E-3</v>
      </c>
      <c r="P52" s="20">
        <f>IFERROR(IF(Tabelad[[#This Row],[D1 Exp USD]]&lt;&gt;0,((I52-K52)/L52*M52*H52)/$AD$7*10000,0),"-")</f>
        <v>5.8910238930020231E-2</v>
      </c>
      <c r="Q52" s="15">
        <f>IF(SUM(SUMIFS(Options!$AL$4:$AL$25, Options!$D$4:$D$25, B52), SUMIFS(Options!$AL$4:$AL$25, Options!$D$4:$D$25, B52 &amp; " US"))=0,0,SUM(SUMIFS(Options!$AL$4:$AL$25, Options!$D$4:$D$25, B52), SUMIFS(Options!$AL$4:$AL$25, Options!$D$4:$D$25, B52 &amp; " US")))</f>
        <v>1445112.6224532723</v>
      </c>
      <c r="R52" s="19">
        <f t="shared" si="171"/>
        <v>6.0309417824710217E-4</v>
      </c>
      <c r="S52" s="20">
        <f>IF(SUM(SUMIFS(Options!$AK$4:$AK$25, Options!$D$4:$D$25, B52), SUMIFS(Options!$AK$4:$AK$25, Options!$D$4:$D$25, B52 &amp; " US"))=0,0,SUM(SUMIFS(Options!$AK$4:$AK$25, Options!$D$4:$D$25, B52), SUMIFS(Options!AK$4:$AK$25, Options!$D$4:$D$25, B52 &amp; " US")))</f>
        <v>-0.25300854748718921</v>
      </c>
      <c r="T52" s="13">
        <f t="shared" si="5"/>
        <v>4046280.6424532724</v>
      </c>
      <c r="U52" s="48">
        <f t="shared" si="6"/>
        <v>1.688649217439397E-3</v>
      </c>
      <c r="V52" s="20">
        <f t="shared" si="7"/>
        <v>-0.19409830855716897</v>
      </c>
      <c r="W52" s="15">
        <f t="shared" si="8"/>
        <v>3110.8510191363957</v>
      </c>
      <c r="X52" s="19"/>
      <c r="Y52" s="375">
        <f>Tabelad[[#This Row],[Exp %]]*$Y$10*$AD$7/Tabelad[[#This Row],[Price Today]]</f>
        <v>7354.3905946493151</v>
      </c>
      <c r="Z52" s="266">
        <f>Tabelad[[#This Row],[Vol 10d]]/16*Tabelad[[#This Row],[Exp %]]*100</f>
        <v>0.37109202126812707</v>
      </c>
      <c r="AA52" s="19">
        <f>Tabelad[[#This Row],[Exp %]]*Tabelad[[#This Row],[Beta Adj2]]</f>
        <v>3.1238553493877969E-3</v>
      </c>
      <c r="AB52" s="36">
        <f>_xll.BDP($B52&amp;" Equity","volatility_10d")</f>
        <v>35.161075959241487</v>
      </c>
      <c r="AC52" s="36" cm="1">
        <f t="array" ref="AC52">_xll.BDP(B52&amp;" EQUITY","eqy_beta")</f>
        <v>1.8499137163162231</v>
      </c>
      <c r="AD52" s="15">
        <f>Tabelad[[#This Row],[D1 P&amp;L bps]]*$AD$5/10000</f>
        <v>13231.446250108424</v>
      </c>
      <c r="AE52" s="277"/>
      <c r="AF52" s="231" t="str">
        <f>_xll.BDP(B52&amp;" Equity","EXPECTED_REPORT_DT")</f>
        <v>25/02/2026</v>
      </c>
      <c r="AG52" s="172">
        <f>_xll.BDP(B52&amp;" Index","CHG_PCT_1D_PRE_FROM_REGULAR")/100</f>
        <v>-1.096526E-3</v>
      </c>
      <c r="AH52" s="20">
        <f t="shared" si="9"/>
        <v>-1.8516477718019522E-2</v>
      </c>
      <c r="AI52" s="445" t="str">
        <f>_xll.BDP(B52&amp;" Equity","DVD_EX_DT")</f>
        <v>04/12/2025</v>
      </c>
    </row>
    <row r="53" spans="1:35">
      <c r="B53" s="40" t="s">
        <v>138</v>
      </c>
      <c r="C53" t="s">
        <v>1880</v>
      </c>
      <c r="E53" t="s">
        <v>194</v>
      </c>
      <c r="F53" s="22" t="s">
        <v>100</v>
      </c>
      <c r="G53" s="15"/>
      <c r="H53" s="446">
        <v>-49</v>
      </c>
      <c r="I53" s="36" cm="1">
        <f t="array" ref="I53">_xll.BDP(B53&amp;" Equity","LAST_PRICE")</f>
        <v>81.305000000000007</v>
      </c>
      <c r="J53" s="51">
        <f t="shared" si="2"/>
        <v>-2.7684764410428109E-2</v>
      </c>
      <c r="K53" s="438" cm="1">
        <f t="array" ref="K53">_xll.BDP(B53&amp;" EQUITY","PX_YEST_CLOSE")</f>
        <v>83.62</v>
      </c>
      <c r="L53" s="53" cm="1">
        <f t="array" ref="L53">_xll.BDP(E53&amp;" Curncy","PX_LAST")</f>
        <v>1</v>
      </c>
      <c r="M53" s="52">
        <v>1</v>
      </c>
      <c r="N53" s="15">
        <f t="shared" si="3"/>
        <v>-3983.9450000000002</v>
      </c>
      <c r="O53" s="357">
        <f>IFERROR(IF(Tabelad[[#This Row],[D1 Exp USD]]&lt;&gt;0,N53/$AE$7,0),"-")</f>
        <v>-1.6626344539692392E-6</v>
      </c>
      <c r="P53" s="20">
        <f>IFERROR(IF(Tabelad[[#This Row],[D1 Exp USD]]&lt;&gt;0,((I53-K53)/L53*M53*H53)/$AD$7*10000,0),"-")</f>
        <v>4.7340246736840108E-4</v>
      </c>
      <c r="Q53" s="15">
        <f>IF(SUM(SUMIFS(Options!$AL$4:$AL$25, Options!$D$4:$D$25, B53), SUMIFS(Options!$AL$4:$AL$25, Options!$D$4:$D$25, B53 &amp; " US"))=0,0,SUM(SUMIFS(Options!$AL$4:$AL$25, Options!$D$4:$D$25, B53), SUMIFS(Options!$AL$4:$AL$25, Options!$D$4:$D$25, B53 &amp; " US")))</f>
        <v>-594154.90439459682</v>
      </c>
      <c r="R53" s="19">
        <f t="shared" si="171"/>
        <v>-2.4796085664868767E-4</v>
      </c>
      <c r="S53" s="20">
        <f>IF(SUM(SUMIFS(Options!$AK$4:$AK$25, Options!$D$4:$D$25, B53), SUMIFS(Options!$AK$4:$AK$25, Options!$D$4:$D$25, B53 &amp; " US"))=0,0,SUM(SUMIFS(Options!$AK$4:$AK$25, Options!$D$4:$D$25, B53), SUMIFS(Options!AK$4:$AK$25, Options!$D$4:$D$25, B53 &amp; " US")))</f>
        <v>7.1677060669566764E-2</v>
      </c>
      <c r="T53" s="13">
        <f t="shared" si="5"/>
        <v>-598138.84939459676</v>
      </c>
      <c r="U53" s="48">
        <f t="shared" si="6"/>
        <v>-2.4962349110265689E-4</v>
      </c>
      <c r="V53" s="20">
        <f t="shared" si="7"/>
        <v>7.215046313693517E-2</v>
      </c>
      <c r="W53" s="15">
        <f t="shared" si="8"/>
        <v>7367.8251829530782</v>
      </c>
      <c r="X53" s="19"/>
      <c r="Y53" s="375">
        <f>Tabelad[[#This Row],[Exp %]]*$Y$10*$AD$7/Tabelad[[#This Row],[Price Today]]</f>
        <v>-2574.8551416039463</v>
      </c>
      <c r="Z53" s="266">
        <f>Tabelad[[#This Row],[Vol 10d]]/16*Tabelad[[#This Row],[Exp %]]*100</f>
        <v>-6.2520474906393397E-2</v>
      </c>
      <c r="AA53" s="19">
        <f>Tabelad[[#This Row],[Exp %]]*Tabelad[[#This Row],[Beta Adj2]]</f>
        <v>-4.9505404001629635E-4</v>
      </c>
      <c r="AB53" s="36">
        <f>_xll.BDP($B53&amp;" Equity","volatility_10d")</f>
        <v>40.073455991003378</v>
      </c>
      <c r="AC53" s="36" cm="1">
        <f t="array" ref="AC53">_xll.BDP(B53&amp;" EQUITY","eqy_beta")</f>
        <v>1.9832029342651367</v>
      </c>
      <c r="AD53" s="15">
        <f>Tabelad[[#This Row],[D1 P&amp;L bps]]*$AD$5/10000</f>
        <v>106.32785429871545</v>
      </c>
      <c r="AE53" s="277"/>
      <c r="AF53" s="231" t="str">
        <f>_xll.BDP(B53&amp;" Equity","EXPECTED_REPORT_DT")</f>
        <v>05/03/2026</v>
      </c>
      <c r="AG53" s="172">
        <f>_xll.BDP(B53&amp;" Index","CHG_PCT_1D_PRE_FROM_REGULAR")/100</f>
        <v>-1.8895019999999998E-2</v>
      </c>
      <c r="AH53" s="20">
        <f t="shared" si="9"/>
        <v>4.7166408568545232E-2</v>
      </c>
      <c r="AI53" s="445" t="str">
        <f>_xll.BDP(B53&amp;" Equity","DVD_EX_DT")</f>
        <v>09/01/2026</v>
      </c>
    </row>
    <row r="54" spans="1:35">
      <c r="B54" s="40" t="s">
        <v>2131</v>
      </c>
      <c r="C54" t="s">
        <v>2132</v>
      </c>
      <c r="E54" t="s">
        <v>194</v>
      </c>
      <c r="F54" s="22" t="s">
        <v>99</v>
      </c>
      <c r="G54" s="15"/>
      <c r="H54" s="446">
        <v>31600</v>
      </c>
      <c r="I54" s="36" cm="1">
        <f t="array" ref="I54">_xll.BDP(B54&amp;" Equity","LAST_PRICE")</f>
        <v>16.984999999999999</v>
      </c>
      <c r="J54" s="51">
        <f>I54/K54-1</f>
        <v>-3.2193732193732227E-2</v>
      </c>
      <c r="K54" s="438" cm="1">
        <f t="array" ref="K54">_xll.BDP(B54&amp;" EQUITY","PX_YEST_CLOSE")</f>
        <v>17.55</v>
      </c>
      <c r="L54" s="53" cm="1">
        <f t="array" ref="L54">_xll.BDP(E54&amp;" Curncy","PX_LAST")</f>
        <v>1</v>
      </c>
      <c r="M54" s="52">
        <v>1</v>
      </c>
      <c r="N54" s="15">
        <f>IFERROR(IF(((I54/L54)*H54*M54)&lt;&gt;0,((I54/L54)*H54*M54),0),"-")</f>
        <v>536726</v>
      </c>
      <c r="O54" s="357">
        <f>IFERROR(IF(Tabelad[[#This Row],[D1 Exp USD]]&lt;&gt;0,N54/$AE$7,0),"-")</f>
        <v>2.2399384026162354E-4</v>
      </c>
      <c r="P54" s="20">
        <f>IFERROR(IF(Tabelad[[#This Row],[D1 Exp USD]]&lt;&gt;0,((I54-K54)/L54*M54*H54)/$AD$7*10000,0),"-")</f>
        <v>-7.4510756401423364E-2</v>
      </c>
      <c r="Q54" s="15">
        <f>IF(SUM(SUMIFS(Options!$AL$4:$AL$25, Options!$D$4:$D$25, B54), SUMIFS(Options!$AL$4:$AL$25, Options!$D$4:$D$25, B54 &amp; " US"))=0,0,SUM(SUMIFS(Options!$AL$4:$AL$25, Options!$D$4:$D$25, B54), SUMIFS(Options!$AL$4:$AL$25, Options!$D$4:$D$25, B54 &amp; " US")))</f>
        <v>0</v>
      </c>
      <c r="R54" s="19">
        <f t="shared" si="171"/>
        <v>0</v>
      </c>
      <c r="S54" s="20">
        <f>IF(SUM(SUMIFS(Options!$AK$4:$AK$25, Options!$D$4:$D$25, B54), SUMIFS(Options!$AK$4:$AK$25, Options!$D$4:$D$25, B54 &amp; " US"))=0,0,SUM(SUMIFS(Options!$AK$4:$AK$25, Options!$D$4:$D$25, B54), SUMIFS(Options!AK$4:$AK$25, Options!$D$4:$D$25, B54 &amp; " US")))</f>
        <v>0</v>
      </c>
      <c r="T54" s="13">
        <f>N54+Q54</f>
        <v>536726</v>
      </c>
      <c r="U54" s="48">
        <f>T54/$AE$7</f>
        <v>2.2399384026162354E-4</v>
      </c>
      <c r="V54" s="20">
        <f>P54+S54</f>
        <v>-7.4510756401423364E-2</v>
      </c>
      <c r="W54" s="15">
        <f>$W$10/(I54/L54*M54)</f>
        <v>35268.826994406831</v>
      </c>
      <c r="X54" s="19"/>
      <c r="Y54" s="375">
        <f>Tabelad[[#This Row],[Exp %]]*$Y$10*$AD$7/Tabelad[[#This Row],[Price Today]]</f>
        <v>11059.999999999998</v>
      </c>
      <c r="Z54" s="266">
        <f>Tabelad[[#This Row],[Vol 10d]]/16*Tabelad[[#This Row],[Exp %]]*100</f>
        <v>0.16331671846237175</v>
      </c>
      <c r="AA54" s="19">
        <f>Tabelad[[#This Row],[Exp %]]*Tabelad[[#This Row],[Beta Adj2]]</f>
        <v>4.6406077062437966E-4</v>
      </c>
      <c r="AB54" s="36">
        <f>_xll.BDP($B54&amp;" Equity","volatility_10d")</f>
        <v>116.65800686063064</v>
      </c>
      <c r="AC54" s="36" cm="1">
        <f t="array" ref="AC54">_xll.BDP(B54&amp;" EQUITY","eqy_beta")</f>
        <v>2.0717568397521973</v>
      </c>
      <c r="AD54" s="15">
        <f>Tabelad[[#This Row],[D1 P&amp;L bps]]*$AD$5/10000</f>
        <v>-16735.377182080236</v>
      </c>
      <c r="AE54" s="277"/>
      <c r="AF54" s="231" t="str">
        <f>_xll.BDP(B54&amp;" Equity","EXPECTED_REPORT_DT")</f>
        <v>24/02/2026</v>
      </c>
      <c r="AG54" s="172">
        <f>_xll.BDP(B54&amp;" Index","CHG_PCT_1D_PRE_FROM_REGULAR")/100</f>
        <v>-1.9373229999999998E-2</v>
      </c>
      <c r="AH54" s="20">
        <f>(T54*AG54)/$AD$7*10000</f>
        <v>-4.3394841859716926E-2</v>
      </c>
      <c r="AI54" s="445" t="str">
        <f>_xll.BDP(B54&amp;" Equity","DVD_EX_DT")</f>
        <v>12/10/2017</v>
      </c>
    </row>
    <row r="55" spans="1:35">
      <c r="B55" s="40" t="s">
        <v>88</v>
      </c>
      <c r="C55" t="s">
        <v>2250</v>
      </c>
      <c r="E55" t="s">
        <v>194</v>
      </c>
      <c r="F55" s="22" t="s">
        <v>99</v>
      </c>
      <c r="G55" s="15"/>
      <c r="H55" s="446">
        <v>45750</v>
      </c>
      <c r="I55" s="36" cm="1">
        <f t="array" ref="I55">_xll.BDP(B55&amp;" Equity","LAST_PRICE")</f>
        <v>53.564999999999998</v>
      </c>
      <c r="J55" s="51">
        <f t="shared" ref="J55:J57" si="201">I55/K55-1</f>
        <v>1.085110398188327E-2</v>
      </c>
      <c r="K55" s="438" cm="1">
        <f t="array" ref="K55">_xll.BDP(B55&amp;" EQUITY","PX_YEST_CLOSE")</f>
        <v>52.99</v>
      </c>
      <c r="L55" s="53" cm="1">
        <f t="array" ref="L55">_xll.BDP(E55&amp;" Curncy","PX_LAST")</f>
        <v>1</v>
      </c>
      <c r="M55" s="52">
        <v>1</v>
      </c>
      <c r="N55" s="15">
        <f t="shared" ref="N55:N57" si="202">IFERROR(IF(((I55/L55)*H55*M55)&lt;&gt;0,((I55/L55)*H55*M55),0),"-")</f>
        <v>2450598.75</v>
      </c>
      <c r="O55" s="357">
        <f>IFERROR(IF(Tabelad[[#This Row],[D1 Exp USD]]&lt;&gt;0,N55/$AE$7,0),"-")</f>
        <v>1.0227174106580161E-3</v>
      </c>
      <c r="P55" s="20">
        <f>IFERROR(IF(Tabelad[[#This Row],[D1 Exp USD]]&lt;&gt;0,((I55-K55)/L55*M55*H55)/$AD$7*10000,0),"-")</f>
        <v>0.10978484292511059</v>
      </c>
      <c r="Q55" s="15">
        <f>IF(SUM(SUMIFS(Options!$AL$4:$AL$25, Options!$D$4:$D$25, B55), SUMIFS(Options!$AL$4:$AL$25, Options!$D$4:$D$25, B55 &amp; " US"))=0,0,SUM(SUMIFS(Options!$AL$4:$AL$25, Options!$D$4:$D$25, B55), SUMIFS(Options!$AL$4:$AL$25, Options!$D$4:$D$25, B55 &amp; " US")))</f>
        <v>0</v>
      </c>
      <c r="R55" s="19">
        <f t="shared" si="171"/>
        <v>0</v>
      </c>
      <c r="S55" s="20">
        <f>IF(SUM(SUMIFS(Options!$AK$4:$AK$25, Options!$D$4:$D$25, B55), SUMIFS(Options!$AK$4:$AK$25, Options!$D$4:$D$25, B55 &amp; " US"))=0,0,SUM(SUMIFS(Options!$AK$4:$AK$25, Options!$D$4:$D$25, B55), SUMIFS(Options!AK$4:$AK$25, Options!$D$4:$D$25, B55 &amp; " US")))</f>
        <v>0</v>
      </c>
      <c r="T55" s="13">
        <f t="shared" ref="T55:T57" si="203">N55+Q55</f>
        <v>2450598.75</v>
      </c>
      <c r="U55" s="48">
        <f t="shared" ref="U55:U57" si="204">T55/$AE$7</f>
        <v>1.0227174106580161E-3</v>
      </c>
      <c r="V55" s="20">
        <f t="shared" ref="V55:V57" si="205">P55+S55</f>
        <v>0.10978484292511059</v>
      </c>
      <c r="W55" s="15">
        <f t="shared" ref="W55:W57" si="206">$W$10/(I55/L55*M55)</f>
        <v>11183.441174274247</v>
      </c>
      <c r="X55" s="19"/>
      <c r="Y55" s="375">
        <f>Tabelad[[#This Row],[Exp %]]*$Y$10*$AD$7/Tabelad[[#This Row],[Price Today]]</f>
        <v>16012.499999999998</v>
      </c>
      <c r="Z55" s="266">
        <f>Tabelad[[#This Row],[Vol 10d]]/16*Tabelad[[#This Row],[Exp %]]*100</f>
        <v>0.10656282432547097</v>
      </c>
      <c r="AA55" s="19">
        <f>Tabelad[[#This Row],[Exp %]]*Tabelad[[#This Row],[Beta Adj2]]</f>
        <v>1.0225551995361136E-3</v>
      </c>
      <c r="AB55" s="36">
        <f>_xll.BDP($B55&amp;" Equity","volatility_10d")</f>
        <v>16.67132261012879</v>
      </c>
      <c r="AC55" s="36">
        <f>_xll.BDP(B55&amp;" EQUITY","eqy_beta")</f>
        <v>0.99984139204025269</v>
      </c>
      <c r="AD55" s="15">
        <f>Tabelad[[#This Row],[D1 P&amp;L bps]]*$AD$5/10000</f>
        <v>24658.06071446701</v>
      </c>
      <c r="AE55" s="277"/>
      <c r="AF55" s="231" t="str">
        <f>_xll.BDP(B55&amp;" Equity","EXPECTED_REPORT_DT")</f>
        <v>#N/A N/A</v>
      </c>
      <c r="AG55" s="172">
        <f>_xll.BDP(B55&amp;" Index","CHG_PCT_1D_PRE_FROM_REGULAR")/100</f>
        <v>6.416307999999999E-3</v>
      </c>
      <c r="AH55" s="20">
        <f t="shared" ref="AH55:AH57" si="207">(T55*AG55)/$AD$7*10000</f>
        <v>6.5620699037443123E-2</v>
      </c>
      <c r="AI55" s="445" t="str">
        <f>_xll.BDP(B55&amp;" Equity","DVD_EX_DT")</f>
        <v>22/12/2025</v>
      </c>
    </row>
    <row r="56" spans="1:35">
      <c r="B56" s="40" t="s">
        <v>2268</v>
      </c>
      <c r="C56" t="s">
        <v>2250</v>
      </c>
      <c r="E56" t="s">
        <v>194</v>
      </c>
      <c r="F56" s="22" t="s">
        <v>100</v>
      </c>
      <c r="G56" s="15"/>
      <c r="H56" s="446">
        <v>-11500</v>
      </c>
      <c r="I56" s="36" cm="1">
        <f t="array" ref="I56">_xll.BDP(B56&amp;" Equity","LAST_PRICE")</f>
        <v>23.14</v>
      </c>
      <c r="J56" s="51">
        <f t="shared" ref="J56" si="208">I56/K56-1</f>
        <v>-2.1561017680035155E-3</v>
      </c>
      <c r="K56" s="438" cm="1">
        <f t="array" ref="K56">_xll.BDP(B56&amp;" EQUITY","PX_YEST_CLOSE")</f>
        <v>23.19</v>
      </c>
      <c r="L56" s="53" cm="1">
        <f t="array" ref="L56">_xll.BDP(E56&amp;" Curncy","PX_LAST")</f>
        <v>1</v>
      </c>
      <c r="M56" s="52">
        <v>1</v>
      </c>
      <c r="N56" s="15">
        <f t="shared" ref="N56" si="209">IFERROR(IF(((I56/L56)*H56*M56)&lt;&gt;0,((I56/L56)*H56*M56),0),"-")</f>
        <v>-266110</v>
      </c>
      <c r="O56" s="357">
        <f>IFERROR(IF(Tabelad[[#This Row],[D1 Exp USD]]&lt;&gt;0,N56/$AE$7,0),"-")</f>
        <v>-1.1105666733495423E-4</v>
      </c>
      <c r="P56" s="20">
        <f>IFERROR(IF(Tabelad[[#This Row],[D1 Exp USD]]&lt;&gt;0,((I56-K56)/L56*M56*H56)/$AD$7*10000,0),"-")</f>
        <v>2.399668697816677E-3</v>
      </c>
      <c r="Q56" s="15">
        <f>IF(SUM(SUMIFS(Options!$AL$4:$AL$25, Options!$D$4:$D$25, B56), SUMIFS(Options!$AL$4:$AL$25, Options!$D$4:$D$25, B56 &amp; " US"))=0,0,SUM(SUMIFS(Options!$AL$4:$AL$25, Options!$D$4:$D$25, B56), SUMIFS(Options!$AL$4:$AL$25, Options!$D$4:$D$25, B56 &amp; " US")))</f>
        <v>0</v>
      </c>
      <c r="R56" s="19">
        <f t="shared" si="171"/>
        <v>0</v>
      </c>
      <c r="S56" s="20">
        <f>IF(SUM(SUMIFS(Options!$AK$4:$AK$25, Options!$D$4:$D$25, B56), SUMIFS(Options!$AK$4:$AK$25, Options!$D$4:$D$25, B56 &amp; " US"))=0,0,SUM(SUMIFS(Options!$AK$4:$AK$25, Options!$D$4:$D$25, B56), SUMIFS(Options!AK$4:$AK$25, Options!$D$4:$D$25, B56 &amp; " US")))</f>
        <v>0</v>
      </c>
      <c r="T56" s="13">
        <f t="shared" ref="T56" si="210">N56+Q56</f>
        <v>-266110</v>
      </c>
      <c r="U56" s="48">
        <f t="shared" ref="U56" si="211">T56/$AE$7</f>
        <v>-1.1105666733495423E-4</v>
      </c>
      <c r="V56" s="20">
        <f t="shared" ref="V56" si="212">P56+S56</f>
        <v>2.399668697816677E-3</v>
      </c>
      <c r="W56" s="15">
        <f t="shared" ref="W56" si="213">$W$10/(I56/L56*M56)</f>
        <v>25887.684809853068</v>
      </c>
      <c r="X56" s="19"/>
      <c r="Y56" s="375">
        <f>Tabelad[[#This Row],[Exp %]]*$Y$10*$AD$7/Tabelad[[#This Row],[Price Today]]</f>
        <v>-4025</v>
      </c>
      <c r="Z56" s="266">
        <f>Tabelad[[#This Row],[Vol 10d]]/16*Tabelad[[#This Row],[Exp %]]*100</f>
        <v>-2.9646908407688587E-2</v>
      </c>
      <c r="AA56" s="19">
        <f>Tabelad[[#This Row],[Exp %]]*Tabelad[[#This Row],[Beta Adj2]]</f>
        <v>-4.0539974067974981E-5</v>
      </c>
      <c r="AB56" s="36">
        <f>_xll.BDP($B56&amp;" Equity","volatility_10d")</f>
        <v>42.712476963885912</v>
      </c>
      <c r="AC56" s="36">
        <f>_xll.BDP(B56&amp;" EQUITY","eqy_beta")</f>
        <v>0.36503863334655762</v>
      </c>
      <c r="AD56" s="15">
        <f>Tabelad[[#This Row],[D1 P&amp;L bps]]*$AD$5/10000</f>
        <v>538.97400468781518</v>
      </c>
      <c r="AE56" s="277"/>
      <c r="AF56" s="231" t="str">
        <f>_xll.BDP(B56&amp;" Equity","EXPECTED_REPORT_DT")</f>
        <v>11/02/2026</v>
      </c>
      <c r="AG56" s="172" t="e">
        <f>_xll.BDP(B56&amp;" Index","CHG_PCT_1D_PRE_FROM_REGULAR")/100</f>
        <v>#VALUE!</v>
      </c>
      <c r="AH56" s="20" t="e">
        <f t="shared" ref="AH56" si="214">(T56*AG56)/$AD$7*10000</f>
        <v>#VALUE!</v>
      </c>
      <c r="AI56" s="445" t="str">
        <f>_xll.BDP(B56&amp;" Equity","DVD_EX_DT")</f>
        <v>28/11/2025</v>
      </c>
    </row>
    <row r="57" spans="1:35">
      <c r="B57" s="40" t="s">
        <v>4</v>
      </c>
      <c r="C57" t="s">
        <v>2250</v>
      </c>
      <c r="E57" t="s">
        <v>194</v>
      </c>
      <c r="F57" s="22" t="s">
        <v>100</v>
      </c>
      <c r="G57" s="15"/>
      <c r="H57" s="446">
        <v>-27500</v>
      </c>
      <c r="I57" s="36" cm="1">
        <f t="array" ref="I57">_xll.BDP(B57&amp;" Equity","LAST_PRICE")</f>
        <v>82.194999999999993</v>
      </c>
      <c r="J57" s="51">
        <f t="shared" si="201"/>
        <v>-1.5184645286686616E-3</v>
      </c>
      <c r="K57" s="438" cm="1">
        <f t="array" ref="K57">_xll.BDP(B57&amp;" EQUITY","PX_YEST_CLOSE")</f>
        <v>82.32</v>
      </c>
      <c r="L57" s="53" cm="1">
        <f t="array" ref="L57">_xll.BDP(E57&amp;" Curncy","PX_LAST")</f>
        <v>1</v>
      </c>
      <c r="M57" s="52">
        <v>1</v>
      </c>
      <c r="N57" s="15">
        <f t="shared" si="202"/>
        <v>-2260362.5</v>
      </c>
      <c r="O57" s="357">
        <f>IFERROR(IF(Tabelad[[#This Row],[D1 Exp USD]]&lt;&gt;0,N57/$AE$7,0),"-")</f>
        <v>-9.4332541512496886E-4</v>
      </c>
      <c r="P57" s="20">
        <f>IFERROR(IF(Tabelad[[#This Row],[D1 Exp USD]]&lt;&gt;0,((I57-K57)/L57*M57*H57)/$AD$7*10000,0),"-")</f>
        <v>1.4345845476077755E-2</v>
      </c>
      <c r="Q57" s="15">
        <f>IF(SUM(SUMIFS(Options!$AL$4:$AL$25, Options!$D$4:$D$25, B57), SUMIFS(Options!$AL$4:$AL$25, Options!$D$4:$D$25, B57 &amp; " US"))=0,0,SUM(SUMIFS(Options!$AL$4:$AL$25, Options!$D$4:$D$25, B57), SUMIFS(Options!$AL$4:$AL$25, Options!$D$4:$D$25, B57 &amp; " US")))</f>
        <v>0</v>
      </c>
      <c r="R57" s="19">
        <f t="shared" si="171"/>
        <v>0</v>
      </c>
      <c r="S57" s="20">
        <f>IF(SUM(SUMIFS(Options!$AK$4:$AK$25, Options!$D$4:$D$25, B57), SUMIFS(Options!$AK$4:$AK$25, Options!$D$4:$D$25, B57 &amp; " US"))=0,0,SUM(SUMIFS(Options!$AK$4:$AK$25, Options!$D$4:$D$25, B57), SUMIFS(Options!AK$4:$AK$25, Options!$D$4:$D$25, B57 &amp; " US")))</f>
        <v>0</v>
      </c>
      <c r="T57" s="13">
        <f t="shared" si="203"/>
        <v>-2260362.5</v>
      </c>
      <c r="U57" s="48">
        <f t="shared" si="204"/>
        <v>-9.4332541512496886E-4</v>
      </c>
      <c r="V57" s="20">
        <f t="shared" si="205"/>
        <v>1.4345845476077755E-2</v>
      </c>
      <c r="W57" s="15">
        <f t="shared" si="206"/>
        <v>7288.0470405742453</v>
      </c>
      <c r="X57" s="19"/>
      <c r="Y57" s="375">
        <f>Tabelad[[#This Row],[Exp %]]*$Y$10*$AD$7/Tabelad[[#This Row],[Price Today]]</f>
        <v>-9625</v>
      </c>
      <c r="Z57" s="266">
        <f>Tabelad[[#This Row],[Vol 10d]]/16*Tabelad[[#This Row],[Exp %]]*100</f>
        <v>-4.9141292783176097E-2</v>
      </c>
      <c r="AA57" s="19">
        <f>Tabelad[[#This Row],[Exp %]]*Tabelad[[#This Row],[Beta Adj2]]</f>
        <v>-9.4583930535027422E-4</v>
      </c>
      <c r="AB57" s="36">
        <f>_xll.BDP($B57&amp;" Equity","volatility_10d")</f>
        <v>8.3349888800213883</v>
      </c>
      <c r="AC57" s="36">
        <f>_xll.BDP(B57&amp;" EQUITY","eqy_beta")</f>
        <v>1.0026649236679077</v>
      </c>
      <c r="AD57" s="15">
        <f>Tabelad[[#This Row],[D1 P&amp;L bps]]*$AD$5/10000</f>
        <v>3222.127201937979</v>
      </c>
      <c r="AE57" s="277"/>
      <c r="AF57" s="231" t="str">
        <f>_xll.BDP(B57&amp;" Equity","EXPECTED_REPORT_DT")</f>
        <v>#N/A N/A</v>
      </c>
      <c r="AG57" s="172">
        <f>_xll.BDP(B57&amp;" Index","CHG_PCT_1D_PRE_FROM_REGULAR")/100</f>
        <v>2.4291360000000003E-4</v>
      </c>
      <c r="AH57" s="20">
        <f t="shared" si="207"/>
        <v>-2.2914657255950067E-3</v>
      </c>
      <c r="AI57" s="445" t="str">
        <f>_xll.BDP(B57&amp;" Equity","DVD_EX_DT")</f>
        <v>22/12/2025</v>
      </c>
    </row>
    <row r="58" spans="1:35">
      <c r="C58" s="40"/>
      <c r="D58" s="40"/>
      <c r="E58" s="40"/>
      <c r="H58" s="13"/>
      <c r="I58" s="53"/>
      <c r="K58" s="53"/>
      <c r="L58" s="53"/>
      <c r="M58" s="36"/>
      <c r="S58" s="277"/>
      <c r="U58" s="71"/>
      <c r="V58" s="65"/>
      <c r="X58" s="53"/>
      <c r="Y58" s="444"/>
      <c r="Z58" s="19"/>
      <c r="AG58" s="53"/>
      <c r="AI58" s="48"/>
    </row>
    <row r="59" spans="1:35">
      <c r="C59" s="21"/>
      <c r="D59" s="21"/>
      <c r="E59" s="21"/>
      <c r="H59" s="13"/>
      <c r="L59" s="3"/>
      <c r="S59" s="276"/>
    </row>
    <row r="60" spans="1:35">
      <c r="C60" s="21"/>
      <c r="D60" s="21"/>
      <c r="E60" s="21"/>
      <c r="H60" s="13"/>
      <c r="L60" s="3"/>
      <c r="S60" s="276"/>
    </row>
    <row r="61" spans="1:35">
      <c r="C61" s="21"/>
      <c r="D61" s="21"/>
      <c r="E61" s="21"/>
      <c r="H61" s="13"/>
      <c r="L61" s="3"/>
      <c r="S61" s="276"/>
    </row>
    <row r="62" spans="1:35">
      <c r="C62" s="21"/>
      <c r="D62" s="21"/>
      <c r="E62" s="21"/>
      <c r="H62" s="13"/>
      <c r="S62" s="276"/>
    </row>
    <row r="63" spans="1:35">
      <c r="C63" s="21"/>
      <c r="D63" s="21"/>
      <c r="E63" s="21"/>
      <c r="H63" s="13"/>
      <c r="S63" s="276"/>
    </row>
    <row r="64" spans="1:35">
      <c r="C64" s="21"/>
      <c r="D64" s="21"/>
      <c r="E64" s="21"/>
      <c r="H64" s="13"/>
    </row>
    <row r="65" spans="3:5">
      <c r="C65" s="21"/>
      <c r="D65" s="21"/>
      <c r="E65" s="21"/>
    </row>
    <row r="66" spans="3:5">
      <c r="C66" s="21"/>
      <c r="D66" s="21"/>
      <c r="E66" s="21"/>
    </row>
    <row r="67" spans="3:5">
      <c r="C67" s="21"/>
      <c r="D67" s="21"/>
      <c r="E67" s="21"/>
    </row>
    <row r="68" spans="3:5">
      <c r="C68" s="21"/>
      <c r="D68" s="21"/>
      <c r="E68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7">
    <cfRule type="colorScale" priority="557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7">
    <cfRule type="colorScale" priority="557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7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57">
    <cfRule type="dataBar" priority="557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57">
    <cfRule type="colorScale" priority="557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57">
    <cfRule type="dataBar" priority="557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57">
    <cfRule type="colorScale" priority="557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57">
    <cfRule type="colorScale" priority="557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7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57">
    <cfRule type="colorScale" priority="55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57">
    <cfRule type="colorScale" priority="557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AB12:AB57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AC12:AC57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5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G42" sqref="G42"/>
    </sheetView>
  </sheetViews>
  <sheetFormatPr defaultRowHeight="15" outlineLevelCol="1"/>
  <cols>
    <col min="1" max="1" width="3.5703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-1.1939378397034515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Invalid Security</v>
      </c>
      <c r="L1" s="74" t="str">
        <f>_xll.BDP($B1&amp;" Index","mid")</f>
        <v>#N/A Requesting Data...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SUM(V4:V25)</f>
        <v>23.716046767290997</v>
      </c>
      <c r="W1" s="50">
        <f>SUM(W4:W25)</f>
        <v>19.731657728120567</v>
      </c>
      <c r="X1" s="50">
        <f>SUM(X4:X25)</f>
        <v>96.905000000000044</v>
      </c>
      <c r="Y1" s="269"/>
      <c r="AG1" s="43"/>
      <c r="AI1" s="415">
        <f>SUM(AI4:AI25)*252</f>
        <v>-55.756043230941934</v>
      </c>
      <c r="AJ1" s="415"/>
      <c r="AK1" s="363" t="s">
        <v>1902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1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2124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>
      <c r="A4" s="335"/>
      <c r="B4" s="73" t="s">
        <v>2227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22</v>
      </c>
      <c r="G4" s="73" t="str" cm="1">
        <f t="array" ref="G4">_xll.BDP(B4&amp;" Equity","QUOTED_CURRENCY_REALTIME")</f>
        <v>USD</v>
      </c>
      <c r="H4" s="42">
        <v>1000</v>
      </c>
      <c r="I4" s="409">
        <v>0.48</v>
      </c>
      <c r="J4" s="14">
        <f>VLOOKUP(B4,Precificação!$B:$O,14,FALSE)</f>
        <v>0.20057896691016081</v>
      </c>
      <c r="K4" s="14">
        <f t="shared" ref="K4:K25" si="0">+J4</f>
        <v>0.20057896691016081</v>
      </c>
      <c r="L4" s="74" cm="1">
        <f t="array" ref="L4">_xll.BDP($B4&amp;" Equity","mid")</f>
        <v>0.27</v>
      </c>
      <c r="M4" s="75">
        <f t="shared" ref="M4:M25" si="1">L4/Z4</f>
        <v>7.9481895790403309E-3</v>
      </c>
      <c r="N4" s="352"/>
      <c r="O4" s="75">
        <f t="shared" ref="O4:O25" si="2">L4/K4-1</f>
        <v>0.34610325379197326</v>
      </c>
      <c r="P4" s="74" cm="1">
        <f t="array" ref="P4">_xll.BDP($B4&amp;" Equity","bid")</f>
        <v>0.23</v>
      </c>
      <c r="Q4" s="74" cm="1">
        <f t="array" ref="Q4">_xll.BDP($B4&amp;" Equity","ask")</f>
        <v>0.3</v>
      </c>
      <c r="R4" s="76">
        <f t="shared" ref="R4:R25" si="3">(Q4/P4-1)</f>
        <v>0.30434782608695632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 t="shared" ref="U4:U25" si="4">(L4/S4)*H4*T4</f>
        <v>27000</v>
      </c>
      <c r="V4" s="113">
        <f>U4/'Master P&amp;L'!$AD$7*10000</f>
        <v>0.112680095375738</v>
      </c>
      <c r="W4" s="113">
        <f>(Y4*H4*T4/S4)/'Master P&amp;L'!$AD$7*10000</f>
        <v>0.112680095375738</v>
      </c>
      <c r="X4" s="118">
        <f t="shared" ref="X4:X25" si="5">IF(C4="Put",IF(Z4&lt;AA4,AA4-Z4,0),IF(Z4&gt;AA4,Z4-AA4,0))</f>
        <v>0</v>
      </c>
      <c r="Y4" s="272">
        <f t="shared" ref="Y4:Y25" si="6">L4-X4</f>
        <v>0.27</v>
      </c>
      <c r="Z4" s="77">
        <f>_xll.BDP(D4&amp;" Equity","LAST_PRICE")</f>
        <v>33.97</v>
      </c>
      <c r="AA4" s="77" cm="1">
        <f t="array" ref="AA4">_xll.BDP(B4&amp;" Equity","OPT_STRIKE_PX")</f>
        <v>35</v>
      </c>
      <c r="AB4" s="76">
        <f t="shared" ref="AB4:AB25" si="7">AA4/Z4-1</f>
        <v>3.0320871357079726E-2</v>
      </c>
      <c r="AC4" s="323" cm="1">
        <f t="array" ref="AC4">_xll.BDP($D4&amp;" Equity","volatility_10d")</f>
        <v>9.8592975906803151</v>
      </c>
      <c r="AD4" s="77" cm="1">
        <f t="array" ref="AD4">_xll.BDP(B4&amp;" Equity","ivol_mid")</f>
        <v>19.552569999999999</v>
      </c>
      <c r="AE4" s="77">
        <f t="shared" ref="AE4:AE25" si="8">AD4/AC4</f>
        <v>1.9831605466988267</v>
      </c>
      <c r="AF4" s="78" cm="1">
        <f t="array" ref="AF4">_xll.BDP(B4&amp;" Equity","DELTA_MID_RT")</f>
        <v>0.28044331073760986</v>
      </c>
      <c r="AG4" s="75">
        <f>AL4/'Master P&amp;L'!$AE$7</f>
        <v>3.9757958321393061E-4</v>
      </c>
      <c r="AH4" s="75">
        <f>AM4/'Master P&amp;L'!$AE$7</f>
        <v>1.4176825333014149E-3</v>
      </c>
      <c r="AI4" s="435">
        <f>AO4/'Master P&amp;L'!$AD$7*10000</f>
        <v>-5.0939059098365526E-3</v>
      </c>
      <c r="AJ4" s="350">
        <f t="shared" ref="AJ4:AJ25" si="9">(252*AI4)/$AI$1</f>
        <v>2.3022872766667903E-2</v>
      </c>
      <c r="AK4" s="78">
        <f>AP4/'Master P&amp;L'!$AD$7*10000</f>
        <v>2.8971735665353136E-2</v>
      </c>
      <c r="AL4" s="42">
        <f t="shared" ref="AL4:AL25" si="10">Z4*AF4*H4*T4/S4</f>
        <v>952665.92657566071</v>
      </c>
      <c r="AM4" s="42">
        <f t="shared" ref="AM4:AM25" si="11">IF(C4="Put",-Z4*H4*T4/S4,Z4*H4*T4/S4)</f>
        <v>3397000</v>
      </c>
      <c r="AN4" s="78" cm="1">
        <f t="array" ref="AN4">_xll.BDP($B4&amp;" Equity","theta_mid_rt")</f>
        <v>-1.2205834500491619E-2</v>
      </c>
      <c r="AO4" s="42">
        <f t="shared" ref="AO4:AO25" si="12">AN4*H4*T4/S4</f>
        <v>-1220.5834500491619</v>
      </c>
      <c r="AP4" s="42">
        <f t="shared" ref="AP4:AP25" si="13">(L4-K4)*T4/S4*H4</f>
        <v>6942.1033089839211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6.3417000000000001E-2</v>
      </c>
      <c r="AS4" s="73">
        <f t="shared" ref="AS4:AS25" si="14">$Z4*($AR4*$Z4*$AS$3)*$H4*$T4/$S4</f>
        <v>73180.738395299995</v>
      </c>
      <c r="AT4" s="73">
        <f t="shared" ref="AT4:AT25" si="15">$Z4*($AR4*$Z4*$AT$3)*$H4*$T4/$S4</f>
        <v>365903.69197649998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322">
        <v>0.26</v>
      </c>
      <c r="AZ4" s="354"/>
      <c r="BA4" s="42">
        <f t="shared" ref="BA4:BA25" si="16">+AY4</f>
        <v>0.26</v>
      </c>
      <c r="BB4" s="346">
        <f t="shared" ref="BB4:BB25" si="17">+J4</f>
        <v>0.20057896691016081</v>
      </c>
      <c r="BC4" s="346">
        <f t="shared" ref="BC4:BC25" si="18">(BB4-BA4)*H4*100</f>
        <v>-5942.1033089839202</v>
      </c>
      <c r="BD4" s="346">
        <f>BC4/'Master P&amp;L'!$AD$7*10000</f>
        <v>-2.4798398799585057E-2</v>
      </c>
    </row>
    <row r="5" spans="1:56" s="59" customFormat="1">
      <c r="A5" s="356"/>
      <c r="B5" t="s">
        <v>2105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140</v>
      </c>
      <c r="G5" t="str" cm="1">
        <f t="array" ref="G5">_xll.BDP(B5&amp;" Equity","QUOTED_CURRENCY_REALTIME")</f>
        <v>USD</v>
      </c>
      <c r="H5" s="15">
        <v>120</v>
      </c>
      <c r="I5" s="410">
        <v>37.5</v>
      </c>
      <c r="J5" s="14">
        <f>VLOOKUP(B5,Precificação!$B:$O,14,FALSE)</f>
        <v>36.799999999999997</v>
      </c>
      <c r="K5" s="14">
        <f t="shared" ref="K5:K25" si="19">+J5</f>
        <v>36.799999999999997</v>
      </c>
      <c r="L5" s="74" cm="1">
        <f t="array" ref="L5">_xll.BDP($B5&amp;" Equity","mid")</f>
        <v>35.33</v>
      </c>
      <c r="M5" s="19">
        <f t="shared" si="1"/>
        <v>0.10673071113527884</v>
      </c>
      <c r="N5" s="350"/>
      <c r="O5" s="19">
        <f t="shared" si="2"/>
        <v>-3.9945652173912993E-2</v>
      </c>
      <c r="P5" s="36" cm="1">
        <f t="array" ref="P5">_xll.BDP($B5&amp;" Equity","bid")</f>
        <v>35.15</v>
      </c>
      <c r="Q5" s="36" cm="1">
        <f t="array" ref="Q5">_xll.BDP($B5&amp;" Equity","ask")</f>
        <v>35.5</v>
      </c>
      <c r="R5" s="40">
        <f t="shared" si="3"/>
        <v>9.957325746799528E-3</v>
      </c>
      <c r="S5" s="36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4"/>
        <v>423959.99999999994</v>
      </c>
      <c r="V5" s="124">
        <f>U5/'Master P&amp;L'!$AD$7*10000</f>
        <v>1.7693278976110325</v>
      </c>
      <c r="W5" s="124">
        <f>(Y5*H5*T5/S5)/'Master P&amp;L'!$AD$7*10000</f>
        <v>1.7693278976110325</v>
      </c>
      <c r="X5" s="413">
        <f t="shared" si="5"/>
        <v>0</v>
      </c>
      <c r="Y5" s="273">
        <f t="shared" si="6"/>
        <v>35.33</v>
      </c>
      <c r="Z5" s="37">
        <f>_xll.BDP(D5&amp;" Equity","LAST_PRICE")</f>
        <v>331.02</v>
      </c>
      <c r="AA5" s="37" cm="1">
        <f t="array" ref="AA5">_xll.BDP(B5&amp;" Equity","OPT_STRIKE_PX")</f>
        <v>350</v>
      </c>
      <c r="AB5" s="40">
        <f t="shared" si="7"/>
        <v>5.7337925200894313E-2</v>
      </c>
      <c r="AC5" s="324" cm="1">
        <f t="array" ref="AC5">_xll.BDP($D5&amp;" Equity","volatility_10d")</f>
        <v>40.762916147201175</v>
      </c>
      <c r="AD5" s="37" cm="1">
        <f t="array" ref="AD5">_xll.BDP(B5&amp;" Equity","ivol_mid")</f>
        <v>50.637700000000002</v>
      </c>
      <c r="AE5" s="37">
        <f t="shared" si="8"/>
        <v>1.2422492006494201</v>
      </c>
      <c r="AF5" s="38" cm="1">
        <f t="array" ref="AF5">_xll.BDP(B5&amp;" Equity","DELTA_MID_RT")</f>
        <v>0.50906479358673096</v>
      </c>
      <c r="AG5" s="19">
        <f>AL5/'Master P&amp;L'!$AE$7</f>
        <v>8.4390193919253861E-4</v>
      </c>
      <c r="AH5" s="19">
        <f>AM5/'Master P&amp;L'!$AE$7</f>
        <v>1.6577495631678574E-3</v>
      </c>
      <c r="AI5" s="434">
        <f>AO5/'Master P&amp;L'!$AD$7*10000</f>
        <v>-7.2086482505828902E-3</v>
      </c>
      <c r="AJ5" s="350">
        <f t="shared" si="9"/>
        <v>3.2580851399777483E-2</v>
      </c>
      <c r="AK5" s="38">
        <f>AP5/'Master P&amp;L'!$AD$7*10000</f>
        <v>-7.3617662312148779E-2</v>
      </c>
      <c r="AL5" s="15">
        <f t="shared" si="10"/>
        <v>2022127.5356769557</v>
      </c>
      <c r="AM5" s="15">
        <f t="shared" si="11"/>
        <v>3972239.9999999995</v>
      </c>
      <c r="AN5" s="38" cm="1">
        <f t="array" ref="AN5">_xll.BDP($B5&amp;" Equity","theta_mid_rt")</f>
        <v>-0.14394253492355347</v>
      </c>
      <c r="AO5" s="15">
        <f t="shared" si="12"/>
        <v>-1727.3104190826416</v>
      </c>
      <c r="AP5" s="15">
        <f t="shared" si="13"/>
        <v>-17639.999999999985</v>
      </c>
      <c r="AQ5" s="36" t="str" cm="1">
        <f t="array" ref="AQ5">_xll.BDP($D5&amp;" Equity","EXPECTED_REPORT_DT")</f>
        <v>06/03/2026</v>
      </c>
      <c r="AR5" s="66" cm="1">
        <f t="array" ref="AR5">_xll.BDP($B5&amp;" Equity","GAMMA_LAST")</f>
        <v>1.2815999999999999E-2</v>
      </c>
      <c r="AS5">
        <f t="shared" si="14"/>
        <v>168516.41579596797</v>
      </c>
      <c r="AT5">
        <f t="shared" si="15"/>
        <v>842582.0789798398</v>
      </c>
      <c r="AU5" t="s">
        <v>151</v>
      </c>
      <c r="AV5" s="277" cm="1">
        <f t="array" ref="AV5">_xll.BDP($D5&amp;" Equity","EST_PE_NXT_YR")*(AA5/Z5)</f>
        <v>24.992714583199461</v>
      </c>
      <c r="AW5"/>
      <c r="AX5" s="15"/>
      <c r="AY5" s="277">
        <v>33.85</v>
      </c>
      <c r="AZ5" s="355"/>
      <c r="BA5" s="15">
        <f t="shared" si="16"/>
        <v>33.85</v>
      </c>
      <c r="BB5" s="414">
        <f t="shared" si="17"/>
        <v>36.799999999999997</v>
      </c>
      <c r="BC5" s="414">
        <f t="shared" si="18"/>
        <v>35399.999999999949</v>
      </c>
      <c r="BD5" s="414">
        <f>BC5/'Master P&amp;L'!$AD$7*10000</f>
        <v>0.14773612504818961</v>
      </c>
    </row>
    <row r="6" spans="1:56" s="59" customFormat="1">
      <c r="A6" s="424"/>
      <c r="B6" s="73" t="s">
        <v>2405</v>
      </c>
      <c r="C6" s="59" t="str" cm="1">
        <f t="array" ref="C6">_xll.BDP($B6&amp;" Equity","opt_put_call")</f>
        <v>Call</v>
      </c>
      <c r="D6" s="59" t="str" cm="1">
        <f t="array" ref="D6">_xll.BDP(B6&amp;" Equity","OPT_UNDL_TICKER")</f>
        <v>NVDA US</v>
      </c>
      <c r="E6" s="59" t="str" cm="1">
        <f t="array" ref="E6">_xll.BDP($B6&amp;" Equity","mifid_Maturity_date")</f>
        <v>15/05/2026</v>
      </c>
      <c r="F6" s="59" cm="1">
        <f t="array" ref="F6">_xll.BDP($B6&amp;" Equity","opt_days_expire")</f>
        <v>106</v>
      </c>
      <c r="G6" s="59" t="str" cm="1">
        <f t="array" ref="G6">_xll.BDP(B6&amp;" Equity","QUOTED_CURRENCY_REALTIME")</f>
        <v>USD</v>
      </c>
      <c r="H6" s="404">
        <v>150</v>
      </c>
      <c r="I6" s="411">
        <v>14.91</v>
      </c>
      <c r="J6" s="14">
        <f>VLOOKUP(B6,Precificação!$B:$O,14,FALSE)</f>
        <v>15.125</v>
      </c>
      <c r="K6" s="14">
        <f t="shared" si="19"/>
        <v>15.125</v>
      </c>
      <c r="L6" s="14" cm="1">
        <f t="array" ref="L6">_xll.BDP($B6&amp;" Equity","mid")</f>
        <v>15.55</v>
      </c>
      <c r="M6" s="128">
        <f t="shared" ref="M6" si="20">L6/Z6</f>
        <v>8.0751953885700931E-2</v>
      </c>
      <c r="N6" s="425"/>
      <c r="O6" s="128">
        <f t="shared" ref="O6" si="21">L6/K6-1</f>
        <v>2.8099173553719048E-2</v>
      </c>
      <c r="P6" s="14" cm="1">
        <f t="array" ref="P6">_xll.BDP($B6&amp;" Equity","bid")</f>
        <v>15.5</v>
      </c>
      <c r="Q6" s="14" cm="1">
        <f t="array" ref="Q6">_xll.BDP($B6&amp;" Equity","ask")</f>
        <v>15.6</v>
      </c>
      <c r="R6" s="423">
        <f t="shared" ref="R6" si="22">(Q6/P6-1)</f>
        <v>6.4516129032257119E-3</v>
      </c>
      <c r="S6" s="14" cm="1">
        <f t="array" ref="S6">_xll.BDP(G6&amp;" Curncy","PX_LAST")</f>
        <v>1</v>
      </c>
      <c r="T6" s="404" cm="1">
        <f t="array" ref="T6">_xll.BDP(B6&amp;" Equity","OPT_MULTIPLIER")</f>
        <v>100</v>
      </c>
      <c r="U6" s="404">
        <f t="shared" ref="U6" si="23">(L6/S6)*H6*T6</f>
        <v>233250</v>
      </c>
      <c r="V6" s="426">
        <f>U6/'Master P&amp;L'!$AD$7*10000</f>
        <v>0.97343082394040337</v>
      </c>
      <c r="W6" s="426">
        <f>(Y6*H6*T6/S6)/'Master P&amp;L'!$AD$7*10000</f>
        <v>0.97343082394040337</v>
      </c>
      <c r="X6" s="427">
        <f t="shared" ref="X6" si="24">IF(C6="Put",IF(Z6&lt;AA6,AA6-Z6,0),IF(Z6&gt;AA6,Z6-AA6,0))</f>
        <v>0</v>
      </c>
      <c r="Y6" s="428">
        <f t="shared" ref="Y6" si="25">L6-X6</f>
        <v>15.55</v>
      </c>
      <c r="Z6" s="429">
        <f>_xll.BDP(D6&amp;" Equity","LAST_PRICE")</f>
        <v>192.565</v>
      </c>
      <c r="AA6" s="429" cm="1">
        <f t="array" ref="AA6">_xll.BDP(B6&amp;" Equity","OPT_STRIKE_PX")</f>
        <v>200</v>
      </c>
      <c r="AB6" s="423">
        <f t="shared" ref="AB6" si="26">AA6/Z6-1</f>
        <v>3.8610339365928503E-2</v>
      </c>
      <c r="AC6" s="430" cm="1">
        <f t="array" ref="AC6">_xll.BDP($D6&amp;" Equity","volatility_10d")</f>
        <v>35.161075959241487</v>
      </c>
      <c r="AD6" s="429" cm="1">
        <f t="array" ref="AD6">_xll.BDP(B6&amp;" Equity","ivol_mid")</f>
        <v>42.873350000000002</v>
      </c>
      <c r="AE6" s="429">
        <f t="shared" ref="AE6" si="27">AD6/AC6</f>
        <v>1.2193412411411568</v>
      </c>
      <c r="AF6" s="431" cm="1">
        <f t="array" ref="AF6">_xll.BDP(B6&amp;" Equity","DELTA_MID_RT")</f>
        <v>0.50030297040939331</v>
      </c>
      <c r="AG6" s="128">
        <f>AL6/'Master P&amp;L'!$AE$7</f>
        <v>6.0309417824710217E-4</v>
      </c>
      <c r="AH6" s="128">
        <f>AM6/'Master P&amp;L'!$AE$7</f>
        <v>1.2054579203349439E-3</v>
      </c>
      <c r="AI6" s="482">
        <f>AO6/'Master P&amp;L'!$AD$7*10000</f>
        <v>-5.1323682193972955E-3</v>
      </c>
      <c r="AJ6" s="425">
        <f t="shared" ref="AJ6" si="28">(252*AI6)/$AI$1</f>
        <v>2.3196710461160692E-2</v>
      </c>
      <c r="AK6" s="431">
        <f>AP6/'Master P&amp;L'!$AD$7*10000</f>
        <v>2.6605022519271521E-2</v>
      </c>
      <c r="AL6" s="404">
        <f t="shared" ref="AL6" si="29">Z6*AF6*H6*T6/S6</f>
        <v>1445112.6224532723</v>
      </c>
      <c r="AM6" s="404">
        <f t="shared" ref="AM6" si="30">IF(C6="Put",-Z6*H6*T6/S6,Z6*H6*T6/S6)</f>
        <v>2888475</v>
      </c>
      <c r="AN6" s="431" cm="1">
        <f t="array" ref="AN6">_xll.BDP($B6&amp;" Equity","theta_mid_rt")</f>
        <v>-8.1986643373966217E-2</v>
      </c>
      <c r="AO6" s="404">
        <f t="shared" ref="AO6" si="31">AN6*H6*T6/S6</f>
        <v>-1229.7996506094933</v>
      </c>
      <c r="AP6" s="404">
        <f t="shared" ref="AP6" si="32">(L6-K6)*T6/S6*H6</f>
        <v>6375.0000000000109</v>
      </c>
      <c r="AQ6" s="14" t="str" cm="1">
        <f t="array" ref="AQ6">_xll.BDP($D6&amp;" Equity","EXPECTED_REPORT_DT")</f>
        <v>25/02/2026</v>
      </c>
      <c r="AR6" s="114" cm="1">
        <f t="array" ref="AR6">_xll.BDP($B6&amp;" Equity","GAMMA_LAST")</f>
        <v>1.7082E-2</v>
      </c>
      <c r="AS6" s="59">
        <f t="shared" si="14"/>
        <v>95013.361758217507</v>
      </c>
      <c r="AT6" s="59">
        <f t="shared" si="15"/>
        <v>475066.80879108753</v>
      </c>
      <c r="AU6" s="59" t="s">
        <v>151</v>
      </c>
      <c r="AV6" s="337" cm="1">
        <f t="array" ref="AV6">_xll.BDP($D6&amp;" Equity","EST_PE_NXT_YR")*(AA6/Z6)</f>
        <v>25.719505067928967</v>
      </c>
      <c r="AX6" s="404"/>
      <c r="AY6" s="337">
        <v>14.85</v>
      </c>
      <c r="AZ6" s="432"/>
      <c r="BA6" s="404">
        <f t="shared" ref="BA6" si="33">+AY6</f>
        <v>14.85</v>
      </c>
      <c r="BB6" s="433">
        <f t="shared" ref="BB6" si="34">+J6</f>
        <v>15.125</v>
      </c>
      <c r="BC6" s="433">
        <f t="shared" ref="BC6" si="35">(BB6-BA6)*H6*100</f>
        <v>4125.0000000000055</v>
      </c>
      <c r="BD6" s="433">
        <f>BC6/'Master P&amp;L'!$AD$7*10000</f>
        <v>1.7215014571293329E-2</v>
      </c>
    </row>
    <row r="7" spans="1:56" s="59" customFormat="1">
      <c r="A7" s="424"/>
      <c r="B7" s="59" t="s">
        <v>2408</v>
      </c>
      <c r="C7" s="59" t="str" cm="1">
        <f t="array" ref="C7">_xll.BDP($B7&amp;" Equity","opt_put_call")</f>
        <v>Call</v>
      </c>
      <c r="D7" s="59" t="str" cm="1">
        <f t="array" ref="D7">_xll.BDP(B7&amp;" Equity","OPT_UNDL_TICKER")</f>
        <v>NVDA US</v>
      </c>
      <c r="E7" s="59" t="str" cm="1">
        <f t="array" ref="E7">_xll.BDP($B7&amp;" Equity","mifid_Maturity_date")</f>
        <v>06/02/2026</v>
      </c>
      <c r="F7" s="59" cm="1">
        <f t="array" ref="F7">_xll.BDP($B7&amp;" Equity","opt_days_expire")</f>
        <v>8</v>
      </c>
      <c r="G7" s="59" t="str" cm="1">
        <f t="array" ref="G7">_xll.BDP(B7&amp;" Equity","QUOTED_CURRENCY_REALTIME")</f>
        <v>USD</v>
      </c>
      <c r="H7" s="404">
        <v>2000</v>
      </c>
      <c r="I7" s="411">
        <v>2.36</v>
      </c>
      <c r="J7" s="14">
        <f>VLOOKUP(B7,Precificação!$B:$O,14,FALSE)</f>
        <v>2.4449999999999998</v>
      </c>
      <c r="K7" s="14">
        <f t="shared" si="19"/>
        <v>2.4449999999999998</v>
      </c>
      <c r="L7" s="14">
        <v>1.67</v>
      </c>
      <c r="M7" s="128">
        <f t="shared" ref="M7:M8" si="36">L7/Z7</f>
        <v>8.6723963337055014E-3</v>
      </c>
      <c r="N7" s="425"/>
      <c r="O7" s="128">
        <f t="shared" ref="O7:O8" si="37">L7/K7-1</f>
        <v>-0.31697341513292432</v>
      </c>
      <c r="P7" s="14" cm="1">
        <f t="array" ref="P7">_xll.BDP($B7&amp;" Equity","bid")</f>
        <v>2.25</v>
      </c>
      <c r="Q7" s="14" cm="1">
        <f t="array" ref="Q7">_xll.BDP($B7&amp;" Equity","ask")</f>
        <v>2.27</v>
      </c>
      <c r="R7" s="423">
        <f t="shared" ref="R7:R8" si="38">(Q7/P7-1)</f>
        <v>8.8888888888889461E-3</v>
      </c>
      <c r="S7" s="14" cm="1">
        <f t="array" ref="S7">_xll.BDP(G7&amp;" Curncy","PX_LAST")</f>
        <v>1</v>
      </c>
      <c r="T7" s="404" cm="1">
        <f t="array" ref="T7">_xll.BDP(B7&amp;" Equity","OPT_MULTIPLIER")</f>
        <v>100</v>
      </c>
      <c r="U7" s="404">
        <f t="shared" ref="U7:U8" si="39">(L7/S7)*H7*T7</f>
        <v>334000</v>
      </c>
      <c r="V7" s="426">
        <f>U7/'Master P&amp;L'!$AD$7*10000</f>
        <v>1.3938945131665368</v>
      </c>
      <c r="W7" s="426">
        <f>(Y7*H7*T7/S7)/'Master P&amp;L'!$AD$7*10000</f>
        <v>1.3938945131665368</v>
      </c>
      <c r="X7" s="427">
        <f t="shared" ref="X7:X8" si="40">IF(C7="Put",IF(Z7&lt;AA7,AA7-Z7,0),IF(Z7&gt;AA7,Z7-AA7,0))</f>
        <v>0</v>
      </c>
      <c r="Y7" s="428">
        <f t="shared" ref="Y7:Y8" si="41">L7-X7</f>
        <v>1.67</v>
      </c>
      <c r="Z7" s="429">
        <f>_xll.BDP(D7&amp;" Equity","LAST_PRICE")</f>
        <v>192.565</v>
      </c>
      <c r="AA7" s="429" cm="1">
        <f t="array" ref="AA7">_xll.BDP(B7&amp;" Equity","OPT_STRIKE_PX")</f>
        <v>197.5</v>
      </c>
      <c r="AB7" s="423">
        <f t="shared" ref="AB7:AB8" si="42">AA7/Z7-1</f>
        <v>2.562771012385423E-2</v>
      </c>
      <c r="AC7" s="430" cm="1">
        <f t="array" ref="AC7">_xll.BDP($D7&amp;" Equity","volatility_10d")</f>
        <v>35.161075959241487</v>
      </c>
      <c r="AD7" s="429" cm="1">
        <f t="array" ref="AD7">_xll.BDP(B7&amp;" Equity","ivol_mid")</f>
        <v>37.182169999999999</v>
      </c>
      <c r="AE7" s="429">
        <f t="shared" ref="AE7:AE8" si="43">AD7/AC7</f>
        <v>1.0574810066421561</v>
      </c>
      <c r="AF7" s="431"/>
      <c r="AG7" s="128"/>
      <c r="AH7" s="128"/>
      <c r="AI7" s="482">
        <f>AO7/'Master P&amp;L'!$AD$7*10000</f>
        <v>-0.18737838547882074</v>
      </c>
      <c r="AJ7" s="425">
        <f t="shared" ref="AJ7:AJ8" si="44">(252*AI7)/$AI$1</f>
        <v>0.84689211078124615</v>
      </c>
      <c r="AK7" s="431">
        <f>AP7/'Master P&amp;L'!$AD$7*10000</f>
        <v>-0.64686721419405147</v>
      </c>
      <c r="AL7" s="404">
        <f t="shared" ref="AL7:AL8" si="45">Z7*AF7*H7*T7/S7</f>
        <v>0</v>
      </c>
      <c r="AM7" s="404">
        <f t="shared" ref="AM7:AM8" si="46">IF(C7="Put",-Z7*H7*T7/S7,Z7*H7*T7/S7)</f>
        <v>38513000</v>
      </c>
      <c r="AN7" s="431" cm="1">
        <f t="array" ref="AN7">_xll.BDP($B7&amp;" Equity","theta_mid_rt")</f>
        <v>-0.22449468076229095</v>
      </c>
      <c r="AO7" s="404">
        <f t="shared" ref="AO7:AO8" si="47">AN7*H7*T7/S7</f>
        <v>-44898.936152458191</v>
      </c>
      <c r="AP7" s="404">
        <f t="shared" ref="AP7:AP8" si="48">(L7-K7)*T7/S7*H7</f>
        <v>-154999.99999999997</v>
      </c>
      <c r="AQ7" s="14" t="str" cm="1">
        <f t="array" ref="AQ7">_xll.BDP($D7&amp;" Equity","EXPECTED_REPORT_DT")</f>
        <v>25/02/2026</v>
      </c>
      <c r="AR7" s="114" cm="1">
        <f t="array" ref="AR7">_xll.BDP($B7&amp;" Equity","GAMMA_LAST")</f>
        <v>5.9235000000000003E-2</v>
      </c>
      <c r="AS7" s="59">
        <f t="shared" si="14"/>
        <v>4393019.1497857496</v>
      </c>
      <c r="AT7" s="59">
        <f t="shared" si="15"/>
        <v>21965095.748928752</v>
      </c>
      <c r="AU7" s="59" t="s">
        <v>151</v>
      </c>
      <c r="AV7" s="337" cm="1">
        <f t="array" ref="AV7">_xll.BDP($D7&amp;" Equity","EST_PE_NXT_YR")*(AA7/Z7)</f>
        <v>25.398011254579853</v>
      </c>
      <c r="AX7" s="404"/>
      <c r="AY7" s="337">
        <v>1.67</v>
      </c>
      <c r="AZ7" s="432"/>
      <c r="BA7" s="404">
        <f t="shared" ref="BA7:BA8" si="49">+AY7</f>
        <v>1.67</v>
      </c>
      <c r="BB7" s="433">
        <f t="shared" ref="BB7:BB8" si="50">+J7</f>
        <v>2.4449999999999998</v>
      </c>
      <c r="BC7" s="433">
        <f t="shared" ref="BC7:BC8" si="51">(BB7-BA7)*H7*100</f>
        <v>154999.99999999997</v>
      </c>
      <c r="BD7" s="433">
        <f>BC7/'Master P&amp;L'!$AD$7*10000</f>
        <v>0.64686721419405147</v>
      </c>
    </row>
    <row r="8" spans="1:56" s="59" customFormat="1">
      <c r="A8" s="424"/>
      <c r="B8" s="59" t="s">
        <v>2409</v>
      </c>
      <c r="C8" s="59" t="str" cm="1">
        <f t="array" ref="C8">_xll.BDP($B8&amp;" Equity","opt_put_call")</f>
        <v>Call</v>
      </c>
      <c r="D8" s="59" t="str" cm="1">
        <f t="array" ref="D8">_xll.BDP(B8&amp;" Equity","OPT_UNDL_TICKER")</f>
        <v>NVDA US</v>
      </c>
      <c r="E8" s="59" t="str" cm="1">
        <f t="array" ref="E8">_xll.BDP($B8&amp;" Equity","mifid_Maturity_date")</f>
        <v>13/02/2026</v>
      </c>
      <c r="F8" s="59" cm="1">
        <f t="array" ref="F8">_xll.BDP($B8&amp;" Equity","opt_days_expire")</f>
        <v>15</v>
      </c>
      <c r="G8" s="59" t="str" cm="1">
        <f t="array" ref="G8">_xll.BDP(B8&amp;" Equity","QUOTED_CURRENCY_REALTIME")</f>
        <v>USD</v>
      </c>
      <c r="H8" s="404">
        <v>-2000</v>
      </c>
      <c r="I8" s="411">
        <v>2.11</v>
      </c>
      <c r="J8" s="14">
        <f>VLOOKUP(B8,Precificação!$B:$O,14,FALSE)</f>
        <v>2.16</v>
      </c>
      <c r="K8" s="14">
        <f t="shared" si="19"/>
        <v>2.16</v>
      </c>
      <c r="L8" s="14">
        <v>1.72</v>
      </c>
      <c r="M8" s="128">
        <f t="shared" si="36"/>
        <v>8.9320489185469847E-3</v>
      </c>
      <c r="N8" s="425"/>
      <c r="O8" s="128">
        <f t="shared" si="37"/>
        <v>-0.20370370370370372</v>
      </c>
      <c r="P8" s="14" cm="1">
        <f t="array" ref="P8">_xll.BDP($B8&amp;" Equity","bid")</f>
        <v>2.17</v>
      </c>
      <c r="Q8" s="14" cm="1">
        <f t="array" ref="Q8">_xll.BDP($B8&amp;" Equity","ask")</f>
        <v>2.2000000000000002</v>
      </c>
      <c r="R8" s="423">
        <f t="shared" si="38"/>
        <v>1.3824884792626779E-2</v>
      </c>
      <c r="S8" s="14" cm="1">
        <f t="array" ref="S8">_xll.BDP(G8&amp;" Curncy","PX_LAST")</f>
        <v>1</v>
      </c>
      <c r="T8" s="404" cm="1">
        <f t="array" ref="T8">_xll.BDP(B8&amp;" Equity","OPT_MULTIPLIER")</f>
        <v>100</v>
      </c>
      <c r="U8" s="404">
        <f t="shared" si="39"/>
        <v>-344000</v>
      </c>
      <c r="V8" s="426">
        <f>U8/'Master P&amp;L'!$AD$7*10000</f>
        <v>-1.4356278818242174</v>
      </c>
      <c r="W8" s="426">
        <f>(Y8*H8*T8/S8)/'Master P&amp;L'!$AD$7*10000</f>
        <v>-1.4356278818242174</v>
      </c>
      <c r="X8" s="427">
        <f t="shared" si="40"/>
        <v>0</v>
      </c>
      <c r="Y8" s="428">
        <f t="shared" si="41"/>
        <v>1.72</v>
      </c>
      <c r="Z8" s="429">
        <f>_xll.BDP(D8&amp;" Equity","LAST_PRICE")</f>
        <v>192.565</v>
      </c>
      <c r="AA8" s="429" cm="1">
        <f t="array" ref="AA8">_xll.BDP(B8&amp;" Equity","OPT_STRIKE_PX")</f>
        <v>202.5</v>
      </c>
      <c r="AB8" s="423">
        <f t="shared" si="42"/>
        <v>5.1592968608002554E-2</v>
      </c>
      <c r="AC8" s="430" cm="1">
        <f t="array" ref="AC8">_xll.BDP($D8&amp;" Equity","volatility_10d")</f>
        <v>35.161075959241487</v>
      </c>
      <c r="AD8" s="429" cm="1">
        <f t="array" ref="AD8">_xll.BDP(B8&amp;" Equity","ivol_mid")</f>
        <v>35.400239999999997</v>
      </c>
      <c r="AE8" s="429">
        <f t="shared" si="43"/>
        <v>1.0068019545543985</v>
      </c>
      <c r="AF8" s="431"/>
      <c r="AG8" s="128"/>
      <c r="AH8" s="128"/>
      <c r="AI8" s="482">
        <f>AO8/'Master P&amp;L'!$AD$7*10000</f>
        <v>0.1219305748245854</v>
      </c>
      <c r="AJ8" s="425">
        <f t="shared" si="44"/>
        <v>-0.55108833186971529</v>
      </c>
      <c r="AK8" s="431">
        <f>AP8/'Master P&amp;L'!$AD$7*10000</f>
        <v>0.36725364418759071</v>
      </c>
      <c r="AL8" s="404">
        <f t="shared" si="45"/>
        <v>0</v>
      </c>
      <c r="AM8" s="404">
        <f t="shared" si="46"/>
        <v>-38513000</v>
      </c>
      <c r="AN8" s="431" cm="1">
        <f t="array" ref="AN8">_xll.BDP($B8&amp;" Equity","theta_mid_rt")</f>
        <v>-0.14608283340930939</v>
      </c>
      <c r="AO8" s="404">
        <f t="shared" si="47"/>
        <v>29216.566681861877</v>
      </c>
      <c r="AP8" s="404">
        <f t="shared" si="48"/>
        <v>88000.000000000029</v>
      </c>
      <c r="AQ8" s="14" t="str" cm="1">
        <f t="array" ref="AQ8">_xll.BDP($D8&amp;" Equity","EXPECTED_REPORT_DT")</f>
        <v>25/02/2026</v>
      </c>
      <c r="AR8" s="114" cm="1">
        <f t="array" ref="AR8">_xll.BDP($B8&amp;" Equity","GAMMA_LAST")</f>
        <v>4.1839000000000001E-2</v>
      </c>
      <c r="AS8" s="59">
        <f t="shared" si="14"/>
        <v>-3102887.2829895499</v>
      </c>
      <c r="AT8" s="59">
        <f t="shared" si="15"/>
        <v>-15514436.41494775</v>
      </c>
      <c r="AU8" s="59" t="s">
        <v>151</v>
      </c>
      <c r="AV8" s="337" cm="1">
        <f t="array" ref="AV8">_xll.BDP($D8&amp;" Equity","EST_PE_NXT_YR")*(AA8/Z8)</f>
        <v>26.040998881278078</v>
      </c>
      <c r="AX8" s="404"/>
      <c r="AY8" s="337">
        <v>1.72</v>
      </c>
      <c r="AZ8" s="432"/>
      <c r="BA8" s="404">
        <f t="shared" si="49"/>
        <v>1.72</v>
      </c>
      <c r="BB8" s="433">
        <f t="shared" si="50"/>
        <v>2.16</v>
      </c>
      <c r="BC8" s="433">
        <f t="shared" si="51"/>
        <v>-88000.000000000029</v>
      </c>
      <c r="BD8" s="433">
        <f>BC8/'Master P&amp;L'!$AD$7*10000</f>
        <v>-0.36725364418759071</v>
      </c>
    </row>
    <row r="9" spans="1:56">
      <c r="A9" s="335"/>
      <c r="B9" s="73" t="s">
        <v>2266</v>
      </c>
      <c r="C9" s="73" t="str" cm="1">
        <f t="array" ref="C9">_xll.BDP($B9&amp;" Equity","opt_put_call")</f>
        <v>Call</v>
      </c>
      <c r="D9" s="73" t="str" cm="1">
        <f t="array" ref="D9">_xll.BDP(B9&amp;" Equity","OPT_UNDL_TICKER")</f>
        <v>GDX US</v>
      </c>
      <c r="E9" s="73" t="str" cm="1">
        <f t="array" ref="E9">_xll.BDP($B9&amp;" Equity","mifid_Maturity_date")</f>
        <v>18/09/2026</v>
      </c>
      <c r="F9" s="73" cm="1">
        <f t="array" ref="F9">_xll.BDP($B9&amp;" Equity","opt_days_expire")</f>
        <v>232</v>
      </c>
      <c r="G9" s="73" t="str" cm="1">
        <f t="array" ref="G9">_xll.BDP(B9&amp;" Equity","QUOTED_CURRENCY_REALTIME")</f>
        <v>USD</v>
      </c>
      <c r="H9" s="42">
        <v>1100</v>
      </c>
      <c r="I9" s="409">
        <v>14.73</v>
      </c>
      <c r="J9" s="14">
        <f>VLOOKUP(B9,Precificação!$B:$O,14,FALSE)</f>
        <v>21.125</v>
      </c>
      <c r="K9" s="14">
        <f t="shared" si="19"/>
        <v>21.125</v>
      </c>
      <c r="L9" s="74" cm="1">
        <f t="array" ref="L9">_xll.BDP($B9&amp;" Equity","mid")</f>
        <v>18.52</v>
      </c>
      <c r="M9" s="75">
        <f t="shared" si="1"/>
        <v>0.17226304529811179</v>
      </c>
      <c r="N9" s="352"/>
      <c r="O9" s="75">
        <f t="shared" si="2"/>
        <v>-0.12331360946745562</v>
      </c>
      <c r="P9" s="74" cm="1">
        <f t="array" ref="P9">_xll.BDP($B9&amp;" Equity","bid")</f>
        <v>17.45</v>
      </c>
      <c r="Q9" s="74" cm="1">
        <f t="array" ref="Q9">_xll.BDP($B9&amp;" Equity","ask")</f>
        <v>19.600000000000001</v>
      </c>
      <c r="R9" s="76">
        <f t="shared" si="3"/>
        <v>0.12320916905444146</v>
      </c>
      <c r="S9" s="36" cm="1">
        <f t="array" ref="S9">_xll.BDP(G9&amp;" Curncy","PX_LAST")</f>
        <v>1</v>
      </c>
      <c r="T9" s="42" cm="1">
        <f t="array" ref="T9">_xll.BDP(B9&amp;" Equity","OPT_MULTIPLIER")</f>
        <v>100</v>
      </c>
      <c r="U9" s="42">
        <f t="shared" si="4"/>
        <v>2037200</v>
      </c>
      <c r="V9" s="113">
        <f>U9/'Master P&amp;L'!$AD$7*10000</f>
        <v>8.5019218629427211</v>
      </c>
      <c r="W9" s="113">
        <f>(Y9*H9*T9/S9)/'Master P&amp;L'!$AD$7*10000</f>
        <v>7.3496635543041533</v>
      </c>
      <c r="X9" s="118">
        <f t="shared" si="5"/>
        <v>2.5100000000000051</v>
      </c>
      <c r="Y9" s="272">
        <f t="shared" si="6"/>
        <v>16.009999999999994</v>
      </c>
      <c r="Z9" s="77">
        <f>_xll.BDP(D9&amp;" Equity","LAST_PRICE")</f>
        <v>107.51</v>
      </c>
      <c r="AA9" s="77" cm="1">
        <f t="array" ref="AA9">_xll.BDP(B9&amp;" Equity","OPT_STRIKE_PX")</f>
        <v>105</v>
      </c>
      <c r="AB9" s="76">
        <f t="shared" si="7"/>
        <v>-2.3346665426472013E-2</v>
      </c>
      <c r="AC9" s="323" cm="1">
        <f t="array" ref="AC9">_xll.BDP($D9&amp;" Equity","volatility_10d")</f>
        <v>34.149284978464642</v>
      </c>
      <c r="AD9" s="77" cm="1">
        <f t="array" ref="AD9">_xll.BDP(B9&amp;" Equity","ivol_mid")</f>
        <v>45.952820000000003</v>
      </c>
      <c r="AE9" s="77">
        <f t="shared" si="8"/>
        <v>1.3456451585729818</v>
      </c>
      <c r="AF9" s="78" cm="1">
        <f t="array" ref="AF9">_xll.BDP(B9&amp;" Equity","DELTA_MID_RT")</f>
        <v>0.62314426898956299</v>
      </c>
      <c r="AG9" s="75">
        <f>AL9/'Master P&amp;L'!$AE$7</f>
        <v>3.0754848639308807E-3</v>
      </c>
      <c r="AH9" s="75">
        <f>AM9/'Master P&amp;L'!$AE$7</f>
        <v>4.9354299108259822E-3</v>
      </c>
      <c r="AI9" s="435">
        <f>AO9/'Master P&amp;L'!$AD$7*10000</f>
        <v>-1.4138020229548787E-2</v>
      </c>
      <c r="AJ9" s="350">
        <f t="shared" si="9"/>
        <v>6.3899460782918707E-2</v>
      </c>
      <c r="AK9" s="78">
        <f>AP9/'Master P&amp;L'!$AD$7*10000</f>
        <v>-1.1958696788858421</v>
      </c>
      <c r="AL9" s="42">
        <f t="shared" si="10"/>
        <v>7369366.4394974709</v>
      </c>
      <c r="AM9" s="42">
        <f t="shared" si="11"/>
        <v>11826100</v>
      </c>
      <c r="AN9" s="78" cm="1">
        <f t="array" ref="AN9">_xll.BDP($B9&amp;" Equity","theta_mid_rt")</f>
        <v>-3.0797287821769714E-2</v>
      </c>
      <c r="AO9" s="42">
        <f t="shared" si="12"/>
        <v>-3387.7016603946686</v>
      </c>
      <c r="AP9" s="42">
        <f t="shared" si="13"/>
        <v>-286550.00000000006</v>
      </c>
      <c r="AQ9" s="74" t="str" cm="1">
        <f t="array" ref="AQ9">_xll.BDP($D9&amp;" Equity","EXPECTED_REPORT_DT")</f>
        <v>#N/A N/A</v>
      </c>
      <c r="AR9" s="235" cm="1">
        <f t="array" ref="AR9">_xll.BDP($B9&amp;" Equity","GAMMA_LAST")</f>
        <v>9.8189999999999996E-3</v>
      </c>
      <c r="AS9" s="73">
        <f t="shared" si="14"/>
        <v>124841.12364008999</v>
      </c>
      <c r="AT9" s="73">
        <f t="shared" si="15"/>
        <v>624205.61820045009</v>
      </c>
      <c r="AU9" s="73" t="s">
        <v>151</v>
      </c>
      <c r="AV9" s="322" t="e" cm="1">
        <f t="array" ref="AV9">_xll.BDP($D9&amp;" Equity","EST_PE_NXT_YR")*(AA9/Z9)</f>
        <v>#VALUE!</v>
      </c>
      <c r="AW9" s="73"/>
      <c r="AX9" s="42"/>
      <c r="AY9" s="322">
        <v>18.52</v>
      </c>
      <c r="AZ9" s="354"/>
      <c r="BA9" s="42">
        <f t="shared" si="16"/>
        <v>18.52</v>
      </c>
      <c r="BB9" s="346">
        <f t="shared" si="17"/>
        <v>21.125</v>
      </c>
      <c r="BC9" s="346">
        <f t="shared" si="18"/>
        <v>286550.00000000006</v>
      </c>
      <c r="BD9" s="346">
        <f>BC9/'Master P&amp;L'!$AD$7*10000</f>
        <v>1.1958696788858421</v>
      </c>
    </row>
    <row r="10" spans="1:56" s="59" customFormat="1">
      <c r="A10" s="356"/>
      <c r="B10" t="s">
        <v>2267</v>
      </c>
      <c r="C10" t="str" cm="1">
        <f t="array" ref="C10">_xll.BDP($B10&amp;" Equity","opt_put_call")</f>
        <v>Call</v>
      </c>
      <c r="D10" t="str" cm="1">
        <f t="array" ref="D10">_xll.BDP(B10&amp;" Equity","OPT_UNDL_TICKER")</f>
        <v>GDX US</v>
      </c>
      <c r="E10" t="str" cm="1">
        <f t="array" ref="E10">_xll.BDP($B10&amp;" Equity","mifid_Maturity_date")</f>
        <v>18/09/2026</v>
      </c>
      <c r="F10" cm="1">
        <f t="array" ref="F10">_xll.BDP($B10&amp;" Equity","opt_days_expire")</f>
        <v>232</v>
      </c>
      <c r="G10" t="str" cm="1">
        <f t="array" ref="G10">_xll.BDP(B10&amp;" Equity","QUOTED_CURRENCY_REALTIME")</f>
        <v>USD</v>
      </c>
      <c r="H10" s="15">
        <v>-1100</v>
      </c>
      <c r="I10" s="410">
        <v>11.13</v>
      </c>
      <c r="J10" s="14">
        <f>VLOOKUP(B10,Precificação!$B:$O,14,FALSE)</f>
        <v>16.850000000000001</v>
      </c>
      <c r="K10" s="14">
        <f t="shared" si="19"/>
        <v>16.850000000000001</v>
      </c>
      <c r="L10" s="74" cm="1">
        <f t="array" ref="L10">_xll.BDP($B10&amp;" Equity","mid")</f>
        <v>14.88</v>
      </c>
      <c r="M10" s="19">
        <f t="shared" si="1"/>
        <v>0.13840572969956283</v>
      </c>
      <c r="N10" s="350"/>
      <c r="O10" s="19">
        <f t="shared" si="2"/>
        <v>-0.11691394658753707</v>
      </c>
      <c r="P10" s="36" cm="1">
        <f t="array" ref="P10">_xll.BDP($B10&amp;" Equity","bid")</f>
        <v>14.45</v>
      </c>
      <c r="Q10" s="36" cm="1">
        <f t="array" ref="Q10">_xll.BDP($B10&amp;" Equity","ask")</f>
        <v>15.3</v>
      </c>
      <c r="R10" s="40">
        <f t="shared" si="3"/>
        <v>5.8823529411764719E-2</v>
      </c>
      <c r="S10" s="36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4"/>
        <v>-1636800</v>
      </c>
      <c r="V10" s="124">
        <f>U10/'Master P&amp;L'!$AD$7*10000</f>
        <v>-6.830917781889184</v>
      </c>
      <c r="W10" s="124">
        <f>(Y10*H10*T10/S10)/'Master P&amp;L'!$AD$7*10000</f>
        <v>-6.830917781889184</v>
      </c>
      <c r="X10" s="413">
        <f t="shared" si="5"/>
        <v>0</v>
      </c>
      <c r="Y10" s="273">
        <f t="shared" si="6"/>
        <v>14.88</v>
      </c>
      <c r="Z10" s="37">
        <f>_xll.BDP(D10&amp;" Equity","LAST_PRICE")</f>
        <v>107.51</v>
      </c>
      <c r="AA10" s="37" cm="1">
        <f t="array" ref="AA10">_xll.BDP(B10&amp;" Equity","OPT_STRIKE_PX")</f>
        <v>115</v>
      </c>
      <c r="AB10" s="40">
        <f t="shared" si="7"/>
        <v>6.9667937866245033E-2</v>
      </c>
      <c r="AC10" s="324" cm="1">
        <f t="array" ref="AC10">_xll.BDP($D10&amp;" Equity","volatility_10d")</f>
        <v>34.149284978464642</v>
      </c>
      <c r="AD10" s="37" cm="1">
        <f t="array" ref="AD10">_xll.BDP(B10&amp;" Equity","ivol_mid")</f>
        <v>46.878929999999997</v>
      </c>
      <c r="AE10" s="37">
        <f t="shared" si="8"/>
        <v>1.3727646136533451</v>
      </c>
      <c r="AF10" s="38" cm="1">
        <f t="array" ref="AF10">_xll.BDP(B10&amp;" Equity","DELTA_MID_RT")</f>
        <v>0.53406739234924316</v>
      </c>
      <c r="AG10" s="19">
        <f>AL10/'Master P&amp;L'!$AE$7</f>
        <v>-2.6358521825972907E-3</v>
      </c>
      <c r="AH10" s="19">
        <f>AM10/'Master P&amp;L'!$AE$7</f>
        <v>-4.9354299108259822E-3</v>
      </c>
      <c r="AI10" s="434">
        <f>AO10/'Master P&amp;L'!$AD$7*10000</f>
        <v>1.5472408669360274E-2</v>
      </c>
      <c r="AJ10" s="350">
        <f t="shared" si="9"/>
        <v>-6.9930482127810042E-2</v>
      </c>
      <c r="AK10" s="38">
        <f>AP10/'Master P&amp;L'!$AD$7*10000</f>
        <v>0.90436209881194196</v>
      </c>
      <c r="AL10" s="15">
        <f t="shared" si="10"/>
        <v>-6315934.3886613855</v>
      </c>
      <c r="AM10" s="15">
        <f t="shared" si="11"/>
        <v>-11826100</v>
      </c>
      <c r="AN10" s="38" cm="1">
        <f t="array" ref="AN10">_xll.BDP($B10&amp;" Equity","theta_mid_rt")</f>
        <v>-3.3704027533531189E-2</v>
      </c>
      <c r="AO10" s="15">
        <f t="shared" si="12"/>
        <v>3707.4430286884308</v>
      </c>
      <c r="AP10" s="15">
        <f t="shared" si="13"/>
        <v>216700.00000000006</v>
      </c>
      <c r="AQ10" s="36" t="str" cm="1">
        <f t="array" ref="AQ10">_xll.BDP($D10&amp;" Equity","EXPECTED_REPORT_DT")</f>
        <v>#N/A N/A</v>
      </c>
      <c r="AR10" s="66" cm="1">
        <f t="array" ref="AR10">_xll.BDP($B10&amp;" Equity","GAMMA_LAST")</f>
        <v>1.0199E-2</v>
      </c>
      <c r="AS10">
        <f t="shared" si="14"/>
        <v>-129672.53488189004</v>
      </c>
      <c r="AT10">
        <f t="shared" si="15"/>
        <v>-648362.67440945015</v>
      </c>
      <c r="AU10" t="s">
        <v>151</v>
      </c>
      <c r="AV10" s="277" t="e" cm="1">
        <f t="array" ref="AV10">_xll.BDP($D10&amp;" Equity","EST_PE_NXT_YR")*(AA10/Z10)</f>
        <v>#VALUE!</v>
      </c>
      <c r="AW10"/>
      <c r="AX10" s="15"/>
      <c r="AY10" s="277">
        <v>14.3</v>
      </c>
      <c r="AZ10" s="355"/>
      <c r="BA10" s="15">
        <f t="shared" si="16"/>
        <v>14.3</v>
      </c>
      <c r="BB10" s="414">
        <f t="shared" si="17"/>
        <v>16.850000000000001</v>
      </c>
      <c r="BC10" s="414">
        <f t="shared" si="18"/>
        <v>-280500.00000000012</v>
      </c>
      <c r="BD10" s="414">
        <f>BC10/'Master P&amp;L'!$AD$7*10000</f>
        <v>-1.1706209908479455</v>
      </c>
    </row>
    <row r="11" spans="1:56">
      <c r="A11" s="335"/>
      <c r="B11" s="73" t="s">
        <v>2295</v>
      </c>
      <c r="C11" s="73" t="str" cm="1">
        <f t="array" ref="C11">_xll.BDP($B11&amp;" Equity","opt_put_call")</f>
        <v>Call</v>
      </c>
      <c r="D11" s="73" t="str" cm="1">
        <f t="array" ref="D11">_xll.BDP(B11&amp;" Equity","OPT_UNDL_TICKER")</f>
        <v>LITE US</v>
      </c>
      <c r="E11" s="73" t="str" cm="1">
        <f t="array" ref="E11">_xll.BDP($B11&amp;" Equity","mifid_Maturity_date")</f>
        <v>20/03/2026</v>
      </c>
      <c r="F11" s="73" cm="1">
        <f t="array" ref="F11">_xll.BDP($B11&amp;" Equity","opt_days_expire")</f>
        <v>50</v>
      </c>
      <c r="G11" s="73" t="str" cm="1">
        <f t="array" ref="G11">_xll.BDP(B11&amp;" Equity","QUOTED_CURRENCY_REALTIME")</f>
        <v>USD</v>
      </c>
      <c r="H11" s="42">
        <v>60</v>
      </c>
      <c r="I11" s="409">
        <v>39.83</v>
      </c>
      <c r="J11" s="14">
        <f>VLOOKUP(B11,Precificação!$B:$O,14,FALSE)</f>
        <v>49.7</v>
      </c>
      <c r="K11" s="14">
        <f t="shared" si="19"/>
        <v>49.7</v>
      </c>
      <c r="L11" s="74" cm="1">
        <f t="array" ref="L11">_xll.BDP($B11&amp;" Equity","mid")</f>
        <v>45.75</v>
      </c>
      <c r="M11" s="75">
        <f t="shared" si="1"/>
        <v>0.1200645593040192</v>
      </c>
      <c r="N11" s="352"/>
      <c r="O11" s="75">
        <f t="shared" si="2"/>
        <v>-7.9476861167002033E-2</v>
      </c>
      <c r="P11" s="74" cm="1">
        <f t="array" ref="P11">_xll.BDP($B11&amp;" Equity","bid")</f>
        <v>44</v>
      </c>
      <c r="Q11" s="74" cm="1">
        <f t="array" ref="Q11">_xll.BDP($B11&amp;" Equity","ask")</f>
        <v>47.5</v>
      </c>
      <c r="R11" s="76">
        <f t="shared" si="3"/>
        <v>7.9545454545454586E-2</v>
      </c>
      <c r="S11" s="36" cm="1">
        <f t="array" ref="S11">_xll.BDP(G11&amp;" Curncy","PX_LAST")</f>
        <v>1</v>
      </c>
      <c r="T11" s="42" cm="1">
        <f t="array" ref="T11">_xll.BDP(B11&amp;" Equity","OPT_MULTIPLIER")</f>
        <v>100</v>
      </c>
      <c r="U11" s="42">
        <f t="shared" si="4"/>
        <v>274500</v>
      </c>
      <c r="V11" s="113">
        <f>U11/'Master P&amp;L'!$AD$7*10000</f>
        <v>1.1455809696533363</v>
      </c>
      <c r="W11" s="113">
        <f>(Y11*H11*T11/S11)/'Master P&amp;L'!$AD$7*10000</f>
        <v>1.1455809696533363</v>
      </c>
      <c r="X11" s="118">
        <f t="shared" si="5"/>
        <v>0</v>
      </c>
      <c r="Y11" s="272">
        <f t="shared" si="6"/>
        <v>45.75</v>
      </c>
      <c r="Z11" s="77">
        <f>_xll.BDP(D11&amp;" Equity","LAST_PRICE")</f>
        <v>381.04500000000002</v>
      </c>
      <c r="AA11" s="77" cm="1">
        <f t="array" ref="AA11">_xll.BDP(B11&amp;" Equity","OPT_STRIKE_PX")</f>
        <v>420</v>
      </c>
      <c r="AB11" s="76">
        <f t="shared" si="7"/>
        <v>0.10223201984017627</v>
      </c>
      <c r="AC11" s="323" cm="1">
        <f t="array" ref="AC11">_xll.BDP($D11&amp;" Equity","volatility_10d")</f>
        <v>94.530202671513521</v>
      </c>
      <c r="AD11" s="77" cm="1">
        <f t="array" ref="AD11">_xll.BDP(B11&amp;" Equity","ivol_mid")</f>
        <v>107.1343</v>
      </c>
      <c r="AE11" s="77">
        <f t="shared" si="8"/>
        <v>1.133334077070425</v>
      </c>
      <c r="AF11" s="78" cm="1">
        <f t="array" ref="AF11">_xll.BDP(B11&amp;" Equity","DELTA_MID_RT")</f>
        <v>0.48741212487220764</v>
      </c>
      <c r="AG11" s="75">
        <f>AL11/'Master P&amp;L'!$AE$7</f>
        <v>4.6505818025619909E-4</v>
      </c>
      <c r="AH11" s="75">
        <f>AM11/'Master P&amp;L'!$AE$7</f>
        <v>9.541374876099576E-4</v>
      </c>
      <c r="AI11" s="435">
        <f>AO11/'Master P&amp;L'!$AD$7*10000</f>
        <v>-1.4640035942743108E-2</v>
      </c>
      <c r="AJ11" s="350">
        <f t="shared" si="9"/>
        <v>6.6168415902294234E-2</v>
      </c>
      <c r="AK11" s="78">
        <f>AP11/'Master P&amp;L'!$AD$7*10000</f>
        <v>-9.8908083718703438E-2</v>
      </c>
      <c r="AL11" s="42">
        <f t="shared" si="10"/>
        <v>1114355.7187315822</v>
      </c>
      <c r="AM11" s="42">
        <f t="shared" si="11"/>
        <v>2286270</v>
      </c>
      <c r="AN11" s="78" cm="1">
        <f t="array" ref="AN11">_xll.BDP($B11&amp;" Equity","theta_mid_rt")</f>
        <v>-0.58466547727584839</v>
      </c>
      <c r="AO11" s="42">
        <f t="shared" si="12"/>
        <v>-3507.9928636550903</v>
      </c>
      <c r="AP11" s="42">
        <f t="shared" si="13"/>
        <v>-23700.000000000018</v>
      </c>
      <c r="AQ11" s="74" t="str" cm="1">
        <f t="array" ref="AQ11">_xll.BDP($D11&amp;" Equity","EXPECTED_REPORT_DT")</f>
        <v>03/02/2026</v>
      </c>
      <c r="AR11" s="235" cm="1">
        <f t="array" ref="AR11">_xll.BDP($B11&amp;" Equity","GAMMA_LAST")</f>
        <v>1.0042000000000001E-2</v>
      </c>
      <c r="AS11" s="73">
        <f t="shared" si="14"/>
        <v>87483.067350903017</v>
      </c>
      <c r="AT11" s="73">
        <f t="shared" si="15"/>
        <v>437415.33675451513</v>
      </c>
      <c r="AU11" s="73" t="s">
        <v>151</v>
      </c>
      <c r="AV11" s="322" cm="1">
        <f t="array" ref="AV11">_xll.BDP($D11&amp;" Equity","EST_PE_NXT_YR")*(AA11/Z11)</f>
        <v>46.146077385653314</v>
      </c>
      <c r="AW11" s="73"/>
      <c r="AX11" s="42"/>
      <c r="AY11" s="322">
        <v>43.15</v>
      </c>
      <c r="AZ11" s="354"/>
      <c r="BA11" s="42">
        <f t="shared" si="16"/>
        <v>43.15</v>
      </c>
      <c r="BB11" s="346">
        <f t="shared" si="17"/>
        <v>49.7</v>
      </c>
      <c r="BC11" s="346">
        <f t="shared" si="18"/>
        <v>39300.000000000022</v>
      </c>
      <c r="BD11" s="346">
        <f>BC11/'Master P&amp;L'!$AD$7*10000</f>
        <v>0.16401213882468541</v>
      </c>
    </row>
    <row r="12" spans="1:56" s="59" customFormat="1">
      <c r="A12" s="356"/>
      <c r="B12" t="s">
        <v>2068</v>
      </c>
      <c r="C12" t="str" cm="1">
        <f t="array" ref="C12">_xll.BDP($B12&amp;" Equity","opt_put_call")</f>
        <v>Call</v>
      </c>
      <c r="D12" t="str" cm="1">
        <f t="array" ref="D12">_xll.BDP(B12&amp;" Equity","OPT_UNDL_TICKER")</f>
        <v>META US</v>
      </c>
      <c r="E12" t="str" cm="1">
        <f t="array" ref="E12">_xll.BDP($B12&amp;" Equity","mifid_Maturity_date")</f>
        <v>17/04/2026</v>
      </c>
      <c r="F12" cm="1">
        <f t="array" ref="F12">_xll.BDP($B12&amp;" Equity","opt_days_expire")</f>
        <v>78</v>
      </c>
      <c r="G12" t="str" cm="1">
        <f t="array" ref="G12">_xll.BDP(B12&amp;" Equity","QUOTED_CURRENCY_REALTIME")</f>
        <v>USD</v>
      </c>
      <c r="H12" s="15">
        <v>60</v>
      </c>
      <c r="I12" s="410">
        <v>43.12</v>
      </c>
      <c r="J12" s="14">
        <f>VLOOKUP(B12,Precificação!$B:$O,14,FALSE)</f>
        <v>37.5</v>
      </c>
      <c r="K12" s="14">
        <f t="shared" si="19"/>
        <v>37.5</v>
      </c>
      <c r="L12" s="74" cm="1">
        <f t="array" ref="L12">_xll.BDP($B12&amp;" Equity","mid")</f>
        <v>76.3</v>
      </c>
      <c r="M12" s="19">
        <f t="shared" si="1"/>
        <v>0.10305936381441209</v>
      </c>
      <c r="N12" s="350"/>
      <c r="O12" s="19">
        <f t="shared" si="2"/>
        <v>1.0346666666666664</v>
      </c>
      <c r="P12" s="36" cm="1">
        <f t="array" ref="P12">_xll.BDP($B12&amp;" Equity","bid")</f>
        <v>75.45</v>
      </c>
      <c r="Q12" s="36" cm="1">
        <f t="array" ref="Q12">_xll.BDP($B12&amp;" Equity","ask")</f>
        <v>77.150000000000006</v>
      </c>
      <c r="R12" s="40">
        <f t="shared" si="3"/>
        <v>2.2531477799867528E-2</v>
      </c>
      <c r="S12" s="36" cm="1">
        <f t="array" ref="S12">_xll.BDP(G12&amp;" Curncy","PX_LAST")</f>
        <v>1</v>
      </c>
      <c r="T12" s="15" cm="1">
        <f t="array" ref="T12">_xll.BDP(B12&amp;" Equity","OPT_MULTIPLIER")</f>
        <v>100</v>
      </c>
      <c r="U12" s="15">
        <f t="shared" si="4"/>
        <v>457800</v>
      </c>
      <c r="V12" s="124">
        <f>U12/'Master P&amp;L'!$AD$7*10000</f>
        <v>1.9105536171486244</v>
      </c>
      <c r="W12" s="124">
        <f>(Y12*H12*T12/S12)/'Master P&amp;L'!$AD$7*10000</f>
        <v>0.64978855000008862</v>
      </c>
      <c r="X12" s="413">
        <f t="shared" si="5"/>
        <v>50.350000000000023</v>
      </c>
      <c r="Y12" s="273">
        <f t="shared" si="6"/>
        <v>25.949999999999974</v>
      </c>
      <c r="Z12" s="37">
        <f>_xll.BDP(D12&amp;" Equity","LAST_PRICE")</f>
        <v>740.35</v>
      </c>
      <c r="AA12" s="37" cm="1">
        <f t="array" ref="AA12">_xll.BDP(B12&amp;" Equity","OPT_STRIKE_PX")</f>
        <v>690</v>
      </c>
      <c r="AB12" s="40">
        <f t="shared" si="7"/>
        <v>-6.8008374417505291E-2</v>
      </c>
      <c r="AC12" s="324" cm="1">
        <f t="array" ref="AC12">_xll.BDP($D12&amp;" Equity","volatility_10d")</f>
        <v>36.015487716902783</v>
      </c>
      <c r="AD12" s="37" cm="1">
        <f t="array" ref="AD12">_xll.BDP(B12&amp;" Equity","ivol_mid")</f>
        <v>35.678669999999997</v>
      </c>
      <c r="AE12" s="37">
        <f t="shared" si="8"/>
        <v>0.99064797568339713</v>
      </c>
      <c r="AF12" s="38" cm="1">
        <f t="array" ref="AF12">_xll.BDP(B12&amp;" Equity","DELTA_MID_RT")</f>
        <v>0.72109693288803101</v>
      </c>
      <c r="AG12" s="19">
        <f>AL12/'Master P&amp;L'!$AE$7</f>
        <v>1.3367968736202756E-3</v>
      </c>
      <c r="AH12" s="19">
        <f>AM12/'Master P&amp;L'!$AE$7</f>
        <v>1.8538379691428364E-3</v>
      </c>
      <c r="AI12" s="434">
        <f>AO12/'Master P&amp;L'!$AD$7*10000</f>
        <v>-5.9547264159589223E-3</v>
      </c>
      <c r="AJ12" s="350">
        <f t="shared" si="9"/>
        <v>2.6913514120903263E-2</v>
      </c>
      <c r="AK12" s="38">
        <f>AP12/'Master P&amp;L'!$AD$7*10000</f>
        <v>0.97155282235080764</v>
      </c>
      <c r="AL12" s="15">
        <f t="shared" si="10"/>
        <v>3203184.6855819225</v>
      </c>
      <c r="AM12" s="15">
        <f t="shared" si="11"/>
        <v>4442100</v>
      </c>
      <c r="AN12" s="38" cm="1">
        <f t="array" ref="AN12">_xll.BDP($B12&amp;" Equity","theta_mid_rt")</f>
        <v>-0.23780836164951324</v>
      </c>
      <c r="AO12" s="15">
        <f t="shared" si="12"/>
        <v>-1426.8501698970795</v>
      </c>
      <c r="AP12" s="15">
        <f t="shared" si="13"/>
        <v>232799.99999999997</v>
      </c>
      <c r="AQ12" s="36" t="str" cm="1">
        <f t="array" ref="AQ12">_xll.BDP($D12&amp;" Equity","EXPECTED_REPORT_DT")</f>
        <v>30/04/2026</v>
      </c>
      <c r="AR12" s="66" cm="1">
        <f t="array" ref="AR12">_xll.BDP($B12&amp;" Equity","GAMMA_LAST")</f>
        <v>2.3532999999999998E-2</v>
      </c>
      <c r="AS12">
        <f t="shared" si="14"/>
        <v>773931.82660754991</v>
      </c>
      <c r="AT12">
        <f t="shared" si="15"/>
        <v>3869659.1330377501</v>
      </c>
      <c r="AU12" t="s">
        <v>151</v>
      </c>
      <c r="AV12" s="277" cm="1">
        <f t="array" ref="AV12">_xll.BDP($D12&amp;" Equity","EST_PE_NXT_YR")*(AA12/Z12)</f>
        <v>16.113831112668226</v>
      </c>
      <c r="AW12"/>
      <c r="AX12" s="15"/>
      <c r="AY12" s="277">
        <v>73.55</v>
      </c>
      <c r="AZ12" s="355"/>
      <c r="BA12" s="15">
        <f t="shared" si="16"/>
        <v>73.55</v>
      </c>
      <c r="BB12" s="414">
        <f t="shared" si="17"/>
        <v>37.5</v>
      </c>
      <c r="BC12" s="414">
        <f t="shared" si="18"/>
        <v>-216300</v>
      </c>
      <c r="BD12" s="414">
        <f>BC12/'Master P&amp;L'!$AD$7*10000</f>
        <v>-0.90269276406563448</v>
      </c>
    </row>
    <row r="13" spans="1:56" s="497" customFormat="1">
      <c r="A13" s="496"/>
      <c r="B13" s="497" t="s">
        <v>2421</v>
      </c>
      <c r="C13" s="497" t="str" cm="1">
        <f t="array" ref="C13">_xll.BDP($B13&amp;" Equity","opt_put_call")</f>
        <v>Call</v>
      </c>
      <c r="D13" s="497" t="str" cm="1">
        <f t="array" ref="D13">_xll.BDP(B13&amp;" Equity","OPT_UNDL_TICKER")</f>
        <v>META US</v>
      </c>
      <c r="E13" s="497" t="str" cm="1">
        <f t="array" ref="E13">_xll.BDP($B13&amp;" Equity","mifid_Maturity_date")</f>
        <v>17/07/2026</v>
      </c>
      <c r="F13" s="497" cm="1">
        <f t="array" ref="F13">_xll.BDP($B13&amp;" Equity","opt_days_expire")</f>
        <v>169</v>
      </c>
      <c r="G13" s="497" t="str" cm="1">
        <f t="array" ref="G13">_xll.BDP(B13&amp;" Equity","QUOTED_CURRENCY_REALTIME")</f>
        <v>USD</v>
      </c>
      <c r="H13" s="498">
        <v>75</v>
      </c>
      <c r="I13" s="499">
        <v>59.27</v>
      </c>
      <c r="J13" s="14">
        <f>VLOOKUP(B13,Precificação!$B:$O,14,FALSE)</f>
        <v>57.524999999999999</v>
      </c>
      <c r="K13" s="14">
        <f t="shared" si="19"/>
        <v>57.524999999999999</v>
      </c>
      <c r="L13" s="500" cm="1">
        <f t="array" ref="L13">_xll.BDP($B13&amp;" Equity","mid")</f>
        <v>96.42</v>
      </c>
      <c r="M13" s="501">
        <f t="shared" ref="M13" si="52">L13/Z13</f>
        <v>0.13023569933139731</v>
      </c>
      <c r="N13" s="502"/>
      <c r="O13" s="501">
        <f t="shared" ref="O13" si="53">L13/K13-1</f>
        <v>0.67614080834419821</v>
      </c>
      <c r="P13" s="500" cm="1">
        <f t="array" ref="P13">_xll.BDP($B13&amp;" Equity","bid")</f>
        <v>96</v>
      </c>
      <c r="Q13" s="500" cm="1">
        <f t="array" ref="Q13">_xll.BDP($B13&amp;" Equity","ask")</f>
        <v>96.85</v>
      </c>
      <c r="R13" s="503">
        <f t="shared" ref="R13" si="54">(Q13/P13-1)</f>
        <v>8.8541666666666075E-3</v>
      </c>
      <c r="S13" s="500" cm="1">
        <f t="array" ref="S13">_xll.BDP(G13&amp;" Curncy","PX_LAST")</f>
        <v>1</v>
      </c>
      <c r="T13" s="498" cm="1">
        <f t="array" ref="T13">_xll.BDP(B13&amp;" Equity","OPT_MULTIPLIER")</f>
        <v>100</v>
      </c>
      <c r="U13" s="498">
        <f t="shared" ref="U13" si="55">(L13/S13)*H13*T13</f>
        <v>723150</v>
      </c>
      <c r="V13" s="504">
        <f>U13/'Master P&amp;L'!$AD$7*10000</f>
        <v>3.0179485544801827</v>
      </c>
      <c r="W13" s="504">
        <f>(Y13*H13*T13/S13)/'Master P&amp;L'!$AD$7*10000</f>
        <v>1.7549924854771186</v>
      </c>
      <c r="X13" s="505">
        <f t="shared" ref="X13" si="56">IF(C13="Put",IF(Z13&lt;AA13,AA13-Z13,0),IF(Z13&gt;AA13,Z13-AA13,0))</f>
        <v>40.350000000000023</v>
      </c>
      <c r="Y13" s="506">
        <f t="shared" ref="Y13" si="57">L13-X13</f>
        <v>56.069999999999979</v>
      </c>
      <c r="Z13" s="507">
        <f>_xll.BDP(D13&amp;" Equity","LAST_PRICE")</f>
        <v>740.35</v>
      </c>
      <c r="AA13" s="507" cm="1">
        <f t="array" ref="AA13">_xll.BDP(B13&amp;" Equity","OPT_STRIKE_PX")</f>
        <v>700</v>
      </c>
      <c r="AB13" s="503">
        <f t="shared" ref="AB13" si="58">AA13/Z13-1</f>
        <v>-5.4501249409063313E-2</v>
      </c>
      <c r="AC13" s="387" cm="1">
        <f t="array" ref="AC13">_xll.BDP($D13&amp;" Equity","volatility_10d")</f>
        <v>36.015487716902783</v>
      </c>
      <c r="AD13" s="507" cm="1">
        <f t="array" ref="AD13">_xll.BDP(B13&amp;" Equity","ivol_mid")</f>
        <v>36.333669999999998</v>
      </c>
      <c r="AE13" s="507">
        <f t="shared" ref="AE13" si="59">AD13/AC13</f>
        <v>1.0088345959826579</v>
      </c>
      <c r="AF13" s="508" cm="1">
        <f t="array" ref="AF13">_xll.BDP(B13&amp;" Equity","DELTA_MID_RT")</f>
        <v>0.66375750303268433</v>
      </c>
      <c r="AG13" s="501">
        <f>AL13/'Master P&amp;L'!$AE$7</f>
        <v>1.5381235767817894E-3</v>
      </c>
      <c r="AH13" s="501">
        <f>AM13/'Master P&amp;L'!$AE$7</f>
        <v>2.3172974614285454E-3</v>
      </c>
      <c r="AI13" s="509">
        <f>AO13/'Master P&amp;L'!$AD$7*10000</f>
        <v>-6.5919358751348692E-3</v>
      </c>
      <c r="AJ13" s="502">
        <f t="shared" ref="AJ13" si="60">(252*AI13)/$AI$1</f>
        <v>2.9793502986813786E-2</v>
      </c>
      <c r="AK13" s="508">
        <f>AP13/'Master P&amp;L'!$AD$7*10000</f>
        <v>1.2174145304553696</v>
      </c>
      <c r="AL13" s="498">
        <f t="shared" ref="AL13" si="61">Z13*AF13*H13*T13/S13</f>
        <v>3685596.5052768588</v>
      </c>
      <c r="AM13" s="498">
        <f t="shared" ref="AM13" si="62">IF(C13="Put",-Z13*H13*T13/S13,Z13*H13*T13/S13)</f>
        <v>5552625</v>
      </c>
      <c r="AN13" s="508" cm="1">
        <f t="array" ref="AN13">_xll.BDP($B13&amp;" Equity","theta_mid_rt")</f>
        <v>-0.21060480177402496</v>
      </c>
      <c r="AO13" s="498">
        <f t="shared" ref="AO13" si="63">AN13*H13*T13/S13</f>
        <v>-1579.5360133051872</v>
      </c>
      <c r="AP13" s="498">
        <f t="shared" ref="AP13" si="64">(L13-K13)*T13/S13*H13</f>
        <v>291712.50000000006</v>
      </c>
      <c r="AQ13" s="500" t="str" cm="1">
        <f t="array" ref="AQ13">_xll.BDP($D13&amp;" Equity","EXPECTED_REPORT_DT")</f>
        <v>30/04/2026</v>
      </c>
      <c r="AR13" s="510" cm="1">
        <f t="array" ref="AR13">_xll.BDP($B13&amp;" Equity","GAMMA_LAST")</f>
        <v>1.5953999999999999E-2</v>
      </c>
      <c r="AS13" s="497">
        <f t="shared" si="14"/>
        <v>655850.73947737506</v>
      </c>
      <c r="AT13" s="497">
        <f t="shared" si="15"/>
        <v>3279253.6973868757</v>
      </c>
      <c r="AU13" s="497" t="s">
        <v>151</v>
      </c>
      <c r="AV13" s="511" cm="1">
        <f t="array" ref="AV13">_xll.BDP($D13&amp;" Equity","EST_PE_NXT_YR")*(AA13/Z13)</f>
        <v>16.347364896909795</v>
      </c>
      <c r="AX13" s="498"/>
      <c r="AY13" s="511">
        <v>93.68</v>
      </c>
      <c r="AZ13" s="512"/>
      <c r="BA13" s="498">
        <f t="shared" ref="BA13" si="65">+AY13</f>
        <v>93.68</v>
      </c>
      <c r="BB13" s="513">
        <f t="shared" ref="BB13" si="66">+J13</f>
        <v>57.524999999999999</v>
      </c>
      <c r="BC13" s="513">
        <f t="shared" ref="BC13" si="67">(BB13-BA13)*H13*100</f>
        <v>-271162.50000000006</v>
      </c>
      <c r="BD13" s="513">
        <f>BC13/'Master P&amp;L'!$AD$7*10000</f>
        <v>-1.1316524578638358</v>
      </c>
    </row>
    <row r="14" spans="1:56" s="59" customFormat="1">
      <c r="A14" s="356"/>
      <c r="B14" t="s">
        <v>2097</v>
      </c>
      <c r="C14" t="str" cm="1">
        <f t="array" ref="C14">_xll.BDP($B14&amp;" Equity","opt_put_call")</f>
        <v>Put</v>
      </c>
      <c r="D14" t="str" cm="1">
        <f t="array" ref="D14">_xll.BDP(B14&amp;" Equity","OPT_UNDL_TICKER")</f>
        <v>MRVL US</v>
      </c>
      <c r="E14" t="str" cm="1">
        <f t="array" ref="E14">_xll.BDP($B14&amp;" Equity","mifid_Maturity_date")</f>
        <v>20/03/2026</v>
      </c>
      <c r="F14" cm="1">
        <f t="array" ref="F14">_xll.BDP($B14&amp;" Equity","opt_days_expire")</f>
        <v>50</v>
      </c>
      <c r="G14" t="str" cm="1">
        <f t="array" ref="G14">_xll.BDP(B14&amp;" Equity","QUOTED_CURRENCY_REALTIME")</f>
        <v>USD</v>
      </c>
      <c r="H14" s="15">
        <v>200</v>
      </c>
      <c r="I14" s="410">
        <v>9.1999999999999993</v>
      </c>
      <c r="J14" s="14">
        <f>VLOOKUP(B14,Precificação!$B:$O,14,FALSE)</f>
        <v>8.0749999999999993</v>
      </c>
      <c r="K14" s="14">
        <f t="shared" si="19"/>
        <v>8.0749999999999993</v>
      </c>
      <c r="L14" s="74" cm="1">
        <f t="array" ref="L14">_xll.BDP($B14&amp;" Equity","mid")</f>
        <v>9.2200000000000006</v>
      </c>
      <c r="M14" s="19">
        <f t="shared" si="1"/>
        <v>0.11340015989176558</v>
      </c>
      <c r="N14" s="350"/>
      <c r="O14" s="19">
        <f t="shared" si="2"/>
        <v>0.14179566563467505</v>
      </c>
      <c r="P14" s="36" cm="1">
        <f t="array" ref="P14">_xll.BDP($B14&amp;" Equity","bid")</f>
        <v>9.1</v>
      </c>
      <c r="Q14" s="36" cm="1">
        <f t="array" ref="Q14">_xll.BDP($B14&amp;" Equity","ask")</f>
        <v>9.35</v>
      </c>
      <c r="R14" s="40">
        <f t="shared" si="3"/>
        <v>2.7472527472527375E-2</v>
      </c>
      <c r="S14" s="36" cm="1">
        <f t="array" ref="S14">_xll.BDP(G14&amp;" Curncy","PX_LAST")</f>
        <v>1</v>
      </c>
      <c r="T14" s="15" cm="1">
        <f t="array" ref="T14">_xll.BDP(B14&amp;" Equity","OPT_MULTIPLIER")</f>
        <v>100</v>
      </c>
      <c r="U14" s="15">
        <f t="shared" si="4"/>
        <v>184400.00000000003</v>
      </c>
      <c r="V14" s="124">
        <f>U14/'Master P&amp;L'!$AD$7*10000</f>
        <v>0.769563318047633</v>
      </c>
      <c r="W14" s="124">
        <f>(Y14*H14*T14/S14)/'Master P&amp;L'!$AD$7*10000</f>
        <v>0.46115372366737284</v>
      </c>
      <c r="X14" s="413">
        <f t="shared" si="5"/>
        <v>3.6949999999999932</v>
      </c>
      <c r="Y14" s="273">
        <f t="shared" si="6"/>
        <v>5.5250000000000075</v>
      </c>
      <c r="Z14" s="37">
        <f>_xll.BDP(D14&amp;" Equity","LAST_PRICE")</f>
        <v>81.305000000000007</v>
      </c>
      <c r="AA14" s="37" cm="1">
        <f t="array" ref="AA14">_xll.BDP(B14&amp;" Equity","OPT_STRIKE_PX")</f>
        <v>85</v>
      </c>
      <c r="AB14" s="40">
        <f t="shared" si="7"/>
        <v>4.5446159522784413E-2</v>
      </c>
      <c r="AC14" s="324" cm="1">
        <f t="array" ref="AC14">_xll.BDP($D14&amp;" Equity","volatility_10d")</f>
        <v>31.921027017412605</v>
      </c>
      <c r="AD14" s="37" cm="1">
        <f t="array" ref="AD14">_xll.BDP(B14&amp;" Equity","ivol_mid")</f>
        <v>59.776240000000001</v>
      </c>
      <c r="AE14" s="37">
        <f t="shared" si="8"/>
        <v>1.8726289717242699</v>
      </c>
      <c r="AF14" s="38" cm="1">
        <f t="array" ref="AF14">_xll.BDP(B14&amp;" Equity","DELTA_MID_RT")</f>
        <v>-0.52729010581970215</v>
      </c>
      <c r="AG14" s="19">
        <f>AL14/'Master P&amp;L'!$AE$7</f>
        <v>-3.5783293762160111E-4</v>
      </c>
      <c r="AH14" s="19">
        <f>AM14/'Master P&amp;L'!$AE$7</f>
        <v>-6.7862630774254671E-4</v>
      </c>
      <c r="AI14" s="434">
        <f>AO14/'Master P&amp;L'!$AD$7*10000</f>
        <v>-6.0449802245568299E-3</v>
      </c>
      <c r="AJ14" s="350">
        <f t="shared" si="9"/>
        <v>2.7321433306855301E-2</v>
      </c>
      <c r="AK14" s="38">
        <f>AP14/'Master P&amp;L'!$AD$7*10000</f>
        <v>9.5569414226089014E-2</v>
      </c>
      <c r="AL14" s="15">
        <f t="shared" si="10"/>
        <v>-857426.44107341766</v>
      </c>
      <c r="AM14" s="15">
        <f t="shared" si="11"/>
        <v>-1626100.0000000002</v>
      </c>
      <c r="AN14" s="38" cm="1">
        <f t="array" ref="AN14">_xll.BDP($B14&amp;" Equity","theta_mid_rt")</f>
        <v>-7.2423823177814484E-2</v>
      </c>
      <c r="AO14" s="15">
        <f t="shared" si="12"/>
        <v>-1448.4764635562897</v>
      </c>
      <c r="AP14" s="15">
        <f t="shared" si="13"/>
        <v>22900.000000000029</v>
      </c>
      <c r="AQ14" s="36" t="str" cm="1">
        <f t="array" ref="AQ14">_xll.BDP($D14&amp;" Equity","EXPECTED_REPORT_DT")</f>
        <v>05/03/2026</v>
      </c>
      <c r="AR14" s="66" cm="1">
        <f t="array" ref="AR14">_xll.BDP($B14&amp;" Equity","GAMMA_LAST")</f>
        <v>1.7548000000000001E-2</v>
      </c>
      <c r="AS14">
        <f t="shared" si="14"/>
        <v>23200.221416540007</v>
      </c>
      <c r="AT14">
        <f t="shared" si="15"/>
        <v>116001.10708270001</v>
      </c>
      <c r="AU14" t="s">
        <v>151</v>
      </c>
      <c r="AV14" s="277" cm="1">
        <f t="array" ref="AV14">_xll.BDP($D14&amp;" Equity","EST_PE_NXT_YR")*(AA14/Z14)</f>
        <v>24.391799067883717</v>
      </c>
      <c r="AW14"/>
      <c r="AX14" s="15"/>
      <c r="AY14" s="277">
        <v>9.85</v>
      </c>
      <c r="AZ14" s="355"/>
      <c r="BA14" s="15">
        <f t="shared" si="16"/>
        <v>9.85</v>
      </c>
      <c r="BB14" s="414">
        <f t="shared" si="17"/>
        <v>8.0749999999999993</v>
      </c>
      <c r="BC14" s="414">
        <f t="shared" si="18"/>
        <v>-35500.000000000007</v>
      </c>
      <c r="BD14" s="414">
        <f>BC14/'Master P&amp;L'!$AD$7*10000</f>
        <v>-0.14815345873476668</v>
      </c>
    </row>
    <row r="15" spans="1:56">
      <c r="A15" s="335"/>
      <c r="B15" s="73" t="s">
        <v>2098</v>
      </c>
      <c r="C15" s="73" t="str" cm="1">
        <f t="array" ref="C15">_xll.BDP($B15&amp;" Equity","opt_put_call")</f>
        <v>Put</v>
      </c>
      <c r="D15" s="73" t="str" cm="1">
        <f t="array" ref="D15">_xll.BDP(B15&amp;" Equity","OPT_UNDL_TICKER")</f>
        <v>MRVL US</v>
      </c>
      <c r="E15" s="73" t="str" cm="1">
        <f t="array" ref="E15">_xll.BDP($B15&amp;" Equity","mifid_Maturity_date")</f>
        <v>20/03/2026</v>
      </c>
      <c r="F15" s="73" cm="1">
        <f t="array" ref="F15">_xll.BDP($B15&amp;" Equity","opt_days_expire")</f>
        <v>50</v>
      </c>
      <c r="G15" s="73" t="str" cm="1">
        <f t="array" ref="G15">_xll.BDP(B15&amp;" Equity","QUOTED_CURRENCY_REALTIME")</f>
        <v>USD</v>
      </c>
      <c r="H15" s="42">
        <v>-200</v>
      </c>
      <c r="I15" s="409">
        <v>4.5999999999999996</v>
      </c>
      <c r="J15" s="14">
        <f>VLOOKUP(B15,Precificação!$B:$O,14,FALSE)</f>
        <v>3.6749999999999998</v>
      </c>
      <c r="K15" s="14">
        <f t="shared" si="19"/>
        <v>3.6749999999999998</v>
      </c>
      <c r="L15" s="74" cm="1">
        <f t="array" ref="L15">_xll.BDP($B15&amp;" Equity","mid")</f>
        <v>4.25</v>
      </c>
      <c r="M15" s="75">
        <f t="shared" si="1"/>
        <v>5.2272307976139222E-2</v>
      </c>
      <c r="N15" s="352"/>
      <c r="O15" s="75">
        <f t="shared" si="2"/>
        <v>0.15646258503401356</v>
      </c>
      <c r="P15" s="74" cm="1">
        <f t="array" ref="P15">_xll.BDP($B15&amp;" Equity","bid")</f>
        <v>4.0999999999999996</v>
      </c>
      <c r="Q15" s="74" cm="1">
        <f t="array" ref="Q15">_xll.BDP($B15&amp;" Equity","ask")</f>
        <v>4.4000000000000004</v>
      </c>
      <c r="R15" s="76">
        <f t="shared" si="3"/>
        <v>7.317073170731736E-2</v>
      </c>
      <c r="S15" s="36" cm="1">
        <f t="array" ref="S15">_xll.BDP(G15&amp;" Curncy","PX_LAST")</f>
        <v>1</v>
      </c>
      <c r="T15" s="42" cm="1">
        <f t="array" ref="T15">_xll.BDP(B15&amp;" Equity","OPT_MULTIPLIER")</f>
        <v>100</v>
      </c>
      <c r="U15" s="42">
        <f t="shared" si="4"/>
        <v>-85000</v>
      </c>
      <c r="V15" s="113">
        <f>U15/'Master P&amp;L'!$AD$7*10000</f>
        <v>-0.35473363359028631</v>
      </c>
      <c r="W15" s="113">
        <f>(Y15*H15*T15/S15)/'Master P&amp;L'!$AD$7*10000</f>
        <v>-0.35473363359028631</v>
      </c>
      <c r="X15" s="118">
        <f t="shared" si="5"/>
        <v>0</v>
      </c>
      <c r="Y15" s="272">
        <f t="shared" si="6"/>
        <v>4.25</v>
      </c>
      <c r="Z15" s="77">
        <f>_xll.BDP(D15&amp;" Equity","LAST_PRICE")</f>
        <v>81.305000000000007</v>
      </c>
      <c r="AA15" s="77" cm="1">
        <f t="array" ref="AA15">_xll.BDP(B15&amp;" Equity","OPT_STRIKE_PX")</f>
        <v>75</v>
      </c>
      <c r="AB15" s="76">
        <f t="shared" si="7"/>
        <v>-7.754750630342544E-2</v>
      </c>
      <c r="AC15" s="323" cm="1">
        <f t="array" ref="AC15">_xll.BDP($D15&amp;" Equity","volatility_10d")</f>
        <v>31.921027017412605</v>
      </c>
      <c r="AD15" s="77" cm="1">
        <f t="array" ref="AD15">_xll.BDP(B15&amp;" Equity","ivol_mid")</f>
        <v>61.481569999999998</v>
      </c>
      <c r="AE15" s="77">
        <f t="shared" si="8"/>
        <v>1.9260523781538235</v>
      </c>
      <c r="AF15" s="78" cm="1">
        <f t="array" ref="AF15">_xll.BDP(B15&amp;" Equity","DELTA_MID_RT")</f>
        <v>-0.3137819766998291</v>
      </c>
      <c r="AG15" s="75">
        <f>AL15/'Master P&amp;L'!$AE$7</f>
        <v>2.129407042839628E-4</v>
      </c>
      <c r="AH15" s="75">
        <f>AM15/'Master P&amp;L'!$AE$7</f>
        <v>6.7862630774254671E-4</v>
      </c>
      <c r="AI15" s="435">
        <f>AO15/'Master P&amp;L'!$AD$7*10000</f>
        <v>5.4418646938665114E-3</v>
      </c>
      <c r="AJ15" s="350">
        <f t="shared" si="9"/>
        <v>-2.4595538409607359E-2</v>
      </c>
      <c r="AK15" s="78">
        <f>AP15/'Master P&amp;L'!$AD$7*10000</f>
        <v>-4.7993373956332866E-2</v>
      </c>
      <c r="AL15" s="42">
        <f t="shared" si="10"/>
        <v>510240.8723115921</v>
      </c>
      <c r="AM15" s="42">
        <f t="shared" si="11"/>
        <v>1626100.0000000002</v>
      </c>
      <c r="AN15" s="78" cm="1">
        <f t="array" ref="AN15">_xll.BDP($B15&amp;" Equity","theta_mid_rt")</f>
        <v>-6.5198004245758057E-2</v>
      </c>
      <c r="AO15" s="42">
        <f t="shared" si="12"/>
        <v>1303.9600849151611</v>
      </c>
      <c r="AP15" s="42">
        <f t="shared" si="13"/>
        <v>-11500.000000000004</v>
      </c>
      <c r="AQ15" s="74" t="str" cm="1">
        <f t="array" ref="AQ15">_xll.BDP($D15&amp;" Equity","EXPECTED_REPORT_DT")</f>
        <v>05/03/2026</v>
      </c>
      <c r="AR15" s="235" cm="1">
        <f t="array" ref="AR15">_xll.BDP($B15&amp;" Equity","GAMMA_LAST")</f>
        <v>1.4454E-2</v>
      </c>
      <c r="AS15" s="73">
        <f t="shared" si="14"/>
        <v>-19109.642144670001</v>
      </c>
      <c r="AT15" s="73">
        <f t="shared" si="15"/>
        <v>-95548.210723350014</v>
      </c>
      <c r="AU15" s="73" t="s">
        <v>151</v>
      </c>
      <c r="AV15" s="322" cm="1">
        <f t="array" ref="AV15">_xll.BDP($D15&amp;" Equity","EST_PE_NXT_YR")*(AA15/Z15)</f>
        <v>21.522175648132691</v>
      </c>
      <c r="AW15" s="73"/>
      <c r="AX15" s="42"/>
      <c r="AY15" s="322">
        <v>4.63</v>
      </c>
      <c r="AZ15" s="354"/>
      <c r="BA15" s="42">
        <f t="shared" si="16"/>
        <v>4.63</v>
      </c>
      <c r="BB15" s="346">
        <f t="shared" si="17"/>
        <v>3.6749999999999998</v>
      </c>
      <c r="BC15" s="346">
        <f t="shared" si="18"/>
        <v>19100</v>
      </c>
      <c r="BD15" s="346">
        <f>BC15/'Master P&amp;L'!$AD$7*10000</f>
        <v>7.9710734136170219E-2</v>
      </c>
    </row>
    <row r="16" spans="1:56" s="59" customFormat="1">
      <c r="A16" s="356"/>
      <c r="B16" t="s">
        <v>2058</v>
      </c>
      <c r="C16" t="str" cm="1">
        <f t="array" ref="C16">_xll.BDP($B16&amp;" Equity","opt_put_call")</f>
        <v>Put</v>
      </c>
      <c r="D16" t="str" cm="1">
        <f t="array" ref="D16">_xll.BDP(B16&amp;" Equity","OPT_UNDL_TICKER")</f>
        <v>MRVL US</v>
      </c>
      <c r="E16" t="str" cm="1">
        <f t="array" ref="E16">_xll.BDP($B16&amp;" Equity","mifid_Maturity_date")</f>
        <v>20/03/2026</v>
      </c>
      <c r="F16" cm="1">
        <f t="array" ref="F16">_xll.BDP($B16&amp;" Equity","opt_days_expire")</f>
        <v>50</v>
      </c>
      <c r="G16" t="str" cm="1">
        <f t="array" ref="G16">_xll.BDP(B16&amp;" Equity","QUOTED_CURRENCY_REALTIME")</f>
        <v>USD</v>
      </c>
      <c r="H16" s="15">
        <v>150</v>
      </c>
      <c r="I16" s="410">
        <v>6.13</v>
      </c>
      <c r="J16" s="14">
        <f>VLOOKUP(B16,Precificação!$B:$O,14,FALSE)</f>
        <v>5.65</v>
      </c>
      <c r="K16" s="14">
        <f t="shared" si="19"/>
        <v>5.65</v>
      </c>
      <c r="L16" s="74" cm="1">
        <f t="array" ref="L16">_xll.BDP($B16&amp;" Equity","mid")</f>
        <v>6.42</v>
      </c>
      <c r="M16" s="19">
        <f t="shared" si="1"/>
        <v>7.8961933460426778E-2</v>
      </c>
      <c r="N16" s="350"/>
      <c r="O16" s="19">
        <f t="shared" si="2"/>
        <v>0.13628318584070787</v>
      </c>
      <c r="P16" s="36" cm="1">
        <f t="array" ref="P16">_xll.BDP($B16&amp;" Equity","bid")</f>
        <v>6.25</v>
      </c>
      <c r="Q16" s="36" cm="1">
        <f t="array" ref="Q16">_xll.BDP($B16&amp;" Equity","ask")</f>
        <v>6.6</v>
      </c>
      <c r="R16" s="40">
        <f t="shared" si="3"/>
        <v>5.600000000000005E-2</v>
      </c>
      <c r="S16" s="36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 t="shared" si="4"/>
        <v>96300</v>
      </c>
      <c r="V16" s="124">
        <f>U16/'Master P&amp;L'!$AD$7*10000</f>
        <v>0.40189234017346553</v>
      </c>
      <c r="W16" s="124">
        <f>(Y16*H16*T16/S16)/'Master P&amp;L'!$AD$7*10000</f>
        <v>0.40189234017346553</v>
      </c>
      <c r="X16" s="413">
        <f t="shared" si="5"/>
        <v>0</v>
      </c>
      <c r="Y16" s="273">
        <f t="shared" si="6"/>
        <v>6.42</v>
      </c>
      <c r="Z16" s="37">
        <f>_xll.BDP(D16&amp;" Equity","LAST_PRICE")</f>
        <v>81.305000000000007</v>
      </c>
      <c r="AA16" s="37" cm="1">
        <f t="array" ref="AA16">_xll.BDP(B16&amp;" Equity","OPT_STRIKE_PX")</f>
        <v>80</v>
      </c>
      <c r="AB16" s="40">
        <f t="shared" si="7"/>
        <v>-1.6050673390320513E-2</v>
      </c>
      <c r="AC16" s="324" cm="1">
        <f t="array" ref="AC16">_xll.BDP($D16&amp;" Equity","volatility_10d")</f>
        <v>31.921027017412605</v>
      </c>
      <c r="AD16" s="37" cm="1">
        <f t="array" ref="AD16">_xll.BDP(B16&amp;" Equity","ivol_mid")</f>
        <v>60.892620000000001</v>
      </c>
      <c r="AE16" s="37">
        <f t="shared" si="8"/>
        <v>1.9076021572483768</v>
      </c>
      <c r="AF16" s="38" cm="1">
        <f t="array" ref="AF16">_xll.BDP(B16&amp;" Equity","DELTA_MID_RT")</f>
        <v>-0.42019125819206238</v>
      </c>
      <c r="AG16" s="19">
        <f>AL16/'Master P&amp;L'!$AE$7</f>
        <v>-2.1386463156943078E-4</v>
      </c>
      <c r="AH16" s="19">
        <f>AM16/'Master P&amp;L'!$AE$7</f>
        <v>-5.0896973080691006E-4</v>
      </c>
      <c r="AI16" s="434">
        <f>AO16/'Master P&amp;L'!$AD$7*10000</f>
        <v>-4.4439719264290018E-3</v>
      </c>
      <c r="AJ16" s="350">
        <f t="shared" si="9"/>
        <v>2.0085373002914745E-2</v>
      </c>
      <c r="AK16" s="38">
        <f>AP16/'Master P&amp;L'!$AD$7*10000</f>
        <v>4.8202040799621225E-2</v>
      </c>
      <c r="AL16" s="15">
        <f t="shared" si="10"/>
        <v>-512454.75370958447</v>
      </c>
      <c r="AM16" s="15">
        <f t="shared" si="11"/>
        <v>-1219575.0000000002</v>
      </c>
      <c r="AN16" s="38" cm="1">
        <f t="array" ref="AN16">_xll.BDP($B16&amp;" Equity","theta_mid_rt")</f>
        <v>-7.0989906787872314E-2</v>
      </c>
      <c r="AO16" s="15">
        <f t="shared" si="12"/>
        <v>-1064.8486018180847</v>
      </c>
      <c r="AP16" s="15">
        <f t="shared" si="13"/>
        <v>11549.999999999993</v>
      </c>
      <c r="AQ16" s="36" t="str" cm="1">
        <f t="array" ref="AQ16">_xll.BDP($D16&amp;" Equity","EXPECTED_REPORT_DT")</f>
        <v>05/03/2026</v>
      </c>
      <c r="AR16" s="66" cm="1">
        <f t="array" ref="AR16">_xll.BDP($B16&amp;" Equity","GAMMA_LAST")</f>
        <v>1.6684999999999998E-2</v>
      </c>
      <c r="AS16">
        <f t="shared" si="14"/>
        <v>16544.436445818752</v>
      </c>
      <c r="AT16">
        <f t="shared" si="15"/>
        <v>82722.182229093771</v>
      </c>
      <c r="AU16" t="s">
        <v>151</v>
      </c>
      <c r="AV16" s="277" cm="1">
        <f t="array" ref="AV16">_xll.BDP($D16&amp;" Equity","EST_PE_NXT_YR")*(AA16/Z16)</f>
        <v>22.956987358008202</v>
      </c>
      <c r="AW16"/>
      <c r="AX16" s="15"/>
      <c r="AY16" s="277">
        <v>6.95</v>
      </c>
      <c r="AZ16" s="355"/>
      <c r="BA16" s="15">
        <f t="shared" si="16"/>
        <v>6.95</v>
      </c>
      <c r="BB16" s="414">
        <f t="shared" si="17"/>
        <v>5.65</v>
      </c>
      <c r="BC16" s="414">
        <f t="shared" si="18"/>
        <v>-19499.999999999996</v>
      </c>
      <c r="BD16" s="414">
        <f>BC16/'Master P&amp;L'!$AD$7*10000</f>
        <v>-8.1380068882477424E-2</v>
      </c>
    </row>
    <row r="17" spans="1:56">
      <c r="A17" s="335"/>
      <c r="B17" s="73" t="s">
        <v>2278</v>
      </c>
      <c r="C17" s="73" t="str" cm="1">
        <f t="array" ref="C17">_xll.BDP($B17&amp;" Equity","opt_put_call")</f>
        <v>Put</v>
      </c>
      <c r="D17" s="73" t="str" cm="1">
        <f t="array" ref="D17">_xll.BDP(B17&amp;" Equity","OPT_UNDL_TICKER")</f>
        <v>MRVL US</v>
      </c>
      <c r="E17" s="73" t="str" cm="1">
        <f t="array" ref="E17">_xll.BDP($B17&amp;" Equity","mifid_Maturity_date")</f>
        <v>20/03/2026</v>
      </c>
      <c r="F17" s="73" cm="1">
        <f t="array" ref="F17">_xll.BDP($B17&amp;" Equity","opt_days_expire")</f>
        <v>50</v>
      </c>
      <c r="G17" s="73" t="str" cm="1">
        <f t="array" ref="G17">_xll.BDP(B17&amp;" Equity","QUOTED_CURRENCY_REALTIME")</f>
        <v>USD</v>
      </c>
      <c r="H17" s="42">
        <v>-150</v>
      </c>
      <c r="I17" s="409">
        <v>2.52</v>
      </c>
      <c r="J17" s="14">
        <f>VLOOKUP(B17,Precificação!$B:$O,14,FALSE)</f>
        <v>2.2650000000000001</v>
      </c>
      <c r="K17" s="14">
        <f t="shared" si="19"/>
        <v>2.2650000000000001</v>
      </c>
      <c r="L17" s="74" cm="1">
        <f t="array" ref="L17">_xll.BDP($B17&amp;" Equity","mid")</f>
        <v>2.65</v>
      </c>
      <c r="M17" s="75">
        <f t="shared" si="1"/>
        <v>3.2593321443945632E-2</v>
      </c>
      <c r="N17" s="352"/>
      <c r="O17" s="75">
        <f t="shared" si="2"/>
        <v>0.16997792494481234</v>
      </c>
      <c r="P17" s="74" cm="1">
        <f t="array" ref="P17">_xll.BDP($B17&amp;" Equity","bid")</f>
        <v>2.5499999999999998</v>
      </c>
      <c r="Q17" s="74" cm="1">
        <f t="array" ref="Q17">_xll.BDP($B17&amp;" Equity","ask")</f>
        <v>2.76</v>
      </c>
      <c r="R17" s="76">
        <f t="shared" si="3"/>
        <v>8.2352941176470518E-2</v>
      </c>
      <c r="S17" s="36" cm="1">
        <f t="array" ref="S17">_xll.BDP(G17&amp;" Curncy","PX_LAST")</f>
        <v>1</v>
      </c>
      <c r="T17" s="42" cm="1">
        <f t="array" ref="T17">_xll.BDP(B17&amp;" Equity","OPT_MULTIPLIER")</f>
        <v>100</v>
      </c>
      <c r="U17" s="42">
        <f t="shared" si="4"/>
        <v>-39750</v>
      </c>
      <c r="V17" s="113">
        <f>U17/'Master P&amp;L'!$AD$7*10000</f>
        <v>-0.16589014041428096</v>
      </c>
      <c r="W17" s="113">
        <f>(Y17*H17*T17/S17)/'Master P&amp;L'!$AD$7*10000</f>
        <v>-0.16589014041428096</v>
      </c>
      <c r="X17" s="118">
        <f t="shared" si="5"/>
        <v>0</v>
      </c>
      <c r="Y17" s="272">
        <f t="shared" si="6"/>
        <v>2.65</v>
      </c>
      <c r="Z17" s="77">
        <f>_xll.BDP(D17&amp;" Equity","LAST_PRICE")</f>
        <v>81.305000000000007</v>
      </c>
      <c r="AA17" s="77" cm="1">
        <f t="array" ref="AA17">_xll.BDP(B17&amp;" Equity","OPT_STRIKE_PX")</f>
        <v>70</v>
      </c>
      <c r="AB17" s="76">
        <f t="shared" si="7"/>
        <v>-0.13904433921653037</v>
      </c>
      <c r="AC17" s="323" cm="1">
        <f t="array" ref="AC17">_xll.BDP($D17&amp;" Equity","volatility_10d")</f>
        <v>31.921027017412605</v>
      </c>
      <c r="AD17" s="77" cm="1">
        <f t="array" ref="AD17">_xll.BDP(B17&amp;" Equity","ivol_mid")</f>
        <v>62.578279999999999</v>
      </c>
      <c r="AE17" s="77">
        <f t="shared" si="8"/>
        <v>1.9604093554340893</v>
      </c>
      <c r="AF17" s="78" cm="1">
        <f t="array" ref="AF17">_xll.BDP(B17&amp;" Equity","DELTA_MID_RT")</f>
        <v>-0.21768683195114136</v>
      </c>
      <c r="AG17" s="75">
        <f>AL17/'Master P&amp;L'!$AE$7</f>
        <v>1.1079600825838149E-4</v>
      </c>
      <c r="AH17" s="75">
        <f>AM17/'Master P&amp;L'!$AE$7</f>
        <v>5.0896973080691006E-4</v>
      </c>
      <c r="AI17" s="435">
        <f>AO17/'Master P&amp;L'!$AD$7*10000</f>
        <v>3.4268724516977513E-3</v>
      </c>
      <c r="AJ17" s="350">
        <f t="shared" si="9"/>
        <v>-1.5488399244022974E-2</v>
      </c>
      <c r="AK17" s="78">
        <f>AP17/'Master P&amp;L'!$AD$7*10000</f>
        <v>-2.4101020399810612E-2</v>
      </c>
      <c r="AL17" s="42">
        <f t="shared" si="10"/>
        <v>265485.41807681328</v>
      </c>
      <c r="AM17" s="42">
        <f t="shared" si="11"/>
        <v>1219575.0000000002</v>
      </c>
      <c r="AN17" s="78" cm="1">
        <f t="array" ref="AN17">_xll.BDP($B17&amp;" Equity","theta_mid_rt")</f>
        <v>-5.4742325097322464E-2</v>
      </c>
      <c r="AO17" s="42">
        <f t="shared" si="12"/>
        <v>821.13487645983696</v>
      </c>
      <c r="AP17" s="42">
        <f t="shared" si="13"/>
        <v>-5774.9999999999964</v>
      </c>
      <c r="AQ17" s="74" t="str" cm="1">
        <f t="array" ref="AQ17">_xll.BDP($D17&amp;" Equity","EXPECTED_REPORT_DT")</f>
        <v>05/03/2026</v>
      </c>
      <c r="AR17" s="235" cm="1">
        <f t="array" ref="AR17">_xll.BDP($B17&amp;" Equity","GAMMA_LAST")</f>
        <v>1.1521E-2</v>
      </c>
      <c r="AS17" s="73">
        <f t="shared" si="14"/>
        <v>-11423.940802653753</v>
      </c>
      <c r="AT17" s="73">
        <f t="shared" si="15"/>
        <v>-57119.704013268754</v>
      </c>
      <c r="AU17" s="73" t="s">
        <v>151</v>
      </c>
      <c r="AV17" s="322" cm="1">
        <f t="array" ref="AV17">_xll.BDP($D17&amp;" Equity","EST_PE_NXT_YR")*(AA17/Z17)</f>
        <v>20.08736393825718</v>
      </c>
      <c r="AW17" s="73"/>
      <c r="AX17" s="42"/>
      <c r="AY17" s="322">
        <v>2.89</v>
      </c>
      <c r="AZ17" s="354"/>
      <c r="BA17" s="42">
        <f t="shared" si="16"/>
        <v>2.89</v>
      </c>
      <c r="BB17" s="346">
        <f t="shared" si="17"/>
        <v>2.2650000000000001</v>
      </c>
      <c r="BC17" s="346">
        <f t="shared" si="18"/>
        <v>9375</v>
      </c>
      <c r="BD17" s="346">
        <f>BC17/'Master P&amp;L'!$AD$7*10000</f>
        <v>3.9125033116575697E-2</v>
      </c>
    </row>
    <row r="18" spans="1:56" s="497" customFormat="1">
      <c r="A18" s="496"/>
      <c r="B18" t="s">
        <v>2371</v>
      </c>
      <c r="C18" s="497" t="str" cm="1">
        <f t="array" ref="C18">_xll.BDP($B18&amp;" Equity","opt_put_call")</f>
        <v>Call</v>
      </c>
      <c r="D18" s="497" t="str" cm="1">
        <f t="array" ref="D18">_xll.BDP(B18&amp;" Equity","OPT_UNDL_TICKER")</f>
        <v>MSFT US</v>
      </c>
      <c r="E18" s="497" t="str" cm="1">
        <f t="array" ref="E18">_xll.BDP($B18&amp;" Equity","mifid_Maturity_date")</f>
        <v>17/07/2026</v>
      </c>
      <c r="F18" s="497" cm="1">
        <f t="array" ref="F18">_xll.BDP($B18&amp;" Equity","opt_days_expire")</f>
        <v>169</v>
      </c>
      <c r="G18" s="497" t="str" cm="1">
        <f t="array" ref="G18">_xll.BDP(B18&amp;" Equity","QUOTED_CURRENCY_REALTIME")</f>
        <v>USD</v>
      </c>
      <c r="H18" s="498">
        <v>175</v>
      </c>
      <c r="I18" s="499">
        <v>30</v>
      </c>
      <c r="J18" s="14">
        <f>VLOOKUP(B18,Precificação!$B:$O,14,FALSE)</f>
        <v>31.9</v>
      </c>
      <c r="K18" s="14">
        <f t="shared" si="19"/>
        <v>31.9</v>
      </c>
      <c r="L18" s="500">
        <v>10.98</v>
      </c>
      <c r="M18" s="501">
        <f t="shared" ref="M18" si="68">L18/Z18</f>
        <v>2.5396913511713113E-2</v>
      </c>
      <c r="N18" s="502"/>
      <c r="O18" s="501">
        <f t="shared" ref="O18" si="69">L18/K18-1</f>
        <v>-0.65579937304075231</v>
      </c>
      <c r="P18" s="500" cm="1">
        <f t="array" ref="P18">_xll.BDP($B18&amp;" Equity","bid")</f>
        <v>12.7</v>
      </c>
      <c r="Q18" s="500" cm="1">
        <f t="array" ref="Q18">_xll.BDP($B18&amp;" Equity","ask")</f>
        <v>12.9</v>
      </c>
      <c r="R18" s="503">
        <f t="shared" ref="R18" si="70">(Q18/P18-1)</f>
        <v>1.5748031496063186E-2</v>
      </c>
      <c r="S18" s="500" cm="1">
        <f t="array" ref="S18">_xll.BDP(G18&amp;" Curncy","PX_LAST")</f>
        <v>1</v>
      </c>
      <c r="T18" s="498" cm="1">
        <f t="array" ref="T18">_xll.BDP(B18&amp;" Equity","OPT_MULTIPLIER")</f>
        <v>100</v>
      </c>
      <c r="U18" s="498">
        <f t="shared" ref="U18" si="71">(L18/S18)*H18*T18</f>
        <v>192150</v>
      </c>
      <c r="V18" s="504">
        <f>U18/'Master P&amp;L'!$AD$7*10000</f>
        <v>0.80190667875733546</v>
      </c>
      <c r="W18" s="504">
        <f>(Y18*H18*T18/S18)/'Master P&amp;L'!$AD$7*10000</f>
        <v>0.80190667875733546</v>
      </c>
      <c r="X18" s="505">
        <f t="shared" ref="X18" si="72">IF(C18="Put",IF(Z18&lt;AA18,AA18-Z18,0),IF(Z18&gt;AA18,Z18-AA18,0))</f>
        <v>0</v>
      </c>
      <c r="Y18" s="506">
        <f t="shared" ref="Y18" si="73">L18-X18</f>
        <v>10.98</v>
      </c>
      <c r="Z18" s="507">
        <f>_xll.BDP(D18&amp;" Equity","LAST_PRICE")</f>
        <v>432.33600000000001</v>
      </c>
      <c r="AA18" s="507" cm="1">
        <f t="array" ref="AA18">_xll.BDP(B18&amp;" Equity","OPT_STRIKE_PX")</f>
        <v>500</v>
      </c>
      <c r="AB18" s="503">
        <f t="shared" ref="AB18" si="74">AA18/Z18-1</f>
        <v>0.15650790126198144</v>
      </c>
      <c r="AC18" s="387" cm="1">
        <f t="array" ref="AC18">_xll.BDP($D18&amp;" Equity","volatility_10d")</f>
        <v>27.685510311470729</v>
      </c>
      <c r="AD18" s="507" cm="1">
        <f t="array" ref="AD18">_xll.BDP(B18&amp;" Equity","ivol_mid")</f>
        <v>27.999839999999999</v>
      </c>
      <c r="AE18" s="507">
        <f t="shared" ref="AE18" si="75">AD18/AC18</f>
        <v>1.0113535811691012</v>
      </c>
      <c r="AF18" s="508"/>
      <c r="AG18" s="501"/>
      <c r="AH18" s="501"/>
      <c r="AI18" s="509"/>
      <c r="AJ18" s="502">
        <f t="shared" ref="AJ18" si="76">(252*AI18)/$AI$1</f>
        <v>0</v>
      </c>
      <c r="AK18" s="508">
        <f>AP18/'Master P&amp;L'!$AD$7*10000</f>
        <v>-1.5278586265576921</v>
      </c>
      <c r="AL18" s="498">
        <f t="shared" ref="AL18" si="77">Z18*AF18*H18*T18/S18</f>
        <v>0</v>
      </c>
      <c r="AM18" s="498">
        <f t="shared" ref="AM18" si="78">IF(C18="Put",-Z18*H18*T18/S18,Z18*H18*T18/S18)</f>
        <v>7565880</v>
      </c>
      <c r="AN18" s="508" cm="1">
        <f t="array" ref="AN18">_xll.BDP($B18&amp;" Equity","theta_mid_rt")</f>
        <v>-8.1732481718063354E-2</v>
      </c>
      <c r="AO18" s="498">
        <f t="shared" ref="AO18" si="79">AN18*H18*T18/S18</f>
        <v>-1430.3184300661087</v>
      </c>
      <c r="AP18" s="498">
        <f t="shared" ref="AP18" si="80">(L18-K18)*T18/S18*H18</f>
        <v>-366100</v>
      </c>
      <c r="AQ18" s="500" t="str" cm="1">
        <f t="array" ref="AQ18">_xll.BDP($D18&amp;" Equity","EXPECTED_REPORT_DT")</f>
        <v>30/04/2026</v>
      </c>
      <c r="AR18" s="510" cm="1">
        <f t="array" ref="AR18">_xll.BDP($B18&amp;" Equity","GAMMA_LAST")</f>
        <v>2.0889000000000001E-2</v>
      </c>
      <c r="AS18" s="497">
        <f t="shared" si="14"/>
        <v>683279.66954459529</v>
      </c>
      <c r="AT18" s="497">
        <f t="shared" si="15"/>
        <v>3416398.347722976</v>
      </c>
      <c r="AU18" s="497" t="s">
        <v>151</v>
      </c>
      <c r="AV18" s="511" cm="1">
        <f t="array" ref="AV18">_xll.BDP($D18&amp;" Equity","EST_PE_NXT_YR")*(AA18/Z18)</f>
        <v>29.57464694089456</v>
      </c>
      <c r="AX18" s="498"/>
      <c r="AY18" s="511">
        <v>10.98</v>
      </c>
      <c r="AZ18" s="512"/>
      <c r="BA18" s="498">
        <f t="shared" ref="BA18" si="81">+AY18</f>
        <v>10.98</v>
      </c>
      <c r="BB18" s="513">
        <f t="shared" ref="BB18" si="82">+J18</f>
        <v>31.9</v>
      </c>
      <c r="BC18" s="513">
        <f t="shared" ref="BC18" si="83">(BB18-BA18)*H18*100</f>
        <v>366099.99999999994</v>
      </c>
      <c r="BD18" s="513">
        <f>BC18/'Master P&amp;L'!$AD$7*10000</f>
        <v>1.5278586265576917</v>
      </c>
    </row>
    <row r="19" spans="1:56" s="132" customFormat="1">
      <c r="A19" s="451"/>
      <c r="B19" s="132" t="s">
        <v>2341</v>
      </c>
      <c r="C19" s="132" t="str" cm="1">
        <f t="array" ref="C19">_xll.BDP($B19&amp;" Equity","opt_put_call")</f>
        <v>Call</v>
      </c>
      <c r="D19" s="132" t="str" cm="1">
        <f t="array" ref="D19">_xll.BDP(B19&amp;" Equity","OPT_UNDL_TICKER")</f>
        <v>INTC US</v>
      </c>
      <c r="E19" s="132" t="str" cm="1">
        <f t="array" ref="E19">_xll.BDP($B19&amp;" Equity","mifid_Maturity_date")</f>
        <v>17/07/2026</v>
      </c>
      <c r="F19" s="132" cm="1">
        <f t="array" ref="F19">_xll.BDP($B19&amp;" Equity","opt_days_expire")</f>
        <v>169</v>
      </c>
      <c r="G19" s="132" t="str" cm="1">
        <f t="array" ref="G19">_xll.BDP(B19&amp;" Equity","QUOTED_CURRENCY_REALTIME")</f>
        <v>USD</v>
      </c>
      <c r="H19" s="348">
        <v>-150</v>
      </c>
      <c r="I19" s="452">
        <v>3.7</v>
      </c>
      <c r="J19" s="14">
        <f>VLOOKUP(B19,Precificação!$B:$O,14,FALSE)</f>
        <v>4.6749999999999998</v>
      </c>
      <c r="K19" s="14">
        <f t="shared" si="19"/>
        <v>4.6749999999999998</v>
      </c>
      <c r="L19" s="197" cm="1">
        <f t="array" ref="L19">_xll.BDP($B19&amp;" Equity","mid")</f>
        <v>4.63</v>
      </c>
      <c r="M19" s="453">
        <f t="shared" ref="M19:M22" si="84">L19/Z19</f>
        <v>9.516957862281604E-2</v>
      </c>
      <c r="N19" s="454"/>
      <c r="O19" s="453">
        <f t="shared" ref="O19:O22" si="85">L19/K19-1</f>
        <v>-9.6256684491978772E-3</v>
      </c>
      <c r="P19" s="197" cm="1">
        <f t="array" ref="P19">_xll.BDP($B19&amp;" Equity","bid")</f>
        <v>4.4000000000000004</v>
      </c>
      <c r="Q19" s="197" cm="1">
        <f t="array" ref="Q19">_xll.BDP($B19&amp;" Equity","ask")</f>
        <v>4.8499999999999996</v>
      </c>
      <c r="R19" s="455">
        <f t="shared" ref="R19:R22" si="86">(Q19/P19-1)</f>
        <v>0.10227272727272707</v>
      </c>
      <c r="S19" s="197" cm="1">
        <f t="array" ref="S19">_xll.BDP(G19&amp;" Curncy","PX_LAST")</f>
        <v>1</v>
      </c>
      <c r="T19" s="348" cm="1">
        <f t="array" ref="T19">_xll.BDP(B19&amp;" Equity","OPT_MULTIPLIER")</f>
        <v>100</v>
      </c>
      <c r="U19" s="348">
        <f t="shared" ref="U19:U22" si="87">(L19/S19)*H19*T19</f>
        <v>-69450</v>
      </c>
      <c r="V19" s="456">
        <f>U19/'Master P&amp;L'!$AD$7*10000</f>
        <v>-0.28983824532759278</v>
      </c>
      <c r="W19" s="456">
        <f>(Y19*H19*T19/S19)/'Master P&amp;L'!$AD$7*10000</f>
        <v>-0.28983824532759278</v>
      </c>
      <c r="X19" s="457">
        <f t="shared" ref="X19:X22" si="88">IF(C19="Put",IF(Z19&lt;AA19,AA19-Z19,0),IF(Z19&gt;AA19,Z19-AA19,0))</f>
        <v>0</v>
      </c>
      <c r="Y19" s="458">
        <f t="shared" ref="Y19:Y22" si="89">L19-X19</f>
        <v>4.63</v>
      </c>
      <c r="Z19" s="459">
        <f>_xll.BDP(D19&amp;" Equity","LAST_PRICE")</f>
        <v>48.65</v>
      </c>
      <c r="AA19" s="459" cm="1">
        <f t="array" ref="AA19">_xll.BDP(B19&amp;" Equity","OPT_STRIKE_PX")</f>
        <v>60</v>
      </c>
      <c r="AB19" s="455">
        <f t="shared" ref="AB19:AB22" si="90">AA19/Z19-1</f>
        <v>0.2332990750256938</v>
      </c>
      <c r="AC19" s="460" cm="1">
        <f t="array" ref="AC19">_xll.BDP($D19&amp;" Equity","volatility_10d")</f>
        <v>144.99145357614282</v>
      </c>
      <c r="AD19" s="459" cm="1">
        <f t="array" ref="AD19">_xll.BDP(B19&amp;" Equity","ivol_mid")</f>
        <v>61.258499999999998</v>
      </c>
      <c r="AE19" s="459">
        <f t="shared" ref="AE19:AE22" si="91">AD19/AC19</f>
        <v>0.42249731614580899</v>
      </c>
      <c r="AF19" s="461" cm="1">
        <f t="array" ref="AF19">_xll.BDP(B19&amp;" Equity","DELTA_MID_RT")</f>
        <v>0.3999534547328949</v>
      </c>
      <c r="AG19" s="453">
        <f>AL19/'Master P&amp;L'!$AE$7</f>
        <v>-1.2180552778522009E-4</v>
      </c>
      <c r="AH19" s="453">
        <f>AM19/'Master P&amp;L'!$AE$7</f>
        <v>-3.0454925777942523E-4</v>
      </c>
      <c r="AI19" s="462">
        <f>AO19/'Master P&amp;L'!$AD$7*10000</f>
        <v>1.4342242794947941E-3</v>
      </c>
      <c r="AJ19" s="454">
        <f t="shared" ref="AJ19:AJ22" si="92">(252*AI19)/$AI$1</f>
        <v>-6.4822483355869622E-3</v>
      </c>
      <c r="AK19" s="461">
        <f>AP19/'Master P&amp;L'!$AD$7*10000</f>
        <v>2.8170023843934462E-3</v>
      </c>
      <c r="AL19" s="348">
        <f t="shared" ref="AL19:AL22" si="93">Z19*AF19*H19*T19/S19</f>
        <v>-291866.03359133005</v>
      </c>
      <c r="AM19" s="348">
        <f t="shared" ref="AM19:AM22" si="94">IF(C19="Put",-Z19*H19*T19/S19,Z19*H19*T19/S19)</f>
        <v>-729750</v>
      </c>
      <c r="AN19" s="461" cm="1">
        <f t="array" ref="AN19">_xll.BDP($B19&amp;" Equity","theta_mid_rt")</f>
        <v>-2.2910911589860916E-2</v>
      </c>
      <c r="AO19" s="348">
        <f t="shared" ref="AO19:AO22" si="95">AN19*H19*T19/S19</f>
        <v>343.66367384791374</v>
      </c>
      <c r="AP19" s="348">
        <f t="shared" ref="AP19:AP22" si="96">(L19-K19)*T19/S19*H19</f>
        <v>674.99999999999898</v>
      </c>
      <c r="AQ19" s="197" t="str" cm="1">
        <f t="array" ref="AQ19">_xll.BDP($D19&amp;" Equity","EXPECTED_REPORT_DT")</f>
        <v>24/04/2026</v>
      </c>
      <c r="AR19" s="463" cm="1">
        <f t="array" ref="AR19">_xll.BDP($B19&amp;" Equity","GAMMA_LAST")</f>
        <v>9.2540000000000001E-3</v>
      </c>
      <c r="AS19" s="132">
        <f t="shared" si="14"/>
        <v>-3285.3863122499993</v>
      </c>
      <c r="AT19" s="132">
        <f t="shared" si="15"/>
        <v>-16426.93156125</v>
      </c>
      <c r="AU19" s="132" t="s">
        <v>151</v>
      </c>
      <c r="AV19" s="464" cm="1">
        <f t="array" ref="AV19">_xll.BDP($D19&amp;" Equity","EST_PE_NXT_YR")*(AA19/Z19)</f>
        <v>60.523469697940989</v>
      </c>
      <c r="AX19" s="348"/>
      <c r="AY19" s="464">
        <v>4.42</v>
      </c>
      <c r="AZ19" s="465"/>
      <c r="BA19" s="348">
        <f t="shared" ref="BA19:BA22" si="97">+AY19</f>
        <v>4.42</v>
      </c>
      <c r="BB19" s="466">
        <f t="shared" ref="BB19:BB22" si="98">+J19</f>
        <v>4.6749999999999998</v>
      </c>
      <c r="BC19" s="466">
        <f t="shared" ref="BC19:BC22" si="99">(BB19-BA19)*H19*100</f>
        <v>-3824.9999999999986</v>
      </c>
      <c r="BD19" s="466">
        <f>BC19/'Master P&amp;L'!$AD$7*10000</f>
        <v>-1.596301351156288E-2</v>
      </c>
    </row>
    <row r="20" spans="1:56" s="132" customFormat="1">
      <c r="A20" s="451"/>
      <c r="B20" s="132" t="s">
        <v>2340</v>
      </c>
      <c r="C20" s="132" t="str" cm="1">
        <f t="array" ref="C20">_xll.BDP($B20&amp;" Equity","opt_put_call")</f>
        <v>Call</v>
      </c>
      <c r="D20" s="132" t="str" cm="1">
        <f t="array" ref="D20">_xll.BDP(B20&amp;" Equity","OPT_UNDL_TICKER")</f>
        <v>INTC US</v>
      </c>
      <c r="E20" s="132" t="str" cm="1">
        <f t="array" ref="E20">_xll.BDP($B20&amp;" Equity","mifid_Maturity_date")</f>
        <v>17/07/2026</v>
      </c>
      <c r="F20" s="132" cm="1">
        <f t="array" ref="F20">_xll.BDP($B20&amp;" Equity","opt_days_expire")</f>
        <v>169</v>
      </c>
      <c r="G20" s="132" t="str" cm="1">
        <f t="array" ref="G20">_xll.BDP(B20&amp;" Equity","QUOTED_CURRENCY_REALTIME")</f>
        <v>USD</v>
      </c>
      <c r="H20" s="348">
        <v>250</v>
      </c>
      <c r="I20" s="452">
        <v>6.6</v>
      </c>
      <c r="J20" s="14">
        <f>VLOOKUP(B20,Precificação!$B:$O,14,FALSE)</f>
        <v>7.625</v>
      </c>
      <c r="K20" s="14">
        <f t="shared" si="19"/>
        <v>7.625</v>
      </c>
      <c r="L20" s="197" cm="1">
        <f t="array" ref="L20">_xll.BDP($B20&amp;" Equity","mid")</f>
        <v>7.65</v>
      </c>
      <c r="M20" s="453">
        <f t="shared" si="84"/>
        <v>0.15724563206577596</v>
      </c>
      <c r="N20" s="454"/>
      <c r="O20" s="453">
        <f t="shared" si="85"/>
        <v>3.2786885245901232E-3</v>
      </c>
      <c r="P20" s="197" cm="1">
        <f t="array" ref="P20">_xll.BDP($B20&amp;" Equity","bid")</f>
        <v>7.1</v>
      </c>
      <c r="Q20" s="197" cm="1">
        <f t="array" ref="Q20">_xll.BDP($B20&amp;" Equity","ask")</f>
        <v>8.1999999999999993</v>
      </c>
      <c r="R20" s="455">
        <f t="shared" si="86"/>
        <v>0.15492957746478875</v>
      </c>
      <c r="S20" s="197" cm="1">
        <f t="array" ref="S20">_xll.BDP(G20&amp;" Curncy","PX_LAST")</f>
        <v>1</v>
      </c>
      <c r="T20" s="348" cm="1">
        <f t="array" ref="T20">_xll.BDP(B20&amp;" Equity","OPT_MULTIPLIER")</f>
        <v>100</v>
      </c>
      <c r="U20" s="348">
        <f t="shared" si="87"/>
        <v>191250</v>
      </c>
      <c r="V20" s="456">
        <f>U20/'Master P&amp;L'!$AD$7*10000</f>
        <v>0.79815067557814423</v>
      </c>
      <c r="W20" s="456">
        <f>(Y20*H20*T20/S20)/'Master P&amp;L'!$AD$7*10000</f>
        <v>0.79815067557814423</v>
      </c>
      <c r="X20" s="457">
        <f t="shared" si="88"/>
        <v>0</v>
      </c>
      <c r="Y20" s="458">
        <f t="shared" si="89"/>
        <v>7.65</v>
      </c>
      <c r="Z20" s="459">
        <f>_xll.BDP(D20&amp;" Equity","LAST_PRICE")</f>
        <v>48.65</v>
      </c>
      <c r="AA20" s="459" cm="1">
        <f t="array" ref="AA20">_xll.BDP(B20&amp;" Equity","OPT_STRIKE_PX")</f>
        <v>50</v>
      </c>
      <c r="AB20" s="455">
        <f t="shared" si="90"/>
        <v>2.7749229188078095E-2</v>
      </c>
      <c r="AC20" s="460" cm="1">
        <f t="array" ref="AC20">_xll.BDP($D20&amp;" Equity","volatility_10d")</f>
        <v>144.99145357614282</v>
      </c>
      <c r="AD20" s="459" cm="1">
        <f t="array" ref="AD20">_xll.BDP(B20&amp;" Equity","ivol_mid")</f>
        <v>59.176430000000003</v>
      </c>
      <c r="AE20" s="459">
        <f t="shared" si="91"/>
        <v>0.40813736630982372</v>
      </c>
      <c r="AF20" s="461" cm="1">
        <f t="array" ref="AF20">_xll.BDP(B20&amp;" Equity","DELTA_MID_RT")</f>
        <v>0.57073253393173218</v>
      </c>
      <c r="AG20" s="453">
        <f>AL20/'Master P&amp;L'!$AE$7</f>
        <v>2.8969361599913277E-4</v>
      </c>
      <c r="AH20" s="453">
        <f>AM20/'Master P&amp;L'!$AE$7</f>
        <v>5.07582096299042E-4</v>
      </c>
      <c r="AI20" s="462">
        <f>AO20/'Master P&amp;L'!$AD$7*10000</f>
        <v>-2.3506814195545641E-3</v>
      </c>
      <c r="AJ20" s="454">
        <f t="shared" si="92"/>
        <v>1.0624349996898852E-2</v>
      </c>
      <c r="AK20" s="461">
        <f>AP20/'Master P&amp;L'!$AD$7*10000</f>
        <v>2.6083355411050833E-3</v>
      </c>
      <c r="AL20" s="348">
        <f t="shared" si="93"/>
        <v>694153.44439446926</v>
      </c>
      <c r="AM20" s="348">
        <f t="shared" si="94"/>
        <v>1216250</v>
      </c>
      <c r="AN20" s="461" cm="1">
        <f t="array" ref="AN20">_xll.BDP($B20&amp;" Equity","theta_mid_rt")</f>
        <v>-2.253047376871109E-2</v>
      </c>
      <c r="AO20" s="348">
        <f t="shared" si="95"/>
        <v>-563.26184421777725</v>
      </c>
      <c r="AP20" s="348">
        <f t="shared" si="96"/>
        <v>625.00000000000887</v>
      </c>
      <c r="AQ20" s="197" t="str" cm="1">
        <f t="array" ref="AQ20">_xll.BDP($D20&amp;" Equity","EXPECTED_REPORT_DT")</f>
        <v>24/04/2026</v>
      </c>
      <c r="AR20" s="463" cm="1">
        <f t="array" ref="AR20">_xll.BDP($B20&amp;" Equity","GAMMA_LAST")</f>
        <v>9.7730000000000004E-3</v>
      </c>
      <c r="AS20" s="132">
        <f t="shared" si="14"/>
        <v>5782.7390731250016</v>
      </c>
      <c r="AT20" s="132">
        <f t="shared" si="15"/>
        <v>28913.695365625004</v>
      </c>
      <c r="AU20" s="132" t="s">
        <v>151</v>
      </c>
      <c r="AV20" s="464" cm="1">
        <f t="array" ref="AV20">_xll.BDP($D20&amp;" Equity","EST_PE_NXT_YR")*(AA20/Z20)</f>
        <v>50.436224748284154</v>
      </c>
      <c r="AX20" s="348"/>
      <c r="AY20" s="464">
        <v>7.28</v>
      </c>
      <c r="AZ20" s="465"/>
      <c r="BA20" s="348">
        <f t="shared" si="97"/>
        <v>7.28</v>
      </c>
      <c r="BB20" s="466">
        <f t="shared" si="98"/>
        <v>7.625</v>
      </c>
      <c r="BC20" s="466">
        <f t="shared" si="99"/>
        <v>8624.9999999999945</v>
      </c>
      <c r="BD20" s="466">
        <f>BC20/'Master P&amp;L'!$AD$7*10000</f>
        <v>3.5995030467249618E-2</v>
      </c>
    </row>
    <row r="21" spans="1:56" s="132" customFormat="1">
      <c r="A21" s="451"/>
      <c r="B21" s="132" t="s">
        <v>2339</v>
      </c>
      <c r="C21" s="132" t="str" cm="1">
        <f t="array" ref="C21">_xll.BDP($B21&amp;" Equity","opt_put_call")</f>
        <v>Put</v>
      </c>
      <c r="D21" s="132" t="str" cm="1">
        <f t="array" ref="D21">_xll.BDP(B21&amp;" Equity","OPT_UNDL_TICKER")</f>
        <v>INTC US</v>
      </c>
      <c r="E21" s="132" t="str" cm="1">
        <f t="array" ref="E21">_xll.BDP($B21&amp;" Equity","mifid_Maturity_date")</f>
        <v>17/07/2026</v>
      </c>
      <c r="F21" s="132" cm="1">
        <f t="array" ref="F21">_xll.BDP($B21&amp;" Equity","opt_days_expire")</f>
        <v>169</v>
      </c>
      <c r="G21" s="132" t="str" cm="1">
        <f t="array" ref="G21">_xll.BDP(B21&amp;" Equity","QUOTED_CURRENCY_REALTIME")</f>
        <v>USD</v>
      </c>
      <c r="H21" s="348">
        <v>-150</v>
      </c>
      <c r="I21" s="452">
        <v>3.8</v>
      </c>
      <c r="J21" s="14">
        <f>VLOOKUP(B21,Precificação!$B:$O,14,FALSE)</f>
        <v>3.15</v>
      </c>
      <c r="K21" s="14">
        <f t="shared" si="19"/>
        <v>3.15</v>
      </c>
      <c r="L21" s="197" cm="1">
        <f t="array" ref="L21">_xll.BDP($B21&amp;" Equity","mid")</f>
        <v>3.15</v>
      </c>
      <c r="M21" s="453">
        <f t="shared" si="84"/>
        <v>6.4748201438848921E-2</v>
      </c>
      <c r="N21" s="454"/>
      <c r="O21" s="453">
        <f t="shared" si="85"/>
        <v>0</v>
      </c>
      <c r="P21" s="197" cm="1">
        <f t="array" ref="P21">_xll.BDP($B21&amp;" Equity","bid")</f>
        <v>2.99</v>
      </c>
      <c r="Q21" s="197" cm="1">
        <f t="array" ref="Q21">_xll.BDP($B21&amp;" Equity","ask")</f>
        <v>3.3</v>
      </c>
      <c r="R21" s="455">
        <f t="shared" si="86"/>
        <v>0.10367892976588622</v>
      </c>
      <c r="S21" s="197" cm="1">
        <f t="array" ref="S21">_xll.BDP(G21&amp;" Curncy","PX_LAST")</f>
        <v>1</v>
      </c>
      <c r="T21" s="348" cm="1">
        <f t="array" ref="T21">_xll.BDP(B21&amp;" Equity","OPT_MULTIPLIER")</f>
        <v>100</v>
      </c>
      <c r="U21" s="348">
        <f t="shared" si="87"/>
        <v>-47250</v>
      </c>
      <c r="V21" s="456">
        <f>U21/'Master P&amp;L'!$AD$7*10000</f>
        <v>-0.19719016690754151</v>
      </c>
      <c r="W21" s="456">
        <f>(Y21*H21*T21/S21)/'Master P&amp;L'!$AD$7*10000</f>
        <v>-0.19719016690754151</v>
      </c>
      <c r="X21" s="457">
        <f t="shared" si="88"/>
        <v>0</v>
      </c>
      <c r="Y21" s="458">
        <f t="shared" si="89"/>
        <v>3.15</v>
      </c>
      <c r="Z21" s="459">
        <f>_xll.BDP(D21&amp;" Equity","LAST_PRICE")</f>
        <v>48.65</v>
      </c>
      <c r="AA21" s="459" cm="1">
        <f t="array" ref="AA21">_xll.BDP(B21&amp;" Equity","OPT_STRIKE_PX")</f>
        <v>40</v>
      </c>
      <c r="AB21" s="455">
        <f t="shared" si="90"/>
        <v>-0.1778006166495375</v>
      </c>
      <c r="AC21" s="460" cm="1">
        <f t="array" ref="AC21">_xll.BDP($D21&amp;" Equity","volatility_10d")</f>
        <v>144.99145357614282</v>
      </c>
      <c r="AD21" s="459" cm="1">
        <f t="array" ref="AD21">_xll.BDP(B21&amp;" Equity","ivol_mid")</f>
        <v>57.758200000000002</v>
      </c>
      <c r="AE21" s="459">
        <f t="shared" si="91"/>
        <v>0.39835589322972104</v>
      </c>
      <c r="AF21" s="461" cm="1">
        <f t="array" ref="AF21">_xll.BDP(B21&amp;" Equity","DELTA_MID_RT")</f>
        <v>-0.23209832608699799</v>
      </c>
      <c r="AG21" s="453">
        <f>AL21/'Master P&amp;L'!$AE$7</f>
        <v>7.0685372941642241E-5</v>
      </c>
      <c r="AH21" s="453">
        <f>AM21/'Master P&amp;L'!$AE$7</f>
        <v>3.0454925777942523E-4</v>
      </c>
      <c r="AI21" s="462">
        <f>AO21/'Master P&amp;L'!$AD$7*10000</f>
        <v>1.0741834620646776E-3</v>
      </c>
      <c r="AJ21" s="454">
        <f t="shared" si="92"/>
        <v>-4.8549756538332767E-3</v>
      </c>
      <c r="AK21" s="461">
        <f>AP21/'Master P&amp;L'!$AD$7*10000</f>
        <v>0</v>
      </c>
      <c r="AL21" s="348">
        <f t="shared" si="93"/>
        <v>169373.75346198678</v>
      </c>
      <c r="AM21" s="348">
        <f t="shared" si="94"/>
        <v>729750</v>
      </c>
      <c r="AN21" s="461" cm="1">
        <f t="array" ref="AN21">_xll.BDP($B21&amp;" Equity","theta_mid_rt")</f>
        <v>-1.7159465700387955E-2</v>
      </c>
      <c r="AO21" s="348">
        <f t="shared" si="95"/>
        <v>257.39198550581932</v>
      </c>
      <c r="AP21" s="348">
        <f t="shared" si="96"/>
        <v>0</v>
      </c>
      <c r="AQ21" s="197" t="str" cm="1">
        <f t="array" ref="AQ21">_xll.BDP($D21&amp;" Equity","EXPECTED_REPORT_DT")</f>
        <v>24/04/2026</v>
      </c>
      <c r="AR21" s="463" cm="1">
        <f t="array" ref="AR21">_xll.BDP($B21&amp;" Equity","GAMMA_LAST")</f>
        <v>7.6429999999999996E-3</v>
      </c>
      <c r="AS21" s="132">
        <f t="shared" si="14"/>
        <v>-2713.4436551249996</v>
      </c>
      <c r="AT21" s="132">
        <f t="shared" si="15"/>
        <v>-13567.218275624999</v>
      </c>
      <c r="AU21" s="132" t="s">
        <v>151</v>
      </c>
      <c r="AV21" s="464" cm="1">
        <f t="array" ref="AV21">_xll.BDP($D21&amp;" Equity","EST_PE_NXT_YR")*(AA21/Z21)</f>
        <v>40.348979798627326</v>
      </c>
      <c r="AX21" s="348"/>
      <c r="AY21" s="464">
        <v>3.28</v>
      </c>
      <c r="AZ21" s="465"/>
      <c r="BA21" s="348">
        <f t="shared" si="97"/>
        <v>3.28</v>
      </c>
      <c r="BB21" s="466">
        <f t="shared" si="98"/>
        <v>3.15</v>
      </c>
      <c r="BC21" s="466">
        <f t="shared" si="99"/>
        <v>1949.9999999999986</v>
      </c>
      <c r="BD21" s="466">
        <f>BC21/'Master P&amp;L'!$AD$7*10000</f>
        <v>8.138006888247739E-3</v>
      </c>
    </row>
    <row r="22" spans="1:56" s="59" customFormat="1">
      <c r="A22" s="424"/>
      <c r="B22" s="59" t="s">
        <v>2374</v>
      </c>
      <c r="C22" s="59" t="str" cm="1">
        <f t="array" ref="C22">_xll.BDP($B22&amp;" Equity","opt_put_call")</f>
        <v>Put</v>
      </c>
      <c r="D22" s="59" t="str" cm="1">
        <f t="array" ref="D22">_xll.BDP(B22&amp;" Equity","OPT_UNDL_TICKER")</f>
        <v>QQQ US</v>
      </c>
      <c r="E22" s="59" t="str" cm="1">
        <f t="array" ref="E22">_xll.BDP($B22&amp;" Equity","mifid_Maturity_date")</f>
        <v>29/01/2026</v>
      </c>
      <c r="F22" s="59" cm="1">
        <f t="array" ref="F22">_xll.BDP($B22&amp;" Equity","opt_days_expire")</f>
        <v>0</v>
      </c>
      <c r="G22" s="59" t="str" cm="1">
        <f t="array" ref="G22">_xll.BDP(B22&amp;" Equity","QUOTED_CURRENCY_REALTIME")</f>
        <v>USD</v>
      </c>
      <c r="H22" s="404">
        <v>150</v>
      </c>
      <c r="I22" s="411">
        <v>2.94</v>
      </c>
      <c r="J22" s="14">
        <f>VLOOKUP(B22,Precificação!$B:$O,14,FALSE)</f>
        <v>1.2349999999999999</v>
      </c>
      <c r="K22" s="14">
        <f t="shared" si="19"/>
        <v>1.2349999999999999</v>
      </c>
      <c r="L22" s="74">
        <v>5.21</v>
      </c>
      <c r="M22" s="128">
        <f t="shared" si="84"/>
        <v>8.2722047569146733E-3</v>
      </c>
      <c r="N22" s="425"/>
      <c r="O22" s="128">
        <f t="shared" si="85"/>
        <v>3.2186234817813766</v>
      </c>
      <c r="P22" s="14" cm="1">
        <f t="array" ref="P22">_xll.BDP($B22&amp;" Equity","bid")</f>
        <v>0.17</v>
      </c>
      <c r="Q22" s="14" cm="1">
        <f t="array" ref="Q22">_xll.BDP($B22&amp;" Equity","ask")</f>
        <v>0.18</v>
      </c>
      <c r="R22" s="423">
        <f t="shared" si="86"/>
        <v>5.8823529411764497E-2</v>
      </c>
      <c r="S22" s="14" cm="1">
        <f t="array" ref="S22">_xll.BDP(G22&amp;" Curncy","PX_LAST")</f>
        <v>1</v>
      </c>
      <c r="T22" s="404" cm="1">
        <f t="array" ref="T22">_xll.BDP(B22&amp;" Equity","OPT_MULTIPLIER")</f>
        <v>100</v>
      </c>
      <c r="U22" s="404">
        <f t="shared" si="87"/>
        <v>78150</v>
      </c>
      <c r="V22" s="426">
        <f>U22/'Master P&amp;L'!$AD$7*10000</f>
        <v>0.32614627605977498</v>
      </c>
      <c r="W22" s="426">
        <f>(Y22*H22*T22/S22)/'Master P&amp;L'!$AD$7*10000</f>
        <v>0.32614627605977498</v>
      </c>
      <c r="X22" s="427">
        <f t="shared" si="88"/>
        <v>0</v>
      </c>
      <c r="Y22" s="428">
        <f t="shared" si="89"/>
        <v>5.21</v>
      </c>
      <c r="Z22" s="429">
        <f>_xll.BDP(D22&amp;" Equity","LAST_PRICE")</f>
        <v>629.82000000000005</v>
      </c>
      <c r="AA22" s="429" cm="1">
        <f t="array" ref="AA22">_xll.BDP(B22&amp;" Equity","OPT_STRIKE_PX")</f>
        <v>628</v>
      </c>
      <c r="AB22" s="423">
        <f t="shared" si="90"/>
        <v>-2.8897145216094655E-3</v>
      </c>
      <c r="AC22" s="430" cm="1">
        <f t="array" ref="AC22">_xll.BDP($D22&amp;" Equity","volatility_10d")</f>
        <v>15.883507217689404</v>
      </c>
      <c r="AD22" s="429" cm="1">
        <f t="array" ref="AD22">_xll.BDP(B22&amp;" Equity","ivol_mid")</f>
        <v>20.121919999999999</v>
      </c>
      <c r="AE22" s="429">
        <f t="shared" si="91"/>
        <v>1.2668436337278388</v>
      </c>
      <c r="AF22" s="38"/>
      <c r="AG22" s="19"/>
      <c r="AH22" s="19"/>
      <c r="AI22" s="434"/>
      <c r="AJ22" s="425">
        <f t="shared" si="92"/>
        <v>0</v>
      </c>
      <c r="AK22" s="431">
        <f>AP22/'Master P&amp;L'!$AD$7*10000</f>
        <v>0.24883521062142142</v>
      </c>
      <c r="AL22" s="404">
        <f t="shared" si="93"/>
        <v>0</v>
      </c>
      <c r="AM22" s="404">
        <f t="shared" si="94"/>
        <v>-9447300.0000000019</v>
      </c>
      <c r="AN22" s="431" cm="1">
        <f t="array" ref="AN22">_xll.BDP($B22&amp;" Equity","theta_mid_rt")</f>
        <v>0</v>
      </c>
      <c r="AO22" s="404">
        <f t="shared" si="95"/>
        <v>0</v>
      </c>
      <c r="AP22" s="404">
        <f t="shared" si="96"/>
        <v>59625</v>
      </c>
      <c r="AQ22" s="14" t="str" cm="1">
        <f t="array" ref="AQ22">_xll.BDP($D22&amp;" Equity","EXPECTED_REPORT_DT")</f>
        <v>#N/A N/A</v>
      </c>
      <c r="AR22" s="114" cm="1">
        <f t="array" ref="AR22">_xll.BDP($B22&amp;" Equity","GAMMA_LAST")</f>
        <v>0.251836</v>
      </c>
      <c r="AS22" s="59">
        <f t="shared" si="14"/>
        <v>14984490.023202961</v>
      </c>
      <c r="AT22" s="59">
        <f t="shared" si="15"/>
        <v>74922450.116014808</v>
      </c>
      <c r="AU22" s="59" t="s">
        <v>151</v>
      </c>
      <c r="AV22" s="337" t="e" cm="1">
        <f t="array" ref="AV22">_xll.BDP($D22&amp;" Equity","EST_PE_NXT_YR")*(AA22/Z22)</f>
        <v>#VALUE!</v>
      </c>
      <c r="AX22" s="404"/>
      <c r="AY22" s="337">
        <v>5.21</v>
      </c>
      <c r="AZ22" s="432"/>
      <c r="BA22" s="404">
        <f t="shared" si="97"/>
        <v>5.21</v>
      </c>
      <c r="BB22" s="433">
        <f t="shared" si="98"/>
        <v>1.2349999999999999</v>
      </c>
      <c r="BC22" s="433">
        <f t="shared" si="99"/>
        <v>-59625</v>
      </c>
      <c r="BD22" s="433">
        <f>BC22/'Master P&amp;L'!$AD$7*10000</f>
        <v>-0.24883521062142142</v>
      </c>
    </row>
    <row r="23" spans="1:56" s="59" customFormat="1">
      <c r="A23" s="424"/>
      <c r="B23" s="59" t="s">
        <v>2464</v>
      </c>
      <c r="C23" s="59" t="str" cm="1">
        <f t="array" ref="C23">_xll.BDP($B23&amp;" Equity","opt_put_call")</f>
        <v>Put</v>
      </c>
      <c r="D23" s="59" t="str" cm="1">
        <f t="array" ref="D23">_xll.BDP(B23&amp;" Equity","OPT_UNDL_TICKER")</f>
        <v>QQQ US</v>
      </c>
      <c r="E23" s="59" t="str" cm="1">
        <f t="array" ref="E23">_xll.BDP($B23&amp;" Equity","mifid_Maturity_date")</f>
        <v>30/01/2026</v>
      </c>
      <c r="F23" s="59" cm="1">
        <f t="array" ref="F23">_xll.BDP($B23&amp;" Equity","opt_days_expire")</f>
        <v>1</v>
      </c>
      <c r="G23" s="59" t="str" cm="1">
        <f t="array" ref="G23">_xll.BDP(B23&amp;" Equity","QUOTED_CURRENCY_REALTIME")</f>
        <v>USD</v>
      </c>
      <c r="H23" s="404">
        <v>500</v>
      </c>
      <c r="I23" s="411">
        <v>2.79</v>
      </c>
      <c r="J23" s="14"/>
      <c r="K23" s="14">
        <v>2.79</v>
      </c>
      <c r="L23" s="74" cm="1">
        <f t="array" ref="L23">_xll.BDP($B23&amp;" Equity","mid")</f>
        <v>0.53</v>
      </c>
      <c r="M23" s="128">
        <f t="shared" ref="M23" si="100">L23/Z23</f>
        <v>8.4151027277634878E-4</v>
      </c>
      <c r="N23" s="425"/>
      <c r="O23" s="128">
        <f t="shared" ref="O23" si="101">L23/K23-1</f>
        <v>-0.81003584229390679</v>
      </c>
      <c r="P23" s="14" cm="1">
        <f t="array" ref="P23">_xll.BDP($B23&amp;" Equity","bid")</f>
        <v>0.52</v>
      </c>
      <c r="Q23" s="14" cm="1">
        <f t="array" ref="Q23">_xll.BDP($B23&amp;" Equity","ask")</f>
        <v>0.53</v>
      </c>
      <c r="R23" s="423">
        <f t="shared" ref="R23" si="102">(Q23/P23-1)</f>
        <v>1.9230769230769162E-2</v>
      </c>
      <c r="S23" s="14" cm="1">
        <f t="array" ref="S23">_xll.BDP(G23&amp;" Curncy","PX_LAST")</f>
        <v>1</v>
      </c>
      <c r="T23" s="404" cm="1">
        <f t="array" ref="T23">_xll.BDP(B23&amp;" Equity","OPT_MULTIPLIER")</f>
        <v>100</v>
      </c>
      <c r="U23" s="404">
        <f t="shared" ref="U23" si="103">(L23/S23)*H23*T23</f>
        <v>26500</v>
      </c>
      <c r="V23" s="426">
        <f>U23/'Master P&amp;L'!$AD$7*10000</f>
        <v>0.11059342694285398</v>
      </c>
      <c r="W23" s="426">
        <f>(Y23*H23*T23/S23)/'Master P&amp;L'!$AD$7*10000</f>
        <v>0.11059342694285398</v>
      </c>
      <c r="X23" s="427">
        <f t="shared" ref="X23" si="104">IF(C23="Put",IF(Z23&lt;AA23,AA23-Z23,0),IF(Z23&gt;AA23,Z23-AA23,0))</f>
        <v>0</v>
      </c>
      <c r="Y23" s="428">
        <f t="shared" ref="Y23" si="105">L23-X23</f>
        <v>0.53</v>
      </c>
      <c r="Z23" s="429">
        <f>_xll.BDP(D23&amp;" Equity","LAST_PRICE")</f>
        <v>629.82000000000005</v>
      </c>
      <c r="AA23" s="429" cm="1">
        <f t="array" ref="AA23">_xll.BDP(B23&amp;" Equity","OPT_STRIKE_PX")</f>
        <v>620</v>
      </c>
      <c r="AB23" s="423">
        <f t="shared" ref="AB23" si="106">AA23/Z23-1</f>
        <v>-1.559175637483734E-2</v>
      </c>
      <c r="AC23" s="430" cm="1">
        <f t="array" ref="AC23">_xll.BDP($D23&amp;" Equity","volatility_10d")</f>
        <v>15.883507217689404</v>
      </c>
      <c r="AD23" s="429" cm="1">
        <f t="array" ref="AD23">_xll.BDP(B23&amp;" Equity","ivol_mid")</f>
        <v>24.668189999999999</v>
      </c>
      <c r="AE23" s="429">
        <f t="shared" ref="AE23" si="107">AD23/AC23</f>
        <v>1.5530694614176348</v>
      </c>
      <c r="AF23" s="38" cm="1">
        <f t="array" ref="AF23">_xll.BDP(B23&amp;" Equity","DELTA_MID_RT")</f>
        <v>-0.12264598906040192</v>
      </c>
      <c r="AG23" s="19">
        <f>AL23/'Master P&amp;L'!$AE$7</f>
        <v>-1.6118448781659183E-3</v>
      </c>
      <c r="AH23" s="19">
        <f>AM23/'Master P&amp;L'!$AE$7</f>
        <v>-1.3142255123990244E-2</v>
      </c>
      <c r="AI23" s="434">
        <f>AO23/'Master P&amp;L'!$AD$7*10000</f>
        <v>-0.10209456979138797</v>
      </c>
      <c r="AJ23" s="425">
        <f t="shared" ref="AJ23" si="108">(252*AI23)/$AI$1</f>
        <v>0.46143574932074904</v>
      </c>
      <c r="AK23" s="431">
        <f>AP23/'Master P&amp;L'!$AD$7*10000</f>
        <v>-0.47158706583179233</v>
      </c>
      <c r="AL23" s="404">
        <f t="shared" ref="AL23" si="109">Z23*AF23*H23*T23/S23</f>
        <v>-3862244.8415011168</v>
      </c>
      <c r="AM23" s="404">
        <f t="shared" ref="AM23" si="110">IF(C23="Put",-Z23*H23*T23/S23,Z23*H23*T23/S23)</f>
        <v>-31491000</v>
      </c>
      <c r="AN23" s="431" cm="1">
        <f t="array" ref="AN23">_xll.BDP($B23&amp;" Equity","theta_mid_rt")</f>
        <v>-0.48927068710327148</v>
      </c>
      <c r="AO23" s="404">
        <f t="shared" ref="AO23" si="111">AN23*H23*T23/S23</f>
        <v>-24463.534355163574</v>
      </c>
      <c r="AP23" s="404">
        <f t="shared" ref="AP23" si="112">(L23-K23)*T23/S23*H23</f>
        <v>-112999.99999999999</v>
      </c>
      <c r="AQ23" s="14" t="str" cm="1">
        <f t="array" ref="AQ23">_xll.BDP($D23&amp;" Equity","EXPECTED_REPORT_DT")</f>
        <v>#N/A N/A</v>
      </c>
      <c r="AR23" s="114" cm="1">
        <f t="array" ref="AR23">_xll.BDP($B23&amp;" Equity","GAMMA_LAST")</f>
        <v>0.22370499999999999</v>
      </c>
      <c r="AS23" s="59">
        <f t="shared" si="14"/>
        <v>44368892.727021009</v>
      </c>
      <c r="AT23" s="59">
        <f t="shared" si="15"/>
        <v>221844463.63510507</v>
      </c>
      <c r="AU23" s="59" t="s">
        <v>151</v>
      </c>
      <c r="AV23" s="337" t="e" cm="1">
        <f t="array" ref="AV23">_xll.BDP($D23&amp;" Equity","EST_PE_NXT_YR")*(AA23/Z23)</f>
        <v>#VALUE!</v>
      </c>
      <c r="AX23" s="404"/>
      <c r="AY23" s="337">
        <v>1.08</v>
      </c>
      <c r="AZ23" s="432"/>
      <c r="BA23" s="404">
        <f t="shared" ref="BA23" si="113">+AY23</f>
        <v>1.08</v>
      </c>
      <c r="BB23" s="433">
        <f t="shared" ref="BB23" si="114">+J23</f>
        <v>0</v>
      </c>
      <c r="BC23" s="433">
        <f t="shared" ref="BC23" si="115">(BB23-BA23)*H23*100</f>
        <v>-54000</v>
      </c>
      <c r="BD23" s="433">
        <f>BC23/'Master P&amp;L'!$AD$7*10000</f>
        <v>-0.22536019075147601</v>
      </c>
    </row>
    <row r="24" spans="1:56" s="59" customFormat="1">
      <c r="A24" s="356"/>
      <c r="B24" t="s">
        <v>2228</v>
      </c>
      <c r="C24" t="str" cm="1">
        <f t="array" ref="C24">_xll.BDP($B24&amp;" Equity","opt_put_call")</f>
        <v>Call</v>
      </c>
      <c r="D24" t="str" cm="1">
        <f t="array" ref="D24">_xll.BDP(B24&amp;" Equity","OPT_UNDL_TICKER")</f>
        <v>TSM US</v>
      </c>
      <c r="E24" t="str" cm="1">
        <f t="array" ref="E24">_xll.BDP($B24&amp;" Equity","mifid_Maturity_date")</f>
        <v>18/06/2026</v>
      </c>
      <c r="F24" cm="1">
        <f t="array" ref="F24">_xll.BDP($B24&amp;" Equity","opt_days_expire")</f>
        <v>140</v>
      </c>
      <c r="G24" t="str" cm="1">
        <f t="array" ref="G24">_xll.BDP(B24&amp;" Equity","QUOTED_CURRENCY_REALTIME")</f>
        <v>USD</v>
      </c>
      <c r="H24" s="15">
        <v>1550</v>
      </c>
      <c r="I24" s="410">
        <v>34.200000000000003</v>
      </c>
      <c r="J24" s="14">
        <f>VLOOKUP(B24,Precificação!$B:$O,14,FALSE)</f>
        <v>36.024999999999999</v>
      </c>
      <c r="K24" s="14">
        <f t="shared" si="19"/>
        <v>36.024999999999999</v>
      </c>
      <c r="L24" s="74" cm="1">
        <f t="array" ref="L24">_xll.BDP($B24&amp;" Equity","mid")</f>
        <v>33.950000000000003</v>
      </c>
      <c r="M24" s="19">
        <f t="shared" si="1"/>
        <v>0.1</v>
      </c>
      <c r="N24" s="350"/>
      <c r="O24" s="19">
        <f t="shared" si="2"/>
        <v>-5.7598889659958297E-2</v>
      </c>
      <c r="P24" s="36" cm="1">
        <f t="array" ref="P24">_xll.BDP($B24&amp;" Equity","bid")</f>
        <v>32.9</v>
      </c>
      <c r="Q24" s="36" cm="1">
        <f t="array" ref="Q24">_xll.BDP($B24&amp;" Equity","ask")</f>
        <v>35</v>
      </c>
      <c r="R24" s="40">
        <f t="shared" si="3"/>
        <v>6.3829787234042534E-2</v>
      </c>
      <c r="S24" s="36" cm="1">
        <f t="array" ref="S24">_xll.BDP(G24&amp;" Curncy","PX_LAST")</f>
        <v>1</v>
      </c>
      <c r="T24" s="15" cm="1">
        <f t="array" ref="T24">_xll.BDP(B24&amp;" Equity","OPT_MULTIPLIER")</f>
        <v>100</v>
      </c>
      <c r="U24" s="15">
        <f t="shared" si="4"/>
        <v>5262250.0000000009</v>
      </c>
      <c r="V24" s="124">
        <f>U24/'Master P&amp;L'!$AD$7*10000</f>
        <v>21.961141921888057</v>
      </c>
      <c r="W24" s="124">
        <f>(Y24*H24*T24/S24)/'Master P&amp;L'!$AD$7*10000</f>
        <v>21.961141921888057</v>
      </c>
      <c r="X24" s="413">
        <f t="shared" si="5"/>
        <v>0</v>
      </c>
      <c r="Y24" s="273">
        <f t="shared" si="6"/>
        <v>33.950000000000003</v>
      </c>
      <c r="Z24" s="37">
        <f>_xll.BDP(D24&amp;" Equity","LAST_PRICE")</f>
        <v>339.5</v>
      </c>
      <c r="AA24" s="37" cm="1">
        <f t="array" ref="AA24">_xll.BDP(B24&amp;" Equity","OPT_STRIKE_PX")</f>
        <v>340</v>
      </c>
      <c r="AB24" s="40">
        <f t="shared" si="7"/>
        <v>1.4727540500736325E-3</v>
      </c>
      <c r="AC24" s="324" cm="1">
        <f t="array" ref="AC24">_xll.BDP($D24&amp;" Equity","volatility_10d")</f>
        <v>39.226784270680859</v>
      </c>
      <c r="AD24" s="37" cm="1">
        <f t="array" ref="AD24">_xll.BDP(B24&amp;" Equity","ivol_mid")</f>
        <v>39.025799999999997</v>
      </c>
      <c r="AE24" s="37">
        <f t="shared" si="8"/>
        <v>0.99487635108465711</v>
      </c>
      <c r="AF24" s="38" cm="1">
        <f t="array" ref="AF24">_xll.BDP(B24&amp;" Equity","DELTA_MID_RT")</f>
        <v>0.56418055295944214</v>
      </c>
      <c r="AG24" s="19">
        <f>AL24/'Master P&amp;L'!$AE$7</f>
        <v>1.2390049193111586E-2</v>
      </c>
      <c r="AH24" s="19">
        <f>AM24/'Master P&amp;L'!$AE$7</f>
        <v>2.1961141921888049E-2</v>
      </c>
      <c r="AI24" s="434">
        <f>AO24/'Master P&amp;L'!$AD$7*10000</f>
        <v>-7.1929280580468838E-2</v>
      </c>
      <c r="AJ24" s="350">
        <f t="shared" si="9"/>
        <v>0.32509801011523332</v>
      </c>
      <c r="AK24" s="38">
        <f>AP24/'Master P&amp;L'!$AD$7*10000</f>
        <v>-1.3422494694526543</v>
      </c>
      <c r="AL24" s="15">
        <f t="shared" si="10"/>
        <v>29688591.148108244</v>
      </c>
      <c r="AM24" s="15">
        <f t="shared" si="11"/>
        <v>52622500</v>
      </c>
      <c r="AN24" s="38" cm="1">
        <f t="array" ref="AN24">_xll.BDP($B24&amp;" Equity","theta_mid_rt")</f>
        <v>-0.1111963614821434</v>
      </c>
      <c r="AO24" s="15">
        <f t="shared" si="12"/>
        <v>-17235.436029732227</v>
      </c>
      <c r="AP24" s="15">
        <f t="shared" si="13"/>
        <v>-321624.99999999936</v>
      </c>
      <c r="AQ24" s="36" t="str" cm="1">
        <f t="array" ref="AQ24">_xll.BDP($D24&amp;" Equity","EXPECTED_REPORT_DT")</f>
        <v>17/04/2026</v>
      </c>
      <c r="AR24" s="66" cm="1">
        <f t="array" ref="AR24">_xll.BDP($B24&amp;" Equity","GAMMA_LAST")</f>
        <v>1.6150000000000001E-2</v>
      </c>
      <c r="AS24">
        <f t="shared" si="14"/>
        <v>2885252.2081250008</v>
      </c>
      <c r="AT24">
        <f t="shared" si="15"/>
        <v>14426261.040624999</v>
      </c>
      <c r="AU24" t="s">
        <v>151</v>
      </c>
      <c r="AV24" s="277" cm="1">
        <f t="array" ref="AV24">_xll.BDP($D24&amp;" Equity","EST_PE_NXT_YR")*(AA24/Z24)</f>
        <v>19.654662652102918</v>
      </c>
      <c r="AW24"/>
      <c r="AX24" s="15"/>
      <c r="AY24" s="277">
        <v>32.880000000000003</v>
      </c>
      <c r="AZ24" s="355"/>
      <c r="BA24" s="15">
        <f t="shared" si="16"/>
        <v>32.880000000000003</v>
      </c>
      <c r="BB24" s="414">
        <f t="shared" si="17"/>
        <v>36.024999999999999</v>
      </c>
      <c r="BC24" s="414">
        <f t="shared" si="18"/>
        <v>487474.99999999936</v>
      </c>
      <c r="BD24" s="414">
        <f>BC24/'Master P&amp;L'!$AD$7*10000</f>
        <v>2.0343973886402895</v>
      </c>
    </row>
    <row r="25" spans="1:56">
      <c r="A25" s="335"/>
      <c r="B25" s="73" t="s">
        <v>2229</v>
      </c>
      <c r="C25" s="73" t="str" cm="1">
        <f t="array" ref="C25">_xll.BDP($B25&amp;" Equity","opt_put_call")</f>
        <v>Call</v>
      </c>
      <c r="D25" s="73" t="str" cm="1">
        <f t="array" ref="D25">_xll.BDP(B25&amp;" Equity","OPT_UNDL_TICKER")</f>
        <v>TSM US</v>
      </c>
      <c r="E25" s="73" t="str" cm="1">
        <f t="array" ref="E25">_xll.BDP($B25&amp;" Equity","mifid_Maturity_date")</f>
        <v>18/06/2026</v>
      </c>
      <c r="F25" s="73" cm="1">
        <f t="array" ref="F25">_xll.BDP($B25&amp;" Equity","opt_days_expire")</f>
        <v>140</v>
      </c>
      <c r="G25" s="73" t="str" cm="1">
        <f t="array" ref="G25">_xll.BDP(B25&amp;" Equity","QUOTED_CURRENCY_REALTIME")</f>
        <v>USD</v>
      </c>
      <c r="H25" s="42">
        <f>-1400+18</f>
        <v>-1382</v>
      </c>
      <c r="I25" s="409">
        <v>19.54</v>
      </c>
      <c r="J25" s="14">
        <f>VLOOKUP(B25,Precificação!$B:$O,14,FALSE)</f>
        <v>20</v>
      </c>
      <c r="K25" s="14">
        <f t="shared" si="19"/>
        <v>20</v>
      </c>
      <c r="L25" s="74" cm="1">
        <f t="array" ref="L25">_xll.BDP($B25&amp;" Equity","mid")</f>
        <v>19.079999999999998</v>
      </c>
      <c r="M25" s="75">
        <f t="shared" si="1"/>
        <v>5.6200294550810007E-2</v>
      </c>
      <c r="N25" s="352"/>
      <c r="O25" s="75">
        <f t="shared" si="2"/>
        <v>-4.6000000000000041E-2</v>
      </c>
      <c r="P25" s="74" cm="1">
        <f t="array" ref="P25">_xll.BDP($B25&amp;" Equity","bid")</f>
        <v>18.100000000000001</v>
      </c>
      <c r="Q25" s="74" cm="1">
        <f t="array" ref="Q25">_xll.BDP($B25&amp;" Equity","ask")</f>
        <v>20.05</v>
      </c>
      <c r="R25" s="76">
        <f t="shared" si="3"/>
        <v>0.10773480662983426</v>
      </c>
      <c r="S25" s="36" cm="1">
        <f t="array" ref="S25">_xll.BDP(G25&amp;" Curncy","PX_LAST")</f>
        <v>1</v>
      </c>
      <c r="T25" s="42" cm="1">
        <f t="array" ref="T25">_xll.BDP(B25&amp;" Equity","OPT_MULTIPLIER")</f>
        <v>100</v>
      </c>
      <c r="U25" s="42">
        <f t="shared" si="4"/>
        <v>-2636856</v>
      </c>
      <c r="V25" s="113">
        <f>U25/'Master P&amp;L'!$AD$7*10000</f>
        <v>-11.004488354521742</v>
      </c>
      <c r="W25" s="113">
        <f>(Y25*H25*T25/S25)/'Master P&amp;L'!$AD$7*10000</f>
        <v>-11.004488354521742</v>
      </c>
      <c r="X25" s="118">
        <f t="shared" si="5"/>
        <v>0</v>
      </c>
      <c r="Y25" s="272">
        <f t="shared" si="6"/>
        <v>19.079999999999998</v>
      </c>
      <c r="Z25" s="77">
        <f>_xll.BDP(D25&amp;" Equity","LAST_PRICE")</f>
        <v>339.5</v>
      </c>
      <c r="AA25" s="77" cm="1">
        <f t="array" ref="AA25">_xll.BDP(B25&amp;" Equity","OPT_STRIKE_PX")</f>
        <v>380</v>
      </c>
      <c r="AB25" s="76">
        <f t="shared" si="7"/>
        <v>0.11929307805596467</v>
      </c>
      <c r="AC25" s="323" cm="1">
        <f t="array" ref="AC25">_xll.BDP($D25&amp;" Equity","volatility_10d")</f>
        <v>39.226784270680859</v>
      </c>
      <c r="AD25" s="77" cm="1">
        <f t="array" ref="AD25">_xll.BDP(B25&amp;" Equity","ivol_mid")</f>
        <v>38.265549999999998</v>
      </c>
      <c r="AE25" s="77">
        <f t="shared" si="8"/>
        <v>0.9754954608553188</v>
      </c>
      <c r="AF25" s="78" cm="1">
        <f t="array" ref="AF25">_xll.BDP(B25&amp;" Equity","DELTA_MID_RT")</f>
        <v>0.38238629698753357</v>
      </c>
      <c r="AG25" s="75">
        <f>AL25/'Master P&amp;L'!$AE$7</f>
        <v>-7.4874439462655025E-3</v>
      </c>
      <c r="AH25" s="75">
        <f>AM25/'Master P&amp;L'!$AE$7</f>
        <v>-1.9580837507128572E-2</v>
      </c>
      <c r="AI25" s="435">
        <f>AO25/'Master P&amp;L'!$AD$7*10000</f>
        <v>6.296724207802587E-2</v>
      </c>
      <c r="AJ25" s="350">
        <f t="shared" si="9"/>
        <v>-0.28459237930385778</v>
      </c>
      <c r="AK25" s="78">
        <f>AP25/'Master P&amp;L'!$AD$7*10000</f>
        <v>0.53061474246121698</v>
      </c>
      <c r="AL25" s="42">
        <f t="shared" si="10"/>
        <v>-17941144.429728389</v>
      </c>
      <c r="AM25" s="42">
        <f t="shared" si="11"/>
        <v>-46918900</v>
      </c>
      <c r="AN25" s="78" cm="1">
        <f t="array" ref="AN25">_xll.BDP($B25&amp;" Equity","theta_mid_rt")</f>
        <v>-0.10917499661445618</v>
      </c>
      <c r="AO25" s="42">
        <f t="shared" si="12"/>
        <v>15087.984532117844</v>
      </c>
      <c r="AP25" s="42">
        <f t="shared" si="13"/>
        <v>127144.00000000023</v>
      </c>
      <c r="AQ25" s="74" t="str" cm="1">
        <f t="array" ref="AQ25">_xll.BDP($D25&amp;" Equity","EXPECTED_REPORT_DT")</f>
        <v>17/04/2026</v>
      </c>
      <c r="AR25" s="235" cm="1">
        <f t="array" ref="AR25">_xll.BDP($B25&amp;" Equity","GAMMA_LAST")</f>
        <v>1.6074999999999999E-2</v>
      </c>
      <c r="AS25" s="73">
        <f t="shared" si="14"/>
        <v>-2560581.3729125001</v>
      </c>
      <c r="AT25" s="73">
        <f t="shared" si="15"/>
        <v>-12802906.8645625</v>
      </c>
      <c r="AU25" s="73" t="s">
        <v>151</v>
      </c>
      <c r="AV25" s="322" cm="1">
        <f t="array" ref="AV25">_xll.BDP($D25&amp;" Equity","EST_PE_NXT_YR")*(AA25/Z25)</f>
        <v>21.966975905291498</v>
      </c>
      <c r="AW25" s="73"/>
      <c r="AX25" s="42"/>
      <c r="AY25" s="322">
        <v>18.23</v>
      </c>
      <c r="AZ25" s="354"/>
      <c r="BA25" s="42">
        <f t="shared" si="16"/>
        <v>18.23</v>
      </c>
      <c r="BB25" s="346">
        <f t="shared" si="17"/>
        <v>20</v>
      </c>
      <c r="BC25" s="346">
        <f t="shared" si="18"/>
        <v>-244613.99999999994</v>
      </c>
      <c r="BD25" s="346">
        <f>BC25/'Master P&amp;L'!$AD$7*10000</f>
        <v>-1.0208566240829915</v>
      </c>
    </row>
    <row r="26" spans="1:56">
      <c r="H26" s="336"/>
      <c r="I26" s="218"/>
      <c r="J26" s="218"/>
      <c r="K26" s="218"/>
      <c r="L26" s="218"/>
    </row>
    <row r="27" spans="1:56">
      <c r="I27" s="64">
        <f>I9-I10</f>
        <v>3.5999999999999996</v>
      </c>
      <c r="J27" s="588">
        <f t="shared" ref="J27:L27" si="116">J9-J10</f>
        <v>4.2749999999999986</v>
      </c>
      <c r="K27" s="588">
        <f t="shared" si="116"/>
        <v>4.2749999999999986</v>
      </c>
      <c r="L27" s="588">
        <f t="shared" si="116"/>
        <v>3.6399999999999988</v>
      </c>
      <c r="AY27">
        <v>4.2199999999999989</v>
      </c>
    </row>
    <row r="28" spans="1:56">
      <c r="I28" s="588">
        <f t="shared" ref="I28:K28" si="117">I8-I7</f>
        <v>-0.25</v>
      </c>
      <c r="J28" s="588">
        <f t="shared" si="117"/>
        <v>-0.2849999999999997</v>
      </c>
      <c r="K28" s="588">
        <f t="shared" si="117"/>
        <v>-0.2849999999999997</v>
      </c>
      <c r="L28" s="64">
        <f>L8-L7</f>
        <v>5.0000000000000044E-2</v>
      </c>
      <c r="AY28">
        <v>5.0000000000000044E-2</v>
      </c>
    </row>
    <row r="29" spans="1:56">
      <c r="I29" s="64">
        <f>(L28-I27)/I27</f>
        <v>-0.98611111111111116</v>
      </c>
      <c r="J29" s="218"/>
      <c r="K29" s="218"/>
      <c r="L29" s="64">
        <f>(L28-L27)/L27</f>
        <v>-0.98626373626373631</v>
      </c>
      <c r="AY29">
        <v>-0.98815165876777256</v>
      </c>
    </row>
    <row r="30" spans="1:56">
      <c r="I30" s="218">
        <f>I9-I10</f>
        <v>3.5999999999999996</v>
      </c>
      <c r="J30" s="218"/>
      <c r="K30" s="218"/>
      <c r="L30" s="218">
        <f>L9-L10</f>
        <v>3.6399999999999988</v>
      </c>
      <c r="AY30">
        <v>4.2199999999999989</v>
      </c>
    </row>
    <row r="31" spans="1:56">
      <c r="I31" s="64">
        <f>I20-I19</f>
        <v>2.8999999999999995</v>
      </c>
      <c r="K31" s="64">
        <f>K20-K19</f>
        <v>2.95</v>
      </c>
      <c r="L31" s="64">
        <f>L20-L19</f>
        <v>3.0200000000000005</v>
      </c>
      <c r="AY31">
        <v>2.8600000000000003</v>
      </c>
    </row>
    <row r="32" spans="1:56">
      <c r="I32" s="64"/>
      <c r="K32" s="64"/>
      <c r="L32" s="64"/>
    </row>
    <row r="33" spans="8:10">
      <c r="H33" s="404">
        <v>100</v>
      </c>
      <c r="I33" s="411">
        <v>30.89</v>
      </c>
      <c r="J33" s="407">
        <f>H33*I33</f>
        <v>3089</v>
      </c>
    </row>
    <row r="34" spans="8:10">
      <c r="H34" s="404"/>
      <c r="I34" s="411"/>
      <c r="J34" s="407">
        <f t="shared" ref="J34:J40" si="118">H34*I34</f>
        <v>0</v>
      </c>
    </row>
    <row r="35" spans="8:10">
      <c r="H35" s="42"/>
      <c r="I35" s="409"/>
      <c r="J35" s="407">
        <f t="shared" si="118"/>
        <v>0</v>
      </c>
    </row>
    <row r="36" spans="8:10">
      <c r="H36" s="404"/>
      <c r="I36" s="405"/>
      <c r="J36" s="407">
        <f t="shared" si="118"/>
        <v>0</v>
      </c>
    </row>
    <row r="37" spans="8:10">
      <c r="H37" s="404">
        <v>25</v>
      </c>
      <c r="I37" s="411">
        <v>35.75</v>
      </c>
      <c r="J37" s="407">
        <f t="shared" si="118"/>
        <v>893.75</v>
      </c>
    </row>
    <row r="38" spans="8:10">
      <c r="H38" s="15"/>
      <c r="I38" s="410"/>
      <c r="J38" s="407">
        <f t="shared" si="118"/>
        <v>0</v>
      </c>
    </row>
    <row r="39" spans="8:10">
      <c r="H39" s="404"/>
      <c r="I39" s="411"/>
      <c r="J39" s="407">
        <f t="shared" si="118"/>
        <v>0</v>
      </c>
    </row>
    <row r="40" spans="8:10">
      <c r="H40" s="348"/>
      <c r="I40" s="406"/>
      <c r="J40" s="407">
        <f t="shared" si="118"/>
        <v>0</v>
      </c>
    </row>
    <row r="42" spans="8:10">
      <c r="H42" s="348">
        <f>H33+H37</f>
        <v>125</v>
      </c>
      <c r="I42" s="406">
        <f>J42/H42</f>
        <v>31.861999999999998</v>
      </c>
      <c r="J42" s="408">
        <f>J33+J37</f>
        <v>3982.75</v>
      </c>
    </row>
    <row r="43" spans="8:10">
      <c r="H43" s="348">
        <f>H34+H38</f>
        <v>0</v>
      </c>
      <c r="I43" s="406" t="e">
        <f>J43/H43</f>
        <v>#DIV/0!</v>
      </c>
      <c r="J43" s="408">
        <f>J34+J38</f>
        <v>0</v>
      </c>
    </row>
    <row r="44" spans="8:10">
      <c r="H44" s="348">
        <f>H35+H39</f>
        <v>0</v>
      </c>
      <c r="I44" s="406" t="e">
        <f>J44/H44</f>
        <v>#DIV/0!</v>
      </c>
      <c r="J44" s="408">
        <f>J35+J39</f>
        <v>0</v>
      </c>
    </row>
    <row r="45" spans="8:10">
      <c r="H45" s="348">
        <f>H36+H40</f>
        <v>0</v>
      </c>
      <c r="I45" s="406" t="e">
        <f>J45/H45</f>
        <v>#DIV/0!</v>
      </c>
      <c r="J45" s="408">
        <f>J36+J40</f>
        <v>0</v>
      </c>
    </row>
  </sheetData>
  <autoFilter ref="A3:BD28" xr:uid="{0428720F-9028-4D6D-9843-ED7DFFC9E1CA}">
    <sortState xmlns:xlrd2="http://schemas.microsoft.com/office/spreadsheetml/2017/richdata2" ref="A4:BD28">
      <sortCondition ref="D3:D28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8"/>
  <sheetViews>
    <sheetView zoomScale="80" zoomScaleNormal="80" workbookViewId="0">
      <pane xSplit="2" ySplit="3" topLeftCell="C197" activePane="bottomRight" state="frozen"/>
      <selection pane="topRight" activeCell="C1" sqref="C1"/>
      <selection pane="bottomLeft" activeCell="A4" sqref="A4"/>
      <selection pane="bottomRight" activeCell="A205" sqref="A205"/>
    </sheetView>
  </sheetViews>
  <sheetFormatPr defaultRowHeight="15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9.5749999999999957</v>
      </c>
      <c r="P5" s="267"/>
      <c r="Q5">
        <f>Q9/Q15-1</f>
        <v>4.5116279069767451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2298</v>
      </c>
      <c r="C7" s="59" t="str" cm="1">
        <f t="array" ref="C7">_xll.BDP(B7&amp;" Equity","OPT_UNDL_TICKER")</f>
        <v>META US</v>
      </c>
      <c r="D7" s="59" t="str">
        <f>_xll.BDP($B7&amp;" Index","mifid_Maturity_date")</f>
        <v>17/07/2026</v>
      </c>
      <c r="E7" s="59">
        <f>_xll.BDP($B7&amp;" Index","opt_days_expire")</f>
        <v>169</v>
      </c>
      <c r="F7" s="59" t="str" cm="1">
        <f t="array" ref="F7">_xll.BDP(B7&amp;" Equity","QUOTED_CURRENCY_REALTIME")</f>
        <v>USD</v>
      </c>
      <c r="G7" s="105" t="s">
        <v>248</v>
      </c>
      <c r="H7" s="96">
        <v>75</v>
      </c>
      <c r="I7" s="97">
        <f>IF(G7="Buy",L7,K7)</f>
        <v>114.55</v>
      </c>
      <c r="J7" s="19">
        <f>I7/S7</f>
        <v>0.15472411697170257</v>
      </c>
      <c r="K7" s="36" cm="1">
        <f t="array" ref="K7">_xll.BDP($B7&amp;" Equity","bid")</f>
        <v>114.55</v>
      </c>
      <c r="L7" s="36" cm="1">
        <f t="array" ref="L7">_xll.BDP($B7&amp;" Equity","ask")</f>
        <v>116.2</v>
      </c>
      <c r="M7" s="40">
        <f>(L7/K7-1)</f>
        <v>1.440419030990836E-2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-859125</v>
      </c>
      <c r="Q7" s="58">
        <f>P7/'Master P&amp;L'!$AD$5*10000</f>
        <v>-3.8250738478674546</v>
      </c>
      <c r="R7" s="37" cm="1">
        <f t="array" ref="R7">_xll.BDP($C7&amp;" Equity","EST_PE_NXT_YR")*(T7/S7)</f>
        <v>15.646763544185092</v>
      </c>
      <c r="S7" s="36" cm="1">
        <f t="array" ref="S7">_xll.BDP(C7&amp;" Equity","LAST_PRICE")</f>
        <v>740.35</v>
      </c>
      <c r="T7" s="53" cm="1">
        <f t="array" ref="T7">_xll.BDP(B7&amp;" Equity","OPT_STRIKE_PX")</f>
        <v>670</v>
      </c>
      <c r="U7" s="40">
        <f>T7/S7-1</f>
        <v>-9.5022624434389136E-2</v>
      </c>
      <c r="V7" s="37" cm="1">
        <f t="array" ref="V7">_xll.BDP($B7&amp;" Equity","ivol_mid")</f>
        <v>36.42266</v>
      </c>
      <c r="W7" s="38" cm="1">
        <f t="array" ref="W7">_xll.BDP(B7&amp;" Equity","DELTA_MID_RT")</f>
        <v>0.72491014003753662</v>
      </c>
      <c r="X7" s="48">
        <f>Y7/'Master P&amp;L'!$AE$5</f>
        <v>-1.7921154587805068E-3</v>
      </c>
      <c r="Y7" s="15">
        <f>IF(G7="Sell", S7*W7*-H7*O7/N7, S7*W7*H7*O7/N7)</f>
        <v>-4025154.1663259268</v>
      </c>
      <c r="Z7" s="15">
        <f>_xll.BDP($B7&amp;" Equity","opt_theta")*H7*O7/N7</f>
        <v>-1389.63</v>
      </c>
      <c r="AA7" s="19">
        <f>_xll.BDP($B7&amp;" Equity","opt_theta")/I7</f>
        <v>-1.617494543867307E-3</v>
      </c>
      <c r="AB7" s="36" t="str" cm="1">
        <f t="array" ref="AB7">_xll.BDP($C7&amp;" Equity","EXPECTED_REPORT_DT")</f>
        <v>30/04/2026</v>
      </c>
      <c r="AC7" s="15">
        <f>S7*H7*O7/N7</f>
        <v>5552625</v>
      </c>
      <c r="AD7" s="19">
        <f>AC7/'Master P&amp;L'!$AE$5</f>
        <v>2.4721898064327106E-3</v>
      </c>
      <c r="AE7" t="str">
        <f>B7  &amp; " - Buy to open " &amp;  "-" &amp; H7 &amp;"x"</f>
        <v>META US 07/17/26 C670 - Buy to open -75x</v>
      </c>
      <c r="AF7">
        <f>H7*$AF$3</f>
        <v>18.75</v>
      </c>
      <c r="AK7" t="s">
        <v>1839</v>
      </c>
      <c r="AO7" t="s">
        <v>151</v>
      </c>
    </row>
    <row r="8" spans="1:41">
      <c r="A8" s="98" t="s">
        <v>246</v>
      </c>
      <c r="B8" s="73" t="s">
        <v>2416</v>
      </c>
      <c r="C8" s="59" t="str" cm="1">
        <f t="array" ref="C8">_xll.BDP(B8&amp;" Equity","OPT_UNDL_TICKER")</f>
        <v>META US</v>
      </c>
      <c r="D8" s="59" t="str" cm="1">
        <f t="array" ref="D8">_xll.BDP($B8&amp;" Index","mifid_Maturity_date")</f>
        <v>17/07/2026</v>
      </c>
      <c r="E8" s="59" cm="1">
        <f t="array" ref="E8">_xll.BDP($B8&amp;" Index","opt_days_expire")</f>
        <v>169</v>
      </c>
      <c r="F8" s="59" t="str" cm="1">
        <f t="array" ref="F8">_xll.BDP(B8&amp;" Equity","QUOTED_CURRENCY_REALTIME")</f>
        <v>USD</v>
      </c>
      <c r="G8" s="105" t="s">
        <v>247</v>
      </c>
      <c r="H8" s="96">
        <f>H7</f>
        <v>75</v>
      </c>
      <c r="I8" s="97">
        <f>IF(G8="Buy",L8,K8)</f>
        <v>102.7</v>
      </c>
      <c r="J8" s="19">
        <f>I8/S8</f>
        <v>0.13871817383669885</v>
      </c>
      <c r="K8" s="36" cm="1">
        <f t="array" ref="K8">_xll.BDP($B8&amp;" Equity","bid")</f>
        <v>101.6</v>
      </c>
      <c r="L8" s="36" cm="1">
        <f t="array" ref="L8">_xll.BDP($B8&amp;" Equity","ask")</f>
        <v>102.7</v>
      </c>
      <c r="M8" s="40">
        <f>(L8/K8-1)</f>
        <v>1.0826771653543288E-2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770250</v>
      </c>
      <c r="Q8" s="58">
        <f>P8/'Master P&amp;L'!$AD$5*10000</f>
        <v>3.4293765532604765</v>
      </c>
      <c r="R8" s="37" cm="1">
        <f t="array" ref="R8">_xll.BDP($C8&amp;" Equity","EST_PE_NXT_YR")*(T8/S8)</f>
        <v>16.113831112668226</v>
      </c>
      <c r="S8" s="36" cm="1">
        <f t="array" ref="S8">_xll.BDP(C8&amp;" Equity","LAST_PRICE")</f>
        <v>740.35</v>
      </c>
      <c r="T8" s="53" cm="1">
        <f t="array" ref="T8">_xll.BDP(B8&amp;" Equity","OPT_STRIKE_PX")</f>
        <v>690</v>
      </c>
      <c r="U8" s="40">
        <f>T8/S8-1</f>
        <v>-6.8008374417505291E-2</v>
      </c>
      <c r="V8" s="37" cm="1">
        <f t="array" ref="V8">_xll.BDP($B8&amp;" Equity","ivol_mid")</f>
        <v>36.37811</v>
      </c>
      <c r="W8" s="38" cm="1">
        <f t="array" ref="W8">_xll.BDP(B8&amp;" Equity","DELTA_MID_RT")</f>
        <v>0.68489223718643188</v>
      </c>
      <c r="X8" s="48">
        <f>Y8/'Master P&amp;L'!$AE$5</f>
        <v>1.6931836072771912E-3</v>
      </c>
      <c r="Y8" s="15">
        <f>IF(G8="Sell", S8*W8*-H8*O8/N8, S8*W8*H8*O8/N8)</f>
        <v>3802949.7585073113</v>
      </c>
      <c r="Z8" s="15" cm="1">
        <f t="array" ref="Z8">_xll.BDP($B8&amp;" Equity","opt_theta")*H8*O8/N8</f>
        <v>-1419.2850000000001</v>
      </c>
      <c r="AA8" s="19" cm="1">
        <f t="array" ref="AA8">_xll.BDP($B8&amp;" Equity","opt_theta")/I8</f>
        <v>-1.842629016553067E-3</v>
      </c>
      <c r="AB8" s="36" t="str" cm="1">
        <f t="array" ref="AB8">_xll.BDP($C8&amp;" Equity","EXPECTED_REPORT_DT")</f>
        <v>30/04/2026</v>
      </c>
      <c r="AC8" s="15">
        <f>S8*H8*O8/N8</f>
        <v>5552625</v>
      </c>
      <c r="AD8" s="19">
        <f>AC8/'Master P&amp;L'!$AE$5</f>
        <v>2.4721898064327106E-3</v>
      </c>
      <c r="AE8" t="str">
        <f>B8  &amp; " - Buy to open " &amp;  "-" &amp; H8 &amp;"x"</f>
        <v>META US 07/17/26 C690 - Buy to open -75x</v>
      </c>
      <c r="AF8">
        <f>H8*$AF$3</f>
        <v>18.75</v>
      </c>
      <c r="AK8" t="s">
        <v>1842</v>
      </c>
      <c r="AO8" t="s">
        <v>151</v>
      </c>
    </row>
    <row r="9" spans="1:41">
      <c r="H9" s="100" t="s">
        <v>116</v>
      </c>
      <c r="I9" s="102">
        <f>I7-I8</f>
        <v>11.849999999999994</v>
      </c>
      <c r="J9" s="100" t="s">
        <v>249</v>
      </c>
      <c r="K9" s="101">
        <f>K8/L7</f>
        <v>0.87435456110154897</v>
      </c>
      <c r="P9" s="100" t="s">
        <v>250</v>
      </c>
      <c r="Q9" s="108">
        <f>Q7+Q8</f>
        <v>-0.39569729460697811</v>
      </c>
      <c r="S9" s="100" t="s">
        <v>251</v>
      </c>
      <c r="T9" s="102">
        <f>T8-T7</f>
        <v>20</v>
      </c>
      <c r="W9" s="100" t="s">
        <v>252</v>
      </c>
      <c r="X9" s="122">
        <f>X7+X8</f>
        <v>-9.8931851503315576E-5</v>
      </c>
      <c r="Y9" s="13">
        <f>Y7+Y8</f>
        <v>-222204.40781861544</v>
      </c>
      <c r="AC9" s="100" t="s">
        <v>229</v>
      </c>
      <c r="AD9" s="122">
        <f>AD7</f>
        <v>2.4721898064327106E-3</v>
      </c>
      <c r="AO9" t="s">
        <v>151</v>
      </c>
    </row>
    <row r="10" spans="1:41">
      <c r="H10" s="100" t="s">
        <v>253</v>
      </c>
      <c r="I10" s="102">
        <f>(T9-I9)/I9</f>
        <v>0.68776371308016959</v>
      </c>
      <c r="J10" s="100" t="s">
        <v>145</v>
      </c>
      <c r="K10" s="223">
        <f>AVERAGE(K7:L7)-AVERAGE(K8:L8)</f>
        <v>13.224999999999994</v>
      </c>
      <c r="L10" s="18"/>
      <c r="P10" s="130">
        <f>P7+P8</f>
        <v>-88875</v>
      </c>
      <c r="Q10" s="108"/>
      <c r="S10" s="100"/>
      <c r="T10" s="102"/>
      <c r="W10" s="100"/>
      <c r="X10" s="122"/>
      <c r="Y10" s="13">
        <f>Y9/S7</f>
        <v>-300.13427138328552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1.6005943135003725E-2</v>
      </c>
      <c r="K11" s="167">
        <f>K7-K8</f>
        <v>12.950000000000003</v>
      </c>
      <c r="L11" s="167">
        <f>L7-L8</f>
        <v>13.5</v>
      </c>
      <c r="P11" s="40">
        <f>P10/Y9</f>
        <v>0.39996956348655471</v>
      </c>
      <c r="Q11" s="64">
        <f>Q9*I10</f>
        <v>-0.27214624059467302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1.2749698637086705E-3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2266</v>
      </c>
      <c r="C13" s="59" t="str" cm="1">
        <f t="array" ref="C13">_xll.BDP(B13&amp;" Equity","OPT_UNDL_TICKER")</f>
        <v>GDX US</v>
      </c>
      <c r="D13" s="59" t="str" cm="1">
        <f t="array" ref="D13">_xll.BDP($B13&amp;" Index","mifid_Maturity_date")</f>
        <v>18/09/2026</v>
      </c>
      <c r="E13" s="59" cm="1">
        <f t="array" ref="E13">_xll.BDP($B13&amp;" Index","opt_days_expire")</f>
        <v>232</v>
      </c>
      <c r="F13" s="59" t="str" cm="1">
        <f t="array" ref="F13">_xll.BDP(B13&amp;" Equity","QUOTED_CURRENCY_REALTIME")</f>
        <v>USD</v>
      </c>
      <c r="G13" s="105" t="s">
        <v>248</v>
      </c>
      <c r="H13" s="96">
        <v>75</v>
      </c>
      <c r="I13" s="97">
        <f>IF(G13="Buy",L13,K13)</f>
        <v>17.45</v>
      </c>
      <c r="J13" s="19">
        <f>I13/S13</f>
        <v>0.16231048274579107</v>
      </c>
      <c r="K13" s="36" cm="1">
        <f t="array" ref="K13">_xll.BDP($B13&amp;" Equity","bid")</f>
        <v>17.45</v>
      </c>
      <c r="L13" s="36" cm="1">
        <f t="array" ref="L13">_xll.BDP($B13&amp;" Equity","ask")</f>
        <v>19.600000000000001</v>
      </c>
      <c r="M13" s="40">
        <f>(L13/K13-1)</f>
        <v>0.12320916905444146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-130875</v>
      </c>
      <c r="Q13" s="58">
        <f>P13/'Master P&amp;L'!$AD$5*10000</f>
        <v>-0.58269348446344027</v>
      </c>
      <c r="R13" s="37" t="e" cm="1">
        <f t="array" ref="R13">_xll.BDP($C13&amp;" Equity","EST_PE_NXT_YR")*(T13/S13)</f>
        <v>#VALUE!</v>
      </c>
      <c r="S13" s="36" cm="1">
        <f t="array" ref="S13">_xll.BDP(C13&amp;" Equity","LAST_PRICE")</f>
        <v>107.51</v>
      </c>
      <c r="T13" s="53" cm="1">
        <f t="array" ref="T13">_xll.BDP(B13&amp;" Equity","OPT_STRIKE_PX")</f>
        <v>105</v>
      </c>
      <c r="U13" s="40">
        <f>T13/S13-1</f>
        <v>-2.3346665426472013E-2</v>
      </c>
      <c r="V13" s="37" cm="1">
        <f t="array" ref="V13">_xll.BDP($B13&amp;" Equity","ivol_mid")</f>
        <v>45.952820000000003</v>
      </c>
      <c r="W13" s="38" cm="1">
        <f t="array" ref="W13">_xll.BDP(B13&amp;" Equity","DELTA_MID_RT")</f>
        <v>0.62314426898956299</v>
      </c>
      <c r="X13" s="48">
        <f>Y13/'Master P&amp;L'!$AE$5</f>
        <v>-2.2370835159774512E-4</v>
      </c>
      <c r="Y13" s="15">
        <f>IF(G13="Sell", S13*W13*-H13*O13/N13, S13*W13*H13*O13/N13)</f>
        <v>-502456.80269300938</v>
      </c>
      <c r="Z13" s="15" cm="1">
        <f t="array" ref="Z13">_xll.BDP($B13&amp;" Equity","opt_theta")*H13*O13/N13</f>
        <v>-256.32749999999999</v>
      </c>
      <c r="AA13" s="19" cm="1">
        <f t="array" ref="AA13">_xll.BDP($B13&amp;" Equity","opt_theta")/I13</f>
        <v>-1.958567335243553E-3</v>
      </c>
      <c r="AB13" s="36" t="str" cm="1">
        <f t="array" ref="AB13">_xll.BDP($C13&amp;" Equity","EXPECTED_REPORT_DT")</f>
        <v>#N/A N/A</v>
      </c>
      <c r="AC13" s="15">
        <f>S13*H13*O13/N13</f>
        <v>806325</v>
      </c>
      <c r="AD13" s="19">
        <f>AC13/'Master P&amp;L'!$AE$5</f>
        <v>3.5899929234764738E-4</v>
      </c>
      <c r="AE13" t="str">
        <f>B13  &amp; " - Buy to open " &amp;  "-" &amp; H13 &amp;"x"</f>
        <v>GDX US 09/18/26 C105 - Buy to open -75x</v>
      </c>
      <c r="AF13">
        <f>H13*$AF$3</f>
        <v>18.75</v>
      </c>
      <c r="AH13">
        <v>20.9</v>
      </c>
      <c r="AI13">
        <v>20.2</v>
      </c>
      <c r="AJ13" s="64"/>
      <c r="AK13" t="s">
        <v>1840</v>
      </c>
    </row>
    <row r="14" spans="1:41">
      <c r="A14" s="98" t="s">
        <v>246</v>
      </c>
      <c r="B14" s="554" t="s">
        <v>2267</v>
      </c>
      <c r="C14" s="59" t="str" cm="1">
        <f t="array" ref="C14">_xll.BDP(B14&amp;" Equity","OPT_UNDL_TICKER")</f>
        <v>GDX US</v>
      </c>
      <c r="D14" s="59" t="str" cm="1">
        <f t="array" ref="D14">_xll.BDP($B14&amp;" Index","mifid_Maturity_date")</f>
        <v>18/09/2026</v>
      </c>
      <c r="E14" s="59" cm="1">
        <f t="array" ref="E14">_xll.BDP($B14&amp;" Index","opt_days_expire")</f>
        <v>232</v>
      </c>
      <c r="F14" s="59" t="str" cm="1">
        <f t="array" ref="F14">_xll.BDP(B14&amp;" Equity","QUOTED_CURRENCY_REALTIME")</f>
        <v>USD</v>
      </c>
      <c r="G14" s="105" t="s">
        <v>247</v>
      </c>
      <c r="H14" s="96">
        <f>H13</f>
        <v>75</v>
      </c>
      <c r="I14" s="97">
        <f>IF(G14="Buy",L14,K14)</f>
        <v>15.3</v>
      </c>
      <c r="J14" s="19">
        <f>I14/S14</f>
        <v>0.14231234303785695</v>
      </c>
      <c r="K14" s="36" cm="1">
        <f t="array" ref="K14">_xll.BDP($B14&amp;" Equity","bid")</f>
        <v>14.45</v>
      </c>
      <c r="L14" s="36" cm="1">
        <f t="array" ref="L14">_xll.BDP($B14&amp;" Equity","ask")</f>
        <v>15.3</v>
      </c>
      <c r="M14" s="40">
        <f>(L14/K14-1)</f>
        <v>5.8823529411764719E-2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114750</v>
      </c>
      <c r="Q14" s="58">
        <f>P14/'Master P&amp;L'!$AD$5*10000</f>
        <v>0.51090030442926282</v>
      </c>
      <c r="R14" s="37" t="e" cm="1">
        <f t="array" ref="R14">_xll.BDP($C14&amp;" Equity","EST_PE_NXT_YR")*(T14/S14)</f>
        <v>#VALUE!</v>
      </c>
      <c r="S14" s="36" cm="1">
        <f t="array" ref="S14">_xll.BDP(C14&amp;" Equity","LAST_PRICE")</f>
        <v>107.51</v>
      </c>
      <c r="T14" s="53" cm="1">
        <f t="array" ref="T14">_xll.BDP(B14&amp;" Equity","OPT_STRIKE_PX")</f>
        <v>115</v>
      </c>
      <c r="U14" s="40">
        <f>T14/S14-1</f>
        <v>6.9667937866245033E-2</v>
      </c>
      <c r="V14" s="37" cm="1">
        <f t="array" ref="V14">_xll.BDP($B14&amp;" Equity","ivol_mid")</f>
        <v>46.878929999999997</v>
      </c>
      <c r="W14" s="38" cm="1">
        <f t="array" ref="W14">_xll.BDP(B14&amp;" Equity","DELTA_MID_RT")</f>
        <v>0.53406739234924316</v>
      </c>
      <c r="X14" s="48">
        <f>Y14/'Master P&amp;L'!$AE$5</f>
        <v>1.9172981591933168E-4</v>
      </c>
      <c r="Y14" s="15">
        <f>IF(G14="Sell", S14*W14*-H14*O14/N14, S14*W14*H14*O14/N14)</f>
        <v>430631.89013600361</v>
      </c>
      <c r="Z14" s="15" cm="1">
        <f t="array" ref="Z14">_xll.BDP($B14&amp;" Equity","opt_theta")*H14*O14/N14</f>
        <v>-255.08250000000001</v>
      </c>
      <c r="AA14" s="19" cm="1">
        <f t="array" ref="AA14">_xll.BDP($B14&amp;" Equity","opt_theta")/I14</f>
        <v>-2.2229411764705881E-3</v>
      </c>
      <c r="AB14" s="36" t="str" cm="1">
        <f t="array" ref="AB14">_xll.BDP($C14&amp;" Equity","EXPECTED_REPORT_DT")</f>
        <v>#N/A N/A</v>
      </c>
      <c r="AC14" s="15">
        <f>S14*H14*O14/N14</f>
        <v>806325</v>
      </c>
      <c r="AD14" s="19">
        <f>AC14/'Master P&amp;L'!$AE$5</f>
        <v>3.5899929234764738E-4</v>
      </c>
      <c r="AE14" t="str">
        <f>B14  &amp; " - Buy to open " &amp;  "-" &amp; H14 &amp;"x"</f>
        <v>GDX US 09/18/26 C115 - Buy to open -75x</v>
      </c>
      <c r="AF14">
        <f>H14*$AF$3</f>
        <v>18.75</v>
      </c>
      <c r="AH14">
        <v>13.2</v>
      </c>
      <c r="AI14">
        <v>12.86</v>
      </c>
      <c r="AJ14" s="64"/>
      <c r="AK14" t="s">
        <v>1841</v>
      </c>
    </row>
    <row r="15" spans="1:41">
      <c r="H15" s="100" t="s">
        <v>116</v>
      </c>
      <c r="I15" s="102">
        <f>I13-I14</f>
        <v>2.1499999999999986</v>
      </c>
      <c r="J15" s="100" t="s">
        <v>249</v>
      </c>
      <c r="K15" s="101">
        <f>K14/L13</f>
        <v>0.73724489795918358</v>
      </c>
      <c r="P15" s="100" t="s">
        <v>250</v>
      </c>
      <c r="Q15" s="108">
        <f>Q13+Q14</f>
        <v>-7.1793180034177451E-2</v>
      </c>
      <c r="S15" s="100" t="s">
        <v>251</v>
      </c>
      <c r="T15" s="102">
        <f>T14-T13</f>
        <v>10</v>
      </c>
      <c r="W15" s="100" t="s">
        <v>252</v>
      </c>
      <c r="X15" s="122">
        <f>X13+X14</f>
        <v>-3.1978535678413436E-5</v>
      </c>
      <c r="Y15" s="13">
        <f>Y13+Y14</f>
        <v>-71824.912557005766</v>
      </c>
      <c r="AC15" s="100" t="s">
        <v>229</v>
      </c>
      <c r="AD15" s="104">
        <f>AD13</f>
        <v>3.5899929234764738E-4</v>
      </c>
    </row>
    <row r="16" spans="1:41">
      <c r="H16" s="100" t="s">
        <v>253</v>
      </c>
      <c r="I16" s="102">
        <f>(T15-I15)/I15</f>
        <v>3.6511627906976774</v>
      </c>
      <c r="J16" s="100" t="s">
        <v>145</v>
      </c>
      <c r="K16" s="223">
        <f>AVERAGE(K13:L13)-AVERAGE(K14:L14)</f>
        <v>3.6499999999999986</v>
      </c>
      <c r="P16" s="130">
        <f>P13+P14</f>
        <v>-16125</v>
      </c>
      <c r="Q16" s="108"/>
      <c r="S16" s="100"/>
      <c r="T16" s="102"/>
      <c r="W16" s="108">
        <f>1/(W13-W14)</f>
        <v>11.22625801124418</v>
      </c>
      <c r="X16" s="122"/>
      <c r="Y16" s="13">
        <f>Y15/S13</f>
        <v>-668.07657480239754</v>
      </c>
      <c r="AC16" s="100"/>
      <c r="AD16" s="104"/>
    </row>
    <row r="17" spans="1:38">
      <c r="I17" s="21"/>
      <c r="J17" s="43">
        <f>J13-J14</f>
        <v>1.9998139707934126E-2</v>
      </c>
      <c r="K17" s="167">
        <f>K13-K14</f>
        <v>3</v>
      </c>
      <c r="L17" s="167">
        <f>L13-L14</f>
        <v>4.3000000000000007</v>
      </c>
      <c r="P17" s="40">
        <f>P16/Y15</f>
        <v>0.2245042761061764</v>
      </c>
      <c r="Q17" s="64">
        <f>Q15*I16</f>
        <v>-0.26212858756664809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49">
        <f>K10-K16</f>
        <v>9.5749999999999957</v>
      </c>
      <c r="AK18">
        <v>13</v>
      </c>
      <c r="AL18" s="1">
        <v>16</v>
      </c>
    </row>
    <row r="19" spans="1:38">
      <c r="A19" s="98" t="s">
        <v>246</v>
      </c>
      <c r="B19" s="73" t="s">
        <v>2230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169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39.299999999999997</v>
      </c>
      <c r="J19" s="19">
        <f>I19/S19</f>
        <v>0.11575846833578791</v>
      </c>
      <c r="K19" s="36">
        <f>_xll.BDP($B19&amp;" Equity","bid")</f>
        <v>37.35</v>
      </c>
      <c r="L19" s="36">
        <f>_xll.BDP($B19&amp;" Equity","ask")</f>
        <v>39.299999999999997</v>
      </c>
      <c r="M19" s="40">
        <f>(L19/K19-1)</f>
        <v>5.2208835341365445E-2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1965000</v>
      </c>
      <c r="Q19" s="58">
        <f>P19/'Master P&amp;L'!$AD$5*10000</f>
        <v>8.7487503111416238</v>
      </c>
      <c r="R19" s="37" cm="1">
        <f t="array" ref="R19">_xll.BDP($C19&amp;" Equity","EST_PE_NXT_YR")*(T19/S19)</f>
        <v>19.654662652102918</v>
      </c>
      <c r="S19" s="36" cm="1">
        <f t="array" ref="S19">_xll.BDP(C19&amp;" Equity","LAST_PRICE")</f>
        <v>339.5</v>
      </c>
      <c r="T19" s="53">
        <f>_xll.BDP(B19&amp;" Equity","OPT_STRIKE_PX")</f>
        <v>340</v>
      </c>
      <c r="U19" s="40">
        <f>T19/S19-1</f>
        <v>1.4727540500736325E-3</v>
      </c>
      <c r="V19" s="37">
        <f>_xll.BDP($B19&amp;" Equity","ivol_mid")</f>
        <v>39.134650000000001</v>
      </c>
      <c r="W19" s="38">
        <f>_xll.BDP(B19&amp;" Equity","DELTA_MID_RT")</f>
        <v>0.57193177938461304</v>
      </c>
      <c r="X19" s="48">
        <f>Y19/'Master P&amp;L'!$AE$5</f>
        <v>4.3225246539444527E-3</v>
      </c>
      <c r="Y19" s="15">
        <f>IF(G19="Sell", S19*W19*-H19*O19/N19, S19*W19*H19*O19/N19)</f>
        <v>9708541.9550538063</v>
      </c>
      <c r="Z19" s="15" cm="1">
        <f t="array" ref="Z19">_xll.BDP($B19&amp;" Equity","opt_theta")*H19*O19/N19</f>
        <v>-5078.0499999999993</v>
      </c>
      <c r="AA19" s="19" cm="1">
        <f t="array" ref="AA19">_xll.BDP($B19&amp;" Equity","opt_theta")/I19</f>
        <v>-2.5842493638676845E-3</v>
      </c>
      <c r="AB19" s="36" t="str" cm="1">
        <f t="array" ref="AB19">_xll.BDP($C19&amp;" Equity","EXPECTED_REPORT_DT")</f>
        <v>17/04/2026</v>
      </c>
      <c r="AC19" s="15">
        <f>S19*H19*O19/N19</f>
        <v>16975000</v>
      </c>
      <c r="AD19" s="19">
        <f>AC19/'Master P&amp;L'!$AE$5</f>
        <v>7.5577626733653478E-3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2231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169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21.85</v>
      </c>
      <c r="J20" s="19">
        <f>I20/S20</f>
        <v>6.4359351988217975E-2</v>
      </c>
      <c r="K20" s="36" cm="1">
        <f t="array" ref="K20">_xll.BDP($B20&amp;" Equity","bid")</f>
        <v>21.85</v>
      </c>
      <c r="L20" s="36" cm="1">
        <f t="array" ref="L20">_xll.BDP($B20&amp;" Equity","ask")</f>
        <v>23.7</v>
      </c>
      <c r="M20" s="40">
        <f>(L20/K20-1)</f>
        <v>8.4668192219679472E-2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-1092500</v>
      </c>
      <c r="Q20" s="58">
        <f>P20/'Master P&amp;L'!$AD$5*10000</f>
        <v>-4.8641270813853561</v>
      </c>
      <c r="R20" s="37" cm="1">
        <f t="array" ref="R20">_xll.BDP($C20&amp;" Equity","EST_PE_NXT_YR")*(T20/S20)</f>
        <v>21.966975905291498</v>
      </c>
      <c r="S20" s="36" cm="1">
        <f t="array" ref="S20">_xll.BDP(C20&amp;" Equity","LAST_PRICE")</f>
        <v>339.5</v>
      </c>
      <c r="T20" s="53" cm="1">
        <f t="array" ref="T20">_xll.BDP(B20&amp;" Equity","OPT_STRIKE_PX")</f>
        <v>380</v>
      </c>
      <c r="U20" s="40">
        <f>T20/S20-1</f>
        <v>0.11929307805596467</v>
      </c>
      <c r="V20" s="37" cm="1">
        <f t="array" ref="V20">_xll.BDP($B20&amp;" Equity","ivol_mid")</f>
        <v>39.110509999999998</v>
      </c>
      <c r="W20" s="38" cm="1">
        <f t="array" ref="W20">_xll.BDP(B20&amp;" Equity","DELTA_MID_RT")</f>
        <v>0.40712881088256836</v>
      </c>
      <c r="X20" s="48">
        <f>Y20/'Master P&amp;L'!$AE$5</f>
        <v>-3.0769829301398946E-3</v>
      </c>
      <c r="Y20" s="15">
        <f>IF(G20="Sell", S20*W20*-H20*O20/N20, S20*W20*H20*O20/N20)</f>
        <v>-6911011.5647315979</v>
      </c>
      <c r="Z20" s="15" cm="1">
        <f t="array" ref="Z20">_xll.BDP($B20&amp;" Equity","opt_theta")*H20*O20/N20</f>
        <v>-5172.95</v>
      </c>
      <c r="AA20" s="19" cm="1">
        <f t="array" ref="AA20">_xll.BDP($B20&amp;" Equity","opt_theta")/I20</f>
        <v>-4.7349656750572079E-3</v>
      </c>
      <c r="AB20" s="36" t="str" cm="1">
        <f t="array" ref="AB20">_xll.BDP($C20&amp;" Equity","EXPECTED_REPORT_DT")</f>
        <v>17/04/2026</v>
      </c>
      <c r="AC20" s="15">
        <f>S20*H20*O20/N20</f>
        <v>16975000</v>
      </c>
      <c r="AD20" s="19">
        <f>AC20/'Master P&amp;L'!$AE$5</f>
        <v>7.5577626733653478E-3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17.449999999999996</v>
      </c>
      <c r="J21" s="100" t="s">
        <v>249</v>
      </c>
      <c r="K21" s="101">
        <f>K20/L19</f>
        <v>0.55597964376590336</v>
      </c>
      <c r="P21" s="100" t="s">
        <v>250</v>
      </c>
      <c r="Q21" s="108">
        <f>Q19+Q20</f>
        <v>3.8846232297562677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1.2455417238045581E-3</v>
      </c>
      <c r="Y21" s="13">
        <f>Y19+Y20</f>
        <v>2797530.3903222084</v>
      </c>
      <c r="AC21" s="100" t="s">
        <v>229</v>
      </c>
      <c r="AD21" s="104">
        <f>AD19</f>
        <v>7.5577626733653478E-3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1.2922636103151868</v>
      </c>
      <c r="J22" s="100" t="s">
        <v>145</v>
      </c>
      <c r="K22" s="223">
        <f>AVERAGE(K19:L19)-AVERAGE(K20:L20)</f>
        <v>15.550000000000004</v>
      </c>
      <c r="P22" s="130">
        <f>P19+P20</f>
        <v>872500</v>
      </c>
      <c r="Q22" s="108"/>
      <c r="S22" s="100"/>
      <c r="T22" s="102"/>
      <c r="W22" s="100"/>
      <c r="X22" s="122"/>
      <c r="Y22" s="3">
        <f>Y21/S19</f>
        <v>8240.1484251022339</v>
      </c>
      <c r="AC22" s="100"/>
      <c r="AD22" s="104"/>
    </row>
    <row r="23" spans="1:38">
      <c r="I23" s="64">
        <f>I20*2</f>
        <v>43.7</v>
      </c>
      <c r="K23" s="167">
        <f>K19-K20</f>
        <v>15.5</v>
      </c>
      <c r="L23" s="167">
        <f>L19-L20</f>
        <v>15.599999999999998</v>
      </c>
      <c r="P23" s="40">
        <f>P22/Y21</f>
        <v>0.31188222405673632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1.1827568404749613</v>
      </c>
      <c r="K25" s="238"/>
      <c r="L25" s="238"/>
      <c r="W25" s="50"/>
    </row>
    <row r="26" spans="1:38">
      <c r="A26" s="436">
        <f>A24-H26</f>
        <v>210</v>
      </c>
      <c r="B26" s="73" t="s">
        <v>2298</v>
      </c>
      <c r="C26" t="str" cm="1">
        <f t="array" ref="C26">_xll.BDP(B26&amp;" Equity","OPT_UNDL_TICKER")</f>
        <v>META US</v>
      </c>
      <c r="D26" t="str" cm="1">
        <f t="array" ref="D26">_xll.BDP($B26&amp;" Index","mifid_Maturity_date")</f>
        <v>17/07/2026</v>
      </c>
      <c r="E26" cm="1">
        <f t="array" ref="E26">_xll.BDP($B26&amp;" Index","opt_days_expire")</f>
        <v>169</v>
      </c>
      <c r="F26" t="str" cm="1">
        <f t="array" ref="F26">_xll.BDP(B26&amp;" Equity","QUOTED_CURRENCY_REALTIME")</f>
        <v>USD</v>
      </c>
      <c r="G26" s="105" t="s">
        <v>248</v>
      </c>
      <c r="H26" s="96">
        <v>75</v>
      </c>
      <c r="I26" s="97">
        <f>IF(G26="Buy",L26,K26)</f>
        <v>114.55</v>
      </c>
      <c r="J26" s="19">
        <f>I26/S26</f>
        <v>0.15472411697170257</v>
      </c>
      <c r="K26" s="36" cm="1">
        <f t="array" ref="K26">_xll.BDP($B26&amp;" Equity","bid")</f>
        <v>114.55</v>
      </c>
      <c r="L26" s="36" cm="1">
        <f t="array" ref="L26">_xll.BDP($B26&amp;" Equity","ask")</f>
        <v>116.2</v>
      </c>
      <c r="M26" s="40">
        <f>(L26/K26-1)</f>
        <v>1.440419030990836E-2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-859125</v>
      </c>
      <c r="Q26" s="58">
        <f>P26/'Master P&amp;L'!$AD$5*10000</f>
        <v>-3.8250738478674546</v>
      </c>
      <c r="R26" s="37" cm="1">
        <f t="array" ref="R26">_xll.BDP($C26&amp;" Equity","EST_PE_NXT_YR")*(T26/S26)</f>
        <v>15.646763544185092</v>
      </c>
      <c r="S26" s="36" cm="1">
        <f t="array" ref="S26">_xll.BDP(C26&amp;" Equity","LAST_PRICE")</f>
        <v>740.35</v>
      </c>
      <c r="T26" s="53" cm="1">
        <f t="array" ref="T26">_xll.BDP(B26&amp;" Equity","OPT_STRIKE_PX")</f>
        <v>670</v>
      </c>
      <c r="U26" s="40">
        <f>T26/S26-1</f>
        <v>-9.5022624434389136E-2</v>
      </c>
      <c r="V26" s="37" cm="1">
        <f t="array" ref="V26">_xll.BDP($B26&amp;" Equity","ivol_mid")</f>
        <v>36.42266</v>
      </c>
      <c r="W26" s="38" cm="1">
        <f t="array" ref="W26">_xll.BDP(B26&amp;" Equity","DELTA_MID_RT")</f>
        <v>0.72491014003753662</v>
      </c>
      <c r="X26" s="48">
        <f>Y26/'Master P&amp;L'!$AE$5</f>
        <v>-1.7921154587805068E-3</v>
      </c>
      <c r="Y26" s="15">
        <f>IF(G26="Sell", S26*W26*-H26*O26/N26, S26*W26*H26*O26/N26)</f>
        <v>-4025154.1663259268</v>
      </c>
      <c r="Z26" s="15" cm="1">
        <f t="array" ref="Z26">_xll.BDP($B26&amp;" Equity","opt_theta")*H26*O26/N26</f>
        <v>-1389.63</v>
      </c>
      <c r="AA26" s="19" cm="1">
        <f t="array" ref="AA26">_xll.BDP($B26&amp;" Equity","opt_theta")/I26</f>
        <v>-1.617494543867307E-3</v>
      </c>
      <c r="AB26" s="36" t="str" cm="1">
        <f t="array" ref="AB26">_xll.BDP($C26&amp;" Equity","EXPECTED_REPORT_DT")</f>
        <v>30/04/2026</v>
      </c>
      <c r="AC26" s="15">
        <f>S26*H26*O26/N26</f>
        <v>5552625</v>
      </c>
      <c r="AD26" s="19">
        <f>AC26/'Master P&amp;L'!$AE$5</f>
        <v>2.4721898064327106E-3</v>
      </c>
      <c r="AE26" t="str">
        <f>B26  &amp; " - Buy to open " &amp;  "-" &amp; H26 &amp;"x"</f>
        <v>META US 07/17/26 C670 - Buy to open -75x</v>
      </c>
    </row>
    <row r="27" spans="1:38">
      <c r="A27" s="436">
        <f>A25-H27</f>
        <v>210</v>
      </c>
      <c r="B27" s="73" t="s">
        <v>2421</v>
      </c>
      <c r="C27" t="str" cm="1">
        <f t="array" ref="C27">_xll.BDP(B27&amp;" Equity","OPT_UNDL_TICKER")</f>
        <v>META US</v>
      </c>
      <c r="D27" t="str" cm="1">
        <f t="array" ref="D27">_xll.BDP($B27&amp;" Index","mifid_Maturity_date")</f>
        <v>17/07/2026</v>
      </c>
      <c r="E27" cm="1">
        <f t="array" ref="E27">_xll.BDP($B27&amp;" Index","opt_days_expire")</f>
        <v>169</v>
      </c>
      <c r="F27" t="str" cm="1">
        <f t="array" ref="F27">_xll.BDP(B27&amp;" Equity","QUOTED_CURRENCY_REALTIME")</f>
        <v>USD</v>
      </c>
      <c r="G27" s="105" t="s">
        <v>247</v>
      </c>
      <c r="H27" s="96">
        <f>H26</f>
        <v>75</v>
      </c>
      <c r="I27" s="97">
        <f>IF(G27="Buy",L27,K27)</f>
        <v>96.85</v>
      </c>
      <c r="J27" s="19">
        <f>I27/S27</f>
        <v>0.13081650570676032</v>
      </c>
      <c r="K27" s="36" cm="1">
        <f t="array" ref="K27">_xll.BDP($B27&amp;" Equity","bid")</f>
        <v>96</v>
      </c>
      <c r="L27" s="36" cm="1">
        <f t="array" ref="L27">_xll.BDP($B27&amp;" Equity","ask")</f>
        <v>96.85</v>
      </c>
      <c r="M27" s="40">
        <f>(L27/K27-1)</f>
        <v>8.8541666666666075E-3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726375</v>
      </c>
      <c r="Q27" s="58">
        <f>P27/'Master P&amp;L'!$AD$5*10000</f>
        <v>3.2340323192139935</v>
      </c>
      <c r="R27" s="37" cm="1">
        <f t="array" ref="R27">_xll.BDP($C27&amp;" Equity","EST_PE_NXT_YR")*(T27/S27)</f>
        <v>16.347364896909795</v>
      </c>
      <c r="S27" s="36" cm="1">
        <f t="array" ref="S27">_xll.BDP(C27&amp;" Equity","LAST_PRICE")</f>
        <v>740.35</v>
      </c>
      <c r="T27" s="53" cm="1">
        <f t="array" ref="T27">_xll.BDP(B27&amp;" Equity","OPT_STRIKE_PX")</f>
        <v>700</v>
      </c>
      <c r="U27" s="40">
        <f>T27/S27-1</f>
        <v>-5.4501249409063313E-2</v>
      </c>
      <c r="V27" s="37" cm="1">
        <f t="array" ref="V27">_xll.BDP($B27&amp;" Equity","ivol_mid")</f>
        <v>36.333669999999998</v>
      </c>
      <c r="W27" s="38" cm="1">
        <f t="array" ref="W27">_xll.BDP(B27&amp;" Equity","DELTA_MID_RT")</f>
        <v>0.66375750303268433</v>
      </c>
      <c r="X27" s="48">
        <f>Y27/'Master P&amp;L'!$AE$5</f>
        <v>1.6409345329406312E-3</v>
      </c>
      <c r="Y27" s="15">
        <f>IF(G27="Sell", S27*W27*-H27*O27/N27, S27*W27*H27*O27/N27)</f>
        <v>3685596.5052768588</v>
      </c>
      <c r="Z27" s="15" cm="1">
        <f t="array" ref="Z27">_xll.BDP($B27&amp;" Equity","opt_theta")*H27*O27/N27</f>
        <v>-1423.2674999999999</v>
      </c>
      <c r="AA27" s="19" cm="1">
        <f t="array" ref="AA27">_xll.BDP($B27&amp;" Equity","opt_theta")/I27</f>
        <v>-1.9594114610221995E-3</v>
      </c>
      <c r="AB27" s="36" t="str" cm="1">
        <f t="array" ref="AB27">_xll.BDP($C27&amp;" Equity","EXPECTED_REPORT_DT")</f>
        <v>30/04/2026</v>
      </c>
      <c r="AC27" s="15">
        <f>S27*H27*O27/N27</f>
        <v>5552625</v>
      </c>
      <c r="AD27" s="19">
        <f>AC27/'Master P&amp;L'!$AE$5</f>
        <v>2.4721898064327106E-3</v>
      </c>
      <c r="AE27" t="str">
        <f>B27  &amp; " - Buy to open " &amp;  "-" &amp; H27 &amp;"x"</f>
        <v>META US 07/17/26 C700 - Buy to open -75x</v>
      </c>
    </row>
    <row r="28" spans="1:38">
      <c r="H28" s="100" t="s">
        <v>116</v>
      </c>
      <c r="I28" s="102">
        <f>I26-I27</f>
        <v>17.700000000000003</v>
      </c>
      <c r="J28" s="100" t="s">
        <v>249</v>
      </c>
      <c r="K28" s="101">
        <f>K27/L26</f>
        <v>0.82616179001721168</v>
      </c>
      <c r="P28" s="100" t="s">
        <v>250</v>
      </c>
      <c r="Q28" s="103">
        <f>Q26+Q27</f>
        <v>-0.59104152865346116</v>
      </c>
      <c r="S28" s="100" t="s">
        <v>251</v>
      </c>
      <c r="T28" s="102">
        <f>T27-T26</f>
        <v>30</v>
      </c>
      <c r="W28" s="100" t="s">
        <v>252</v>
      </c>
      <c r="X28" s="122">
        <f>X26+X27</f>
        <v>-1.5118092583987558E-4</v>
      </c>
      <c r="Y28" s="13">
        <f>Y26+Y27</f>
        <v>-339557.66104906797</v>
      </c>
      <c r="AC28" s="100" t="s">
        <v>229</v>
      </c>
      <c r="AD28" s="104">
        <f>AD26</f>
        <v>2.4721898064327106E-3</v>
      </c>
    </row>
    <row r="29" spans="1:38">
      <c r="A29" s="13">
        <f>A27-A26</f>
        <v>0</v>
      </c>
      <c r="H29" s="100" t="s">
        <v>253</v>
      </c>
      <c r="I29" s="102">
        <f>(T28-I28)/I28</f>
        <v>0.69491525423728784</v>
      </c>
      <c r="J29" s="100" t="s">
        <v>145</v>
      </c>
      <c r="K29" s="109">
        <f>AVERAGE(K26:L26)-AVERAGE(K27:L27)</f>
        <v>18.950000000000003</v>
      </c>
      <c r="P29" s="130">
        <f>P26+P27</f>
        <v>-132750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2.3907611264942261E-2</v>
      </c>
      <c r="K30" s="167">
        <f>K26-K27</f>
        <v>18.549999999999997</v>
      </c>
      <c r="L30" s="167">
        <f>L26-L27</f>
        <v>19.350000000000009</v>
      </c>
      <c r="P30" s="40">
        <f>P29/Y28</f>
        <v>0.39094980095535786</v>
      </c>
      <c r="X30" s="3">
        <f>Y30/I28</f>
        <v>-25.912134324089951</v>
      </c>
      <c r="Y30" s="8">
        <f>Y28/S26</f>
        <v>-458.64477753639221</v>
      </c>
      <c r="AG30" s="167"/>
      <c r="AH30" s="167"/>
    </row>
    <row r="31" spans="1:38">
      <c r="K31" s="64">
        <f>I27*2-I26</f>
        <v>79.149999999999991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2408</v>
      </c>
      <c r="C33" t="str" cm="1">
        <f t="array" ref="C33">_xll.BDP(B33&amp;" Equity","OPT_UNDL_TICKER")</f>
        <v>NVDA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8</v>
      </c>
      <c r="F33" t="str" cm="1">
        <f t="array" ref="F33">_xll.BDP(B33&amp;" Equity","QUOTED_CURRENCY_REALTIME")</f>
        <v>USD</v>
      </c>
      <c r="G33" s="105" t="s">
        <v>247</v>
      </c>
      <c r="H33" s="96">
        <v>2000</v>
      </c>
      <c r="I33" s="97">
        <f>IF(G33="Buy",L33,K33)</f>
        <v>2.27</v>
      </c>
      <c r="J33" s="19">
        <f>I33/S33</f>
        <v>1.1788227351803288E-2</v>
      </c>
      <c r="K33" s="36" cm="1">
        <f t="array" ref="K33">_xll.BDP($B33&amp;" Equity","bid")</f>
        <v>2.25</v>
      </c>
      <c r="L33" s="36" cm="1">
        <f t="array" ref="L33">_xll.BDP($B33&amp;" Equity","ask")</f>
        <v>2.27</v>
      </c>
      <c r="M33" s="40">
        <f>(L33/K33-1)</f>
        <v>8.8888888888889461E-3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454000</v>
      </c>
      <c r="Q33" s="58">
        <f>P33/'Master P&amp;L'!$AD$5*10000</f>
        <v>2.021339766543663</v>
      </c>
      <c r="R33" s="37" cm="1">
        <f t="array" ref="R33">_xll.BDP($C33&amp;" Equity","EST_PE_NXT_YR")*(T33/S33)</f>
        <v>25.398011254579853</v>
      </c>
      <c r="S33" s="36">
        <f>_xll.BDP(C33&amp;" Equity","LAST_PRICE")</f>
        <v>192.565</v>
      </c>
      <c r="T33" s="53" cm="1">
        <f t="array" ref="T33">_xll.BDP(B33&amp;" Equity","OPT_STRIKE_PX")</f>
        <v>197.5</v>
      </c>
      <c r="U33" s="40">
        <f>T33/S33-1</f>
        <v>2.562771012385423E-2</v>
      </c>
      <c r="V33" s="37" cm="1">
        <f t="array" ref="V33">_xll.BDP($B33&amp;" Equity","ivol_mid")</f>
        <v>37.182169999999999</v>
      </c>
      <c r="W33" s="38" cm="1">
        <f t="array" ref="W33">_xll.BDP(B33&amp;" Equity","DELTA_MID_RT")</f>
        <v>0.33651754260063171</v>
      </c>
      <c r="X33" s="48">
        <f>Y33/'Master P&amp;L'!$AE$5</f>
        <v>5.7703017654656347E-3</v>
      </c>
      <c r="Y33" s="15">
        <f>IF(G33="Sell", S33*W33*-H33*O33/N33, S33*W33*H33*O33/N33)</f>
        <v>12960300.118178127</v>
      </c>
      <c r="Z33" s="15" cm="1">
        <f t="array" ref="Z33">_xll.BDP($B33&amp;" Equity","opt_theta")*H33*O33/N33</f>
        <v>-37661.599999999999</v>
      </c>
      <c r="AA33" s="19" cm="1">
        <f t="array" ref="AA33">_xll.BDP($B33&amp;" Equity","opt_theta")/I33</f>
        <v>-8.2955066079295162E-2</v>
      </c>
      <c r="AB33" s="36" t="str" cm="1">
        <f t="array" ref="AB33">_xll.BDP($C33&amp;" Equity","EXPECTED_REPORT_DT")</f>
        <v>25/02/2026</v>
      </c>
      <c r="AC33" s="15">
        <f>S33*H33*O33/N33</f>
        <v>38513000</v>
      </c>
      <c r="AD33" s="19">
        <f>AC33/'Master P&amp;L'!$AE$5</f>
        <v>1.7147105380814116E-2</v>
      </c>
      <c r="AE33" t="str">
        <f>B33  &amp; " - Buy to open " &amp;  "-" &amp; H33 &amp;"x"</f>
        <v>NVDA US 02/06/26 C197.5 - Buy to open -2000x</v>
      </c>
    </row>
    <row r="34" spans="1:38">
      <c r="A34" s="98" t="s">
        <v>246</v>
      </c>
      <c r="B34" s="73" t="s">
        <v>2409</v>
      </c>
      <c r="C34" t="str" cm="1">
        <f t="array" ref="C34">_xll.BDP(B34&amp;" Equity","OPT_UNDL_TICKER")</f>
        <v>NVDA US</v>
      </c>
      <c r="D34" t="str" cm="1">
        <f t="array" ref="D34">_xll.BDP($B34&amp;" Index","mifid_Maturity_date")</f>
        <v>13/02/2026</v>
      </c>
      <c r="E34" cm="1">
        <f t="array" ref="E34">_xll.BDP($B34&amp;" Index","opt_days_expire")</f>
        <v>15</v>
      </c>
      <c r="F34" t="str" cm="1">
        <f t="array" ref="F34">_xll.BDP(B34&amp;" Equity","QUOTED_CURRENCY_REALTIME")</f>
        <v>USD</v>
      </c>
      <c r="G34" s="105" t="s">
        <v>248</v>
      </c>
      <c r="H34" s="96">
        <f>H33</f>
        <v>2000</v>
      </c>
      <c r="I34" s="97">
        <f>IF(G34="Buy",L34,K34)</f>
        <v>2.17</v>
      </c>
      <c r="J34" s="19">
        <f>I34/S34</f>
        <v>1.1268922182120323E-2</v>
      </c>
      <c r="K34" s="36" cm="1">
        <f t="array" ref="K34">_xll.BDP($B34&amp;" Equity","bid")</f>
        <v>2.17</v>
      </c>
      <c r="L34" s="36" cm="1">
        <f t="array" ref="L34">_xll.BDP($B34&amp;" Equity","ask")</f>
        <v>2.2000000000000002</v>
      </c>
      <c r="M34" s="40">
        <f>(L34/K34-1)</f>
        <v>1.3824884792626779E-2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-434000</v>
      </c>
      <c r="Q34" s="58">
        <f>P34/'Master P&amp;L'!$AD$5*10000</f>
        <v>-1.9322939618501094</v>
      </c>
      <c r="R34" s="37" cm="1">
        <f t="array" ref="R34">_xll.BDP($C34&amp;" Equity","EST_PE_NXT_YR")*(T34/S34)</f>
        <v>26.040998881278078</v>
      </c>
      <c r="S34" s="36">
        <f>_xll.BDP(C34&amp;" Equity","LAST_PRICE")</f>
        <v>192.565</v>
      </c>
      <c r="T34" s="53" cm="1">
        <f t="array" ref="T34">_xll.BDP(B34&amp;" Equity","OPT_STRIKE_PX")</f>
        <v>202.5</v>
      </c>
      <c r="U34" s="40">
        <f>T34/S34-1</f>
        <v>5.1592968608002554E-2</v>
      </c>
      <c r="V34" s="37" cm="1">
        <f t="array" ref="V34">_xll.BDP($B34&amp;" Equity","ivol_mid")</f>
        <v>35.400239999999997</v>
      </c>
      <c r="W34" s="38" cm="1">
        <f t="array" ref="W34">_xll.BDP(B34&amp;" Equity","DELTA_MID_RT")</f>
        <v>0.26486659049987793</v>
      </c>
      <c r="X34" s="48">
        <f>Y34/'Master P&amp;L'!$AE$5</f>
        <v>-4.5416953391583456E-3</v>
      </c>
      <c r="Y34" s="15">
        <f>IF(G34="Sell", S34*W34*-H34*O34/N34, S34*W34*H34*O34/N34)</f>
        <v>-10200806.999921799</v>
      </c>
      <c r="Z34" s="15" cm="1">
        <f t="array" ref="Z34">_xll.BDP($B34&amp;" Equity","opt_theta")*H34*O34/N34</f>
        <v>-24698.999999999996</v>
      </c>
      <c r="AA34" s="19" cm="1">
        <f t="array" ref="AA34">_xll.BDP($B34&amp;" Equity","opt_theta")/I34</f>
        <v>-5.6910138248847927E-2</v>
      </c>
      <c r="AB34" s="36" t="str" cm="1">
        <f t="array" ref="AB34">_xll.BDP($C34&amp;" Equity","EXPECTED_REPORT_DT")</f>
        <v>25/02/2026</v>
      </c>
      <c r="AC34" s="15">
        <f>S34*H34*O34/N34</f>
        <v>38513000</v>
      </c>
      <c r="AD34" s="19">
        <f>AC34/'Master P&amp;L'!$AE$5</f>
        <v>1.7147105380814116E-2</v>
      </c>
      <c r="AE34" t="str">
        <f>B34  &amp; " - Buy to open " &amp;  "-" &amp; H34 &amp;"x"</f>
        <v>NVDA US 02/13/26 C202.5 - Buy to open -2000x</v>
      </c>
    </row>
    <row r="35" spans="1:38">
      <c r="H35" s="100" t="s">
        <v>116</v>
      </c>
      <c r="I35" s="222">
        <f>I33-I34</f>
        <v>0.10000000000000009</v>
      </c>
      <c r="J35" s="100" t="s">
        <v>249</v>
      </c>
      <c r="K35" s="101">
        <f>K34/L33</f>
        <v>0.95594713656387664</v>
      </c>
      <c r="P35" s="100" t="s">
        <v>250</v>
      </c>
      <c r="Q35" s="103">
        <f>Q33+Q34</f>
        <v>8.904580469355361E-2</v>
      </c>
      <c r="S35" s="100" t="s">
        <v>251</v>
      </c>
      <c r="T35" s="102">
        <f>T34-T33</f>
        <v>5</v>
      </c>
      <c r="W35" s="100" t="s">
        <v>252</v>
      </c>
      <c r="X35" s="122">
        <f>X33+X34</f>
        <v>1.2286064263072891E-3</v>
      </c>
      <c r="Y35" s="13">
        <f>Y33+Y34</f>
        <v>2759493.1182563286</v>
      </c>
      <c r="AC35" s="100" t="s">
        <v>229</v>
      </c>
      <c r="AD35" s="104">
        <f>AD33</f>
        <v>1.7147105380814116E-2</v>
      </c>
    </row>
    <row r="36" spans="1:38">
      <c r="H36" s="100" t="s">
        <v>253</v>
      </c>
      <c r="I36" s="102">
        <f>(T35-I35)/I35</f>
        <v>48.999999999999957</v>
      </c>
      <c r="J36" s="100" t="s">
        <v>145</v>
      </c>
      <c r="K36" s="109">
        <f>AVERAGE(K33:L33)-AVERAGE(K34:L34)</f>
        <v>7.4999999999999734E-2</v>
      </c>
      <c r="P36" s="130">
        <f>P33+P34</f>
        <v>20000</v>
      </c>
      <c r="Q36" s="108"/>
      <c r="S36" s="100"/>
      <c r="T36" s="102"/>
      <c r="W36" s="100"/>
      <c r="X36" s="122"/>
      <c r="Y36" s="13">
        <f>Y35/S33</f>
        <v>14330.190420150748</v>
      </c>
      <c r="AC36" s="100"/>
      <c r="AD36" s="104"/>
    </row>
    <row r="37" spans="1:38">
      <c r="I37" s="21">
        <f>I35/S33</f>
        <v>5.1930516968296469E-4</v>
      </c>
      <c r="K37" s="64">
        <f>(2*I33)-(I34*3)</f>
        <v>-1.9699999999999998</v>
      </c>
      <c r="P37" s="267">
        <f>P36/I35/100</f>
        <v>1999.9999999999982</v>
      </c>
      <c r="W37" s="50">
        <f>W33-W34</f>
        <v>7.1650952100753784E-2</v>
      </c>
    </row>
    <row r="38" spans="1:38">
      <c r="H38">
        <v>1</v>
      </c>
      <c r="J38" s="43" t="e">
        <f>J39-J40</f>
        <v>#VALUE!</v>
      </c>
      <c r="P38" s="13"/>
    </row>
    <row r="39" spans="1:38">
      <c r="A39" s="281">
        <f>S39-T39</f>
        <v>-2.4350000000000023</v>
      </c>
      <c r="B39" s="73" t="s">
        <v>2465</v>
      </c>
      <c r="C39" t="str" cm="1">
        <f t="array" ref="C39">_xll.BDP(B39&amp;" Equity","OPT_UNDL_TICKER")</f>
        <v>NVDA US</v>
      </c>
      <c r="D39" t="str" cm="1">
        <f t="array" ref="D39">_xll.BDP($B39&amp;" Index","mifid_Maturity_date")</f>
        <v>06/02/2026</v>
      </c>
      <c r="E39" cm="1">
        <f t="array" ref="E39">_xll.BDP($B39&amp;" Index","opt_days_expire")</f>
        <v>8</v>
      </c>
      <c r="F39" t="str" cm="1">
        <f t="array" ref="F39">_xll.BDP(B39&amp;" Equity","QUOTED_CURRENCY_REALTIME")</f>
        <v>USD</v>
      </c>
      <c r="G39" s="105" t="s">
        <v>247</v>
      </c>
      <c r="H39" s="96">
        <v>50</v>
      </c>
      <c r="I39" s="224">
        <f>IF(G39="Buy",L39,K39)</f>
        <v>3.3</v>
      </c>
      <c r="J39" s="19">
        <f>I39/S39</f>
        <v>1.7137070599537816E-2</v>
      </c>
      <c r="K39" s="36" cm="1">
        <f t="array" ref="K39">_xll.BDP($B39&amp;" Equity","bid")</f>
        <v>3.25</v>
      </c>
      <c r="L39" s="36" cm="1">
        <f t="array" ref="L39">_xll.BDP($B39&amp;" Equity","ask")</f>
        <v>3.3</v>
      </c>
      <c r="M39" s="40">
        <f>(L39/K39-1)</f>
        <v>1.538461538461533E-2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16500</v>
      </c>
      <c r="Q39" s="58">
        <f>P39/'Master P&amp;L'!$AD$5*10000</f>
        <v>7.3462788872181578E-2</v>
      </c>
      <c r="R39" s="37" cm="1">
        <f t="array" ref="R39">_xll.BDP($C39&amp;" Equity","EST_PE_NXT_YR")*(T39/S39)</f>
        <v>25.076517441230742</v>
      </c>
      <c r="S39" s="36" cm="1">
        <f t="array" ref="S39">_xll.BDP(C39&amp;" Equity","LAST_PRICE")</f>
        <v>192.565</v>
      </c>
      <c r="T39" s="53" cm="1">
        <f t="array" ref="T39">_xll.BDP(B39&amp;" Equity","OPT_STRIKE_PX")</f>
        <v>195</v>
      </c>
      <c r="U39" s="40">
        <f>T39/S39-1</f>
        <v>1.264508088178018E-2</v>
      </c>
      <c r="V39" s="37" cm="1">
        <f t="array" ref="V39">_xll.BDP($B39&amp;" Equity","ivol_mid")</f>
        <v>36.235799999999998</v>
      </c>
      <c r="W39" s="38" cm="1">
        <f t="array" ref="W39">_xll.BDP(B39&amp;" Equity","DELTA_MID_RT")</f>
        <v>0.42860513925552368</v>
      </c>
      <c r="X39" s="48">
        <f>Y39/'Master P&amp;L'!$AE$5</f>
        <v>1.8373343723932433E-4</v>
      </c>
      <c r="Y39" s="15">
        <f>IF(G39="Sell", S39*W39*-H39*O39/N39, S39*W39*H39*O39/N39)</f>
        <v>412671.74320369959</v>
      </c>
      <c r="Z39" s="15" cm="1">
        <f t="array" ref="Z39">_xll.BDP($B39&amp;" Equity","opt_theta")*H39*O39/N39</f>
        <v>-1185.7649999999999</v>
      </c>
      <c r="AA39" s="19" cm="1">
        <f t="array" ref="AA39">_xll.BDP($B39&amp;" Equity","opt_theta")/I39</f>
        <v>-7.1864545454545459E-2</v>
      </c>
      <c r="AB39" s="36" t="str" cm="1">
        <f t="array" ref="AB39">_xll.BDP($C39&amp;" Equity","EXPECTED_REPORT_DT")</f>
        <v>25/02/2026</v>
      </c>
      <c r="AC39" s="15">
        <f>S39*H39*O39/N39</f>
        <v>962825</v>
      </c>
      <c r="AD39" s="19">
        <f>AC39/'Master P&amp;L'!$AE$5</f>
        <v>4.286776345203529E-4</v>
      </c>
      <c r="AE39" t="str">
        <f>B39  &amp; " - Buy to open " &amp;  "-" &amp; H39 &amp;"x"</f>
        <v>NVDA US 02/06/26 C195 - Buy to open -50x</v>
      </c>
    </row>
    <row r="40" spans="1:38">
      <c r="A40" s="281" t="e">
        <f>S40-T40</f>
        <v>#VALUE!</v>
      </c>
      <c r="B40" s="73" t="s">
        <v>2407</v>
      </c>
      <c r="C40" t="str" cm="1">
        <f t="array" ref="C40">_xll.BDP(B40&amp;" Equity","OPT_UNDL_TICKER")</f>
        <v>NVDA US</v>
      </c>
      <c r="D40" t="str" cm="1">
        <f t="array" ref="D40">_xll.BDP($B40&amp;" Index","mifid_Maturity_date")</f>
        <v>13/02/2026</v>
      </c>
      <c r="E40" cm="1">
        <f t="array" ref="E40">_xll.BDP($B40&amp;" Index","opt_days_expire")</f>
        <v>15</v>
      </c>
      <c r="F40" t="str" cm="1">
        <f t="array" ref="F40">_xll.BDP(B40&amp;" Equity","QUOTED_CURRENCY_REALTIME")</f>
        <v>USD</v>
      </c>
      <c r="G40" s="105" t="s">
        <v>248</v>
      </c>
      <c r="H40" s="96">
        <f>H39</f>
        <v>50</v>
      </c>
      <c r="I40" s="224">
        <f>IF(G40="Buy",L40,K40)</f>
        <v>0.78</v>
      </c>
      <c r="J40" s="19" t="e">
        <f>I40/S40</f>
        <v>#VALUE!</v>
      </c>
      <c r="K40" s="36" cm="1">
        <f t="array" ref="K40">_xll.BDP($B40&amp;" Equity","bid")</f>
        <v>0.78</v>
      </c>
      <c r="L40" s="36" cm="1">
        <f t="array" ref="L40">_xll.BDP($B40&amp;" Equity","ask")</f>
        <v>0.81</v>
      </c>
      <c r="M40" s="40">
        <f>(L40/K40-1)</f>
        <v>3.8461538461538547E-2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-3900</v>
      </c>
      <c r="Q40" s="58">
        <f>P40/'Master P&amp;L'!$AD$5*10000</f>
        <v>-1.7363931915242919E-2</v>
      </c>
      <c r="R40" s="37" t="e" cm="1">
        <f t="array" ref="R40">_xll.BDP($C40&amp;" Equity","EST_PE_NXT_YR")*(T40/S40)</f>
        <v>#VALUE!</v>
      </c>
      <c r="S40" s="36" t="str" cm="1">
        <f t="array" ref="S40">_xll.BDP(C40&amp;" Equity","LAST_PRICE")</f>
        <v>#N/A Requesting Data...</v>
      </c>
      <c r="T40" s="53" cm="1">
        <f t="array" ref="T40">_xll.BDP(B40&amp;" Equity","OPT_STRIKE_PX")</f>
        <v>210</v>
      </c>
      <c r="U40" s="40" t="e">
        <f>T40/S40-1</f>
        <v>#VALUE!</v>
      </c>
      <c r="V40" s="37" cm="1">
        <f t="array" ref="V40">_xll.BDP($B40&amp;" Equity","ivol_mid")</f>
        <v>34.323140000000002</v>
      </c>
      <c r="W40" s="38" cm="1">
        <f t="array" ref="W40">_xll.BDP(B40&amp;" Equity","DELTA_MID_RT")</f>
        <v>0.12182334810495377</v>
      </c>
      <c r="X40" s="48" t="e">
        <f>Y40/'Master P&amp;L'!$AE$5</f>
        <v>#VALUE!</v>
      </c>
      <c r="Y40" s="15" t="e">
        <f>IF(G40="Sell", S40*W40*-H40*O40/N40, S40*W40*H40*O40/N40)</f>
        <v>#VALUE!</v>
      </c>
      <c r="Z40" s="15" cm="1">
        <f t="array" ref="Z40">_xll.BDP($B40&amp;" Equity","opt_theta")*H40*O40/N40</f>
        <v>-415.36500000000001</v>
      </c>
      <c r="AA40" s="19" cm="1">
        <f t="array" ref="AA40">_xll.BDP($B40&amp;" Equity","opt_theta")/I40</f>
        <v>-0.10650384615384614</v>
      </c>
      <c r="AB40" s="36" t="str" cm="1">
        <f t="array" ref="AB40">_xll.BDP($C40&amp;" Equity","EXPECTED_REPORT_DT")</f>
        <v>25/02/2026</v>
      </c>
      <c r="AC40" s="15" t="e">
        <f>S40*H40*O40/N40</f>
        <v>#VALUE!</v>
      </c>
      <c r="AD40" s="19" t="e">
        <f>AC40/'Master P&amp;L'!$AE$5</f>
        <v>#VALUE!</v>
      </c>
      <c r="AE40" t="str">
        <f>B40  &amp; " - Buy to open " &amp;  "-" &amp; H40 &amp;"x"</f>
        <v>NVDA US 02/13/26 C210 - Buy to open -50x</v>
      </c>
    </row>
    <row r="41" spans="1:38">
      <c r="H41" s="100" t="s">
        <v>116</v>
      </c>
      <c r="I41" s="222">
        <f>I39-I40</f>
        <v>2.5199999999999996</v>
      </c>
      <c r="J41" s="100" t="s">
        <v>249</v>
      </c>
      <c r="K41" s="101">
        <f>K40/L39</f>
        <v>0.23636363636363639</v>
      </c>
      <c r="P41" s="100" t="s">
        <v>250</v>
      </c>
      <c r="Q41" s="108">
        <f>Q39+Q40</f>
        <v>5.6098856956938656E-2</v>
      </c>
      <c r="S41" s="100" t="s">
        <v>251</v>
      </c>
      <c r="T41" s="102">
        <f>T40-T39</f>
        <v>15</v>
      </c>
      <c r="W41" s="100" t="s">
        <v>252</v>
      </c>
      <c r="X41" s="122" t="e">
        <f>X39+X40</f>
        <v>#VALUE!</v>
      </c>
      <c r="Y41" s="13" t="e">
        <f>Y39+Y40</f>
        <v>#VALUE!</v>
      </c>
      <c r="AC41" s="100" t="s">
        <v>229</v>
      </c>
      <c r="AD41" s="122">
        <f>AD39</f>
        <v>4.286776345203529E-4</v>
      </c>
    </row>
    <row r="42" spans="1:38">
      <c r="B42" s="73"/>
      <c r="H42" s="100" t="s">
        <v>253</v>
      </c>
      <c r="I42" s="102">
        <f>(T41-K42)/I41</f>
        <v>4.9682539682539693</v>
      </c>
      <c r="J42" s="100" t="s">
        <v>145</v>
      </c>
      <c r="K42" s="223">
        <f>AVERAGE(K39:L39)-AVERAGE(K40:L40)</f>
        <v>2.48</v>
      </c>
      <c r="P42" s="130">
        <f>P39+P40</f>
        <v>12600</v>
      </c>
      <c r="Q42" s="108"/>
      <c r="S42" s="100"/>
      <c r="T42" s="102"/>
      <c r="W42" s="100"/>
      <c r="X42" s="122"/>
      <c r="Y42" s="13" t="e">
        <f>Y41/S39</f>
        <v>#VALUE!</v>
      </c>
      <c r="AC42" s="100"/>
      <c r="AD42" s="104"/>
    </row>
    <row r="43" spans="1:38">
      <c r="I43" s="278"/>
      <c r="K43" s="278">
        <f>K36-K42</f>
        <v>-2.4050000000000002</v>
      </c>
      <c r="L43" s="278"/>
      <c r="P43" s="5" t="e">
        <f>P42/Y41</f>
        <v>#VALUE!</v>
      </c>
      <c r="W43" s="50">
        <f>W39-W40</f>
        <v>0.30678179115056992</v>
      </c>
      <c r="Y43" s="13" t="e">
        <f>Y42+Y36</f>
        <v>#VALUE!</v>
      </c>
    </row>
    <row r="44" spans="1:38">
      <c r="K44" s="338">
        <f>K36/K42</f>
        <v>3.0241935483870861E-2</v>
      </c>
      <c r="L44" s="278">
        <f>K36-(K42*2)</f>
        <v>-4.8849999999999998</v>
      </c>
      <c r="P44" s="13">
        <f>P36+P42</f>
        <v>32600</v>
      </c>
    </row>
    <row r="45" spans="1:38" s="59" customFormat="1">
      <c r="O45" s="163"/>
      <c r="X45" s="127"/>
      <c r="AL45" s="14"/>
    </row>
    <row r="46" spans="1:38">
      <c r="K46" s="64">
        <f>K49*2+K50</f>
        <v>4.22</v>
      </c>
      <c r="L46" s="64">
        <f>L49*2+L50</f>
        <v>5.09</v>
      </c>
    </row>
    <row r="47" spans="1:38">
      <c r="A47" s="99" t="s">
        <v>255</v>
      </c>
      <c r="B47" s="99"/>
      <c r="K47" s="64"/>
      <c r="L47" s="64"/>
      <c r="P47" s="3">
        <f>P49+P50</f>
        <v>22050</v>
      </c>
      <c r="Q47" s="58"/>
    </row>
    <row r="48" spans="1:38">
      <c r="H48">
        <v>1</v>
      </c>
      <c r="I48" s="64">
        <f>I49-I50</f>
        <v>1.4699999999999998</v>
      </c>
    </row>
    <row r="49" spans="1:36">
      <c r="A49" s="281">
        <v>4.3</v>
      </c>
      <c r="B49" s="59" t="s">
        <v>2467</v>
      </c>
      <c r="C49" t="str" cm="1">
        <f t="array" ref="C49">_xll.BDP(B49&amp;" Equity","OPT_UNDL_TICKER")</f>
        <v>DELL US</v>
      </c>
      <c r="D49" t="str" cm="1">
        <f t="array" ref="D49">_xll.BDP($B49&amp;" Index","mifid_Maturity_date")</f>
        <v>06/02/2026</v>
      </c>
      <c r="E49" cm="1">
        <f t="array" ref="E49">_xll.BDP($B49&amp;" Index","opt_days_expire")</f>
        <v>8</v>
      </c>
      <c r="F49" t="str" cm="1">
        <f t="array" ref="F49">_xll.BDP(B49&amp;" Equity","QUOTED_CURRENCY_REALTIME")</f>
        <v>USD</v>
      </c>
      <c r="G49" s="105" t="s">
        <v>247</v>
      </c>
      <c r="H49" s="96">
        <v>150</v>
      </c>
      <c r="I49" s="97">
        <f>IF(G49="Buy",L49,K49)</f>
        <v>2.15</v>
      </c>
      <c r="J49" s="19">
        <f>I49/S49</f>
        <v>1.8157250232243898E-2</v>
      </c>
      <c r="K49" s="36" cm="1">
        <f t="array" ref="K49">_xll.BDP($B49&amp;" Equity","bid")</f>
        <v>1.77</v>
      </c>
      <c r="L49" s="36" cm="1">
        <f t="array" ref="L49">_xll.BDP($B49&amp;" Equity","ask")</f>
        <v>2.15</v>
      </c>
      <c r="M49" s="40">
        <f>(L49/K49-1)</f>
        <v>0.21468926553672318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32250</v>
      </c>
      <c r="Q49" s="58">
        <f>P49/'Master P&amp;L'!$AD$5*10000</f>
        <v>0.1435863600683549</v>
      </c>
      <c r="R49" s="37" cm="1">
        <f t="array" ref="R49">_xll.BDP($C49&amp;" Equity","EST_PE_NXT_YR")*(T49/S49)</f>
        <v>9.9177592127347936</v>
      </c>
      <c r="S49" s="36" cm="1">
        <f t="array" ref="S49">_xll.BDP(C49&amp;" Equity","LAST_PRICE")</f>
        <v>118.41</v>
      </c>
      <c r="T49" s="53" cm="1">
        <f t="array" ref="T49">_xll.BDP(B49&amp;" Equity","OPT_STRIKE_PX")</f>
        <v>115</v>
      </c>
      <c r="U49" s="40">
        <f>T49/S49-1</f>
        <v>-2.8798243391605416E-2</v>
      </c>
      <c r="V49" s="37" cm="1">
        <f t="array" ref="V49">_xll.BDP($B49&amp;" Equity","ivol_mid")</f>
        <v>47.030749999999998</v>
      </c>
      <c r="W49" s="38" cm="1">
        <f t="array" ref="W49">_xll.BDP(B49&amp;" Equity","DELTA_MID_RT")</f>
        <v>-0.3281877338886261</v>
      </c>
      <c r="X49" s="357">
        <f>Y49/'Master P&amp;L'!$AE$5</f>
        <v>-2.5952873659507939E-4</v>
      </c>
      <c r="Y49" s="15">
        <f>IF(G49="Sell", S49*W49*-H49*O49/N49, S49*W49*H49*O49/N49)</f>
        <v>-582910.64354628325</v>
      </c>
      <c r="Z49" s="15" cm="1">
        <f t="array" ref="Z49">_xll.BDP($B49&amp;" Equity","opt_theta")*H49*O49/N49</f>
        <v>-2793.6149999999998</v>
      </c>
      <c r="AA49" s="19" cm="1">
        <f t="array" ref="AA49">_xll.BDP($B49&amp;" Equity","opt_theta")/I49</f>
        <v>-8.6623720930232559E-2</v>
      </c>
      <c r="AB49" s="36" t="str" cm="1">
        <f t="array" ref="AB49">_xll.BDP($C49&amp;" Equity","EXPECTED_REPORT_DT")</f>
        <v>26/02/2026</v>
      </c>
      <c r="AC49" s="15">
        <f>S49*H49*O49/N49</f>
        <v>1776150</v>
      </c>
      <c r="AD49" s="48">
        <f>AC49/'Master P&amp;L'!$AE$5</f>
        <v>7.9079353003227461E-4</v>
      </c>
      <c r="AE49" t="str">
        <f>B49&amp;" -&gt; Buy to open "&amp;H49&amp;"x"</f>
        <v>DELL US 02/06/26 P115 -&gt; Buy to open 150x</v>
      </c>
      <c r="AJ49" t="s">
        <v>257</v>
      </c>
    </row>
    <row r="50" spans="1:36">
      <c r="A50" s="281">
        <v>2.0499999999999998</v>
      </c>
      <c r="B50" s="59" t="s">
        <v>2466</v>
      </c>
      <c r="C50" t="str" cm="1">
        <f t="array" ref="C50">_xll.BDP(B50&amp;" Equity","OPT_UNDL_TICKER")</f>
        <v>DELL US</v>
      </c>
      <c r="D50" t="str" cm="1">
        <f t="array" ref="D50">_xll.BDP($B50&amp;" Index","mifid_Maturity_date")</f>
        <v>06/02/2026</v>
      </c>
      <c r="E50" cm="1">
        <f t="array" ref="E50">_xll.BDP($B50&amp;" Index","opt_days_expire")</f>
        <v>8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150</v>
      </c>
      <c r="I50" s="97">
        <f>IF(G50="Buy",L50,K50)</f>
        <v>0.68</v>
      </c>
      <c r="J50" s="19">
        <f>I50/S50</f>
        <v>5.7427582129887687E-3</v>
      </c>
      <c r="K50" s="36" cm="1">
        <f t="array" ref="K50">_xll.BDP($B50&amp;" Equity","bid")</f>
        <v>0.68</v>
      </c>
      <c r="L50" s="36" cm="1">
        <f t="array" ref="L50">_xll.BDP($B50&amp;" Equity","ask")</f>
        <v>0.79</v>
      </c>
      <c r="M50" s="40">
        <f>(L50/K50-1)</f>
        <v>0.16176470588235281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-10200.000000000002</v>
      </c>
      <c r="Q50" s="58">
        <f>P50/'Master P&amp;L'!$AD$5*10000</f>
        <v>-4.5413360393712257E-2</v>
      </c>
      <c r="R50" s="37" cm="1">
        <f t="array" ref="R50">_xll.BDP($C50&amp;" Equity","EST_PE_NXT_YR")*(T50/S50)</f>
        <v>9.4865522904419777</v>
      </c>
      <c r="S50" s="36" cm="1">
        <f t="array" ref="S50">_xll.BDP(C50&amp;" Equity","LAST_PRICE")</f>
        <v>118.41</v>
      </c>
      <c r="T50" s="53" cm="1">
        <f t="array" ref="T50">_xll.BDP(B50&amp;" Equity","OPT_STRIKE_PX")</f>
        <v>110</v>
      </c>
      <c r="U50" s="40">
        <f>T50/S50-1</f>
        <v>-7.1024406722405176E-2</v>
      </c>
      <c r="V50" s="37" cm="1">
        <f t="array" ref="V50">_xll.BDP(B50&amp;" Equity","ivol_mid")</f>
        <v>48.64855</v>
      </c>
      <c r="W50" s="38" cm="1">
        <f t="array" ref="W50">_xll.BDP(B50&amp;" Equity","DELTA_MID_RT")</f>
        <v>-0.15260209143161774</v>
      </c>
      <c r="X50" s="357">
        <f>Y50/'Master P&amp;L'!$AE$5</f>
        <v>1.2067674657351692E-4</v>
      </c>
      <c r="Y50" s="15">
        <f>IF(G50="Sell", S50*W50*-H50*O50/N50, S50*W50*H50*O50/N50)</f>
        <v>271044.20469626784</v>
      </c>
      <c r="Z50" s="15" cm="1">
        <f t="array" ref="Z50">_xll.BDP($B50&amp;" Equity","opt_theta")*H50*O50/N50</f>
        <v>-1995.1049999999998</v>
      </c>
      <c r="AA50" s="19" cm="1">
        <f t="array" ref="AA50">_xll.BDP($B50&amp;" Equity","opt_theta")/I50</f>
        <v>-0.19559852941176467</v>
      </c>
      <c r="AB50" s="36" t="str" cm="1">
        <f t="array" ref="AB50">_xll.BDP($C50&amp;" Equity","EXPECTED_REPORT_DT")</f>
        <v>26/02/2026</v>
      </c>
      <c r="AC50" s="15">
        <f>S50*H50*O50/N50</f>
        <v>1776150</v>
      </c>
      <c r="AD50" s="19">
        <f>AC50/'Master P&amp;L'!$AE$5</f>
        <v>7.9079353003227461E-4</v>
      </c>
      <c r="AE50" t="str">
        <f>B50  &amp; " -&gt; Sell to open " &amp;   H50 &amp;"x"</f>
        <v>DELL US 02/06/26 P110 -&gt; Sell to open 150x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0.31627906976744191</v>
      </c>
      <c r="L51" s="64"/>
      <c r="P51" s="100" t="s">
        <v>250</v>
      </c>
      <c r="Q51" s="108">
        <f>Q49+Q50</f>
        <v>9.8172999674642644E-2</v>
      </c>
      <c r="S51" s="100" t="s">
        <v>251</v>
      </c>
      <c r="T51" s="102">
        <f>T49-T50</f>
        <v>5</v>
      </c>
      <c r="W51" s="100" t="s">
        <v>252</v>
      </c>
      <c r="X51" s="416">
        <f>X49+X50</f>
        <v>-1.3885199002156245E-4</v>
      </c>
      <c r="Y51" s="13">
        <f>Y49+Y50</f>
        <v>-311866.4388500154</v>
      </c>
      <c r="AC51" s="100" t="s">
        <v>229</v>
      </c>
      <c r="AD51" s="122">
        <f>AD49</f>
        <v>7.9079353003227461E-4</v>
      </c>
    </row>
    <row r="52" spans="1:36">
      <c r="A52" s="276"/>
      <c r="H52" s="100" t="s">
        <v>253</v>
      </c>
      <c r="I52" s="102">
        <f>(T51-I51)/I51</f>
        <v>1.7777777777777779</v>
      </c>
      <c r="J52" s="100" t="s">
        <v>145</v>
      </c>
      <c r="K52" s="109">
        <f>AVERAGE(K49:L49)-AVERAGE(K50:L50)</f>
        <v>1.2249999999999999</v>
      </c>
      <c r="L52" s="64"/>
      <c r="P52" s="100"/>
      <c r="Q52" s="108"/>
      <c r="S52" s="100"/>
      <c r="T52" s="102"/>
      <c r="W52" s="100"/>
      <c r="X52" s="122"/>
      <c r="Z52" s="3">
        <f>Y51/S49</f>
        <v>-2633.7846368551254</v>
      </c>
      <c r="AC52" s="100"/>
      <c r="AD52" s="104"/>
    </row>
    <row r="54" spans="1:36">
      <c r="H54">
        <v>1</v>
      </c>
      <c r="I54" s="64"/>
      <c r="J54" s="43" t="e">
        <f>J55-J56</f>
        <v>#VALUE!</v>
      </c>
      <c r="L54" s="64"/>
      <c r="P54" s="13" t="e">
        <f>P55+P56</f>
        <v>#VALUE!</v>
      </c>
    </row>
    <row r="55" spans="1:36">
      <c r="A55" s="98" t="s">
        <v>256</v>
      </c>
      <c r="B55" s="59" t="s">
        <v>2248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t="str" cm="1">
        <f t="array" ref="E55">_xll.BDP($B55&amp;" Index","opt_days_expire")</f>
        <v>#N/A N/A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0.03</v>
      </c>
      <c r="J55" s="19">
        <f>I55/S55</f>
        <v>8.7924970691676433E-5</v>
      </c>
      <c r="K55" s="36" t="str" cm="1">
        <f t="array" ref="K55">_xll.BDP($B55&amp;" Equity","bid")</f>
        <v>#N/A N/A</v>
      </c>
      <c r="L55" s="36" cm="1">
        <f t="array" ref="L55">_xll.BDP($B55&amp;" Equity","ask")</f>
        <v>0.03</v>
      </c>
      <c r="M55" s="40" t="e">
        <f>(L55/K55-1)</f>
        <v>#VALUE!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300</v>
      </c>
      <c r="Q55" s="58">
        <f>P55/'Master P&amp;L'!$AD$5*10000</f>
        <v>1.3356870704033014E-3</v>
      </c>
      <c r="R55" s="37" cm="1">
        <f t="array" ref="R55">_xll.BDP($C55&amp;" Equity","EST_PE_NXT_YR")*(T55/S55)</f>
        <v>24.159513872210663</v>
      </c>
      <c r="S55" s="36" cm="1">
        <f t="array" ref="S55">_xll.BDP(C55&amp;" Equity","LAST_PRICE")</f>
        <v>341.2</v>
      </c>
      <c r="T55" s="53" cm="1">
        <f t="array" ref="T55">_xll.BDP(B55&amp;" Equity","OPT_STRIKE_PX")</f>
        <v>290</v>
      </c>
      <c r="U55" s="40">
        <f>T55/S55-1</f>
        <v>-0.15005861664712772</v>
      </c>
      <c r="V55" s="37" cm="1">
        <f t="array" ref="V55">_xll.BDP($B55&amp;" Equity","ivol_mid")</f>
        <v>828.09609999999998</v>
      </c>
      <c r="W55" s="38" cm="1">
        <f t="array" ref="W55">_xll.BDP(B55&amp;" Equity","DELTA_MID_RT")</f>
        <v>-4.4060000218451023E-3</v>
      </c>
      <c r="X55" s="48">
        <f>Y55/'Master P&amp;L'!$AE$5</f>
        <v>-6.6932490452706902E-6</v>
      </c>
      <c r="Y55" s="15">
        <f>IF(G55="Sell", S55*W55*-H55*O55/N55, S55*W55*H55*O55/N55)</f>
        <v>-15033.272074535489</v>
      </c>
      <c r="Z55" s="15" cm="1">
        <f t="array" ref="Z55">_xll.BDP($B55&amp;" Equity","opt_theta")*H55*O55/N55</f>
        <v>0</v>
      </c>
      <c r="AA55" s="19" cm="1">
        <f t="array" ref="AA55">_xll.BDP($B55&amp;" Equity","opt_theta")/I55</f>
        <v>0</v>
      </c>
      <c r="AB55" s="36" t="str" cm="1">
        <f t="array" ref="AB55">_xll.BDP($C55&amp;" Equity","EXPECTED_REPORT_DT")</f>
        <v>12/02/2026</v>
      </c>
      <c r="AC55" s="15">
        <f>S55*H55*O55/N55</f>
        <v>3412000</v>
      </c>
      <c r="AD55" s="48">
        <f>AC55/'Master P&amp;L'!$AE$5</f>
        <v>1.5191214280720216E-3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2247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t="str" cm="1">
        <f t="array" ref="E56">_xll.BDP($B56&amp;" Index","opt_days_expire")</f>
        <v>#N/A N/A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 t="str">
        <f>IF(G56="Buy",L56,K56)</f>
        <v>#N/A N/A</v>
      </c>
      <c r="J56" s="19" t="e">
        <f>I56/S56</f>
        <v>#VALUE!</v>
      </c>
      <c r="K56" s="36" t="str" cm="1">
        <f t="array" ref="K56">_xll.BDP($B56&amp;" Equity","bid")</f>
        <v>#N/A N/A</v>
      </c>
      <c r="L56" s="36" cm="1">
        <f t="array" ref="L56">_xll.BDP($B56&amp;" Equity","ask")</f>
        <v>2.12</v>
      </c>
      <c r="M56" s="40" t="e">
        <f>(L56/K56-1)</f>
        <v>#VALUE!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 t="e">
        <f>IF(G56="Buy",((I56/N56)*H56*O56),((I56/N56)*-H56*O56))</f>
        <v>#VALUE!</v>
      </c>
      <c r="Q56" s="58" t="e">
        <f>P56/'Master P&amp;L'!$AD$5*10000</f>
        <v>#VALUE!</v>
      </c>
      <c r="R56" s="37" cm="1">
        <f t="array" ref="R56">_xll.BDP($C56&amp;" Equity","EST_PE_NXT_YR")*(T56/S56)</f>
        <v>23.326427186962018</v>
      </c>
      <c r="S56" s="36" cm="1">
        <f t="array" ref="S56">_xll.BDP(C56&amp;" Equity","LAST_PRICE")</f>
        <v>341.2</v>
      </c>
      <c r="T56" s="53" cm="1">
        <f t="array" ref="T56">_xll.BDP(B56&amp;" Equity","OPT_STRIKE_PX")</f>
        <v>280</v>
      </c>
      <c r="U56" s="40">
        <f>T56/S56-1</f>
        <v>-0.17936694021101995</v>
      </c>
      <c r="V56" s="37" cm="1">
        <f t="array" ref="V56">_xll.BDP(B56&amp;" Equity","ivol_mid")</f>
        <v>4291.7550000000001</v>
      </c>
      <c r="W56" s="38" cm="1">
        <f t="array" ref="W56">_xll.BDP(B56&amp;" Equity","DELTA_MID_RT")</f>
        <v>-2.7517000213265419E-2</v>
      </c>
      <c r="X56" s="48">
        <f>Y56/'Master P&amp;L'!$AE$5</f>
        <v>4.1801664660233876E-5</v>
      </c>
      <c r="Y56" s="15">
        <f>IF(G56="Sell", S56*W56*-H56*O56/N56, S56*W56*H56*O56/N56)</f>
        <v>93888.004727661595</v>
      </c>
      <c r="Z56" s="15" cm="1">
        <f t="array" ref="Z56">_xll.BDP($B56&amp;" Equity","opt_theta")*H56*O56/N56</f>
        <v>0</v>
      </c>
      <c r="AA56" s="19" t="e" cm="1">
        <f t="array" ref="AA56">_xll.BDP($B56&amp;" Equity","opt_theta")/I56</f>
        <v>#VALUE!</v>
      </c>
      <c r="AB56" s="36" t="str" cm="1">
        <f t="array" ref="AB56">_xll.BDP($C56&amp;" Equity","EXPECTED_REPORT_DT")</f>
        <v>12/02/2026</v>
      </c>
      <c r="AC56" s="15">
        <f>S56*H56*O56/N56</f>
        <v>3412000</v>
      </c>
      <c r="AD56" s="19">
        <f>AC56/'Master P&amp;L'!$AE$5</f>
        <v>1.5191214280720216E-3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100" t="s">
        <v>116</v>
      </c>
      <c r="I57" s="102" t="e">
        <f>I55-I56</f>
        <v>#VALUE!</v>
      </c>
      <c r="J57" s="100" t="s">
        <v>249</v>
      </c>
      <c r="K57" s="101" t="e">
        <f>K56/L55</f>
        <v>#VALUE!</v>
      </c>
      <c r="L57" s="64"/>
      <c r="P57" s="100" t="s">
        <v>250</v>
      </c>
      <c r="Q57" s="108" t="e">
        <f>Q55+Q56</f>
        <v>#VALUE!</v>
      </c>
      <c r="S57" s="100" t="s">
        <v>251</v>
      </c>
      <c r="T57" s="102">
        <f>T55-T56</f>
        <v>10</v>
      </c>
      <c r="W57" s="100" t="s">
        <v>252</v>
      </c>
      <c r="X57" s="122">
        <f>X55+X56</f>
        <v>3.5108415614963184E-5</v>
      </c>
      <c r="Y57" s="13"/>
      <c r="AC57" s="100" t="s">
        <v>229</v>
      </c>
      <c r="AD57" s="122">
        <f>AD55</f>
        <v>1.5191214280720216E-3</v>
      </c>
    </row>
    <row r="58" spans="1:36">
      <c r="H58" s="100" t="s">
        <v>253</v>
      </c>
      <c r="I58" s="102" t="e">
        <f>(T57-I57)/I57</f>
        <v>#VALUE!</v>
      </c>
      <c r="J58" s="100" t="s">
        <v>145</v>
      </c>
      <c r="K58" s="109">
        <f>AVERAGE(K55:L55)-AVERAGE(K56:L56)</f>
        <v>-2.0900000000000003</v>
      </c>
      <c r="L58" s="64"/>
      <c r="P58" s="100"/>
      <c r="Q58" s="108"/>
      <c r="S58" s="100"/>
      <c r="T58" s="102"/>
      <c r="W58" s="100"/>
      <c r="X58" s="122"/>
      <c r="Y58" s="13">
        <f>Y55+Y56</f>
        <v>78854.732653126106</v>
      </c>
      <c r="Z58" s="3"/>
      <c r="AC58" s="100"/>
      <c r="AD58" s="104"/>
    </row>
    <row r="59" spans="1:36">
      <c r="K59" s="64">
        <f>K58-K52</f>
        <v>-3.3150000000000004</v>
      </c>
      <c r="Y59" s="64">
        <f>Y58/S55</f>
        <v>231.11000191420314</v>
      </c>
    </row>
    <row r="60" spans="1:36">
      <c r="I60" s="64" t="e">
        <f>I51-I57</f>
        <v>#VALUE!</v>
      </c>
      <c r="K60" s="64">
        <f>K52-K58</f>
        <v>3.3150000000000004</v>
      </c>
      <c r="Y60" s="64"/>
    </row>
    <row r="61" spans="1:36">
      <c r="H61">
        <v>1</v>
      </c>
      <c r="I61" s="64"/>
      <c r="L61" s="64">
        <f>AVERAGE(K62:L62)</f>
        <v>6.4249999999999998</v>
      </c>
      <c r="T61" s="64">
        <f>T62-S62</f>
        <v>-1.3050000000000068</v>
      </c>
    </row>
    <row r="62" spans="1:36">
      <c r="A62" s="98" t="s">
        <v>256</v>
      </c>
      <c r="B62" t="s">
        <v>2058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50</v>
      </c>
      <c r="F62" t="str" cm="1">
        <f t="array" ref="F62">_xll.BDP(B62&amp;" Equity","QUOTED_CURRENCY_REALTIME")</f>
        <v>USD</v>
      </c>
      <c r="G62" s="105" t="s">
        <v>247</v>
      </c>
      <c r="H62" s="96">
        <v>150</v>
      </c>
      <c r="I62" s="97">
        <f>IF(G62="Buy",L62,K62)</f>
        <v>6.6</v>
      </c>
      <c r="J62" s="19">
        <f>I62/S62</f>
        <v>8.1175819445298558E-2</v>
      </c>
      <c r="K62" s="36" cm="1">
        <f t="array" ref="K62">_xll.BDP($B62&amp;" Equity","bid")</f>
        <v>6.25</v>
      </c>
      <c r="L62" s="36" cm="1">
        <f t="array" ref="L62">_xll.BDP($B62&amp;" Equity","ask")</f>
        <v>6.6</v>
      </c>
      <c r="M62" s="40">
        <f>(L62/K62-1)</f>
        <v>5.600000000000005E-2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99000</v>
      </c>
      <c r="Q62" s="58">
        <f>P62/'Master P&amp;L'!$AD$5*10000</f>
        <v>0.44077673323308952</v>
      </c>
      <c r="R62" s="37" cm="1">
        <f t="array" ref="R62">_xll.BDP($C62&amp;" Equity","EST_PE_NXT_YR")*(T62/S62)</f>
        <v>22.956987358008202</v>
      </c>
      <c r="S62" s="36" cm="1">
        <f t="array" ref="S62">_xll.BDP(C62&amp;" Equity","LAST_PRICE")</f>
        <v>81.305000000000007</v>
      </c>
      <c r="T62" s="53" cm="1">
        <f t="array" ref="T62">_xll.BDP(B62&amp;" Equity","OPT_STRIKE_PX")</f>
        <v>80</v>
      </c>
      <c r="U62" s="40">
        <f>T62/S62-1</f>
        <v>-1.6050673390320513E-2</v>
      </c>
      <c r="V62" s="37" cm="1">
        <f t="array" ref="V62">_xll.BDP($B62&amp;" Equity","ivol_mid")</f>
        <v>60.892620000000001</v>
      </c>
      <c r="W62" s="38" cm="1">
        <f t="array" ref="W62">_xll.BDP(B62&amp;" Equity","DELTA_MID_RT")</f>
        <v>-0.42019125819206238</v>
      </c>
      <c r="X62" s="48">
        <f>Y62/'Master P&amp;L'!$AE$5</f>
        <v>-2.2815972956553342E-4</v>
      </c>
      <c r="Y62" s="15">
        <f>IF(G62="Sell", S62*W62*-H62*O62/N62, S62*W62*H62*O62/N62)</f>
        <v>-512454.75370958447</v>
      </c>
      <c r="Z62" s="15" cm="1">
        <f t="array" ref="Z62">_xll.BDP($B62&amp;" Equity","opt_theta")*H62*O62/N62</f>
        <v>-1071.8999999999999</v>
      </c>
      <c r="AA62" s="19" cm="1">
        <f t="array" ref="AA62">_xll.BDP($B62&amp;" Equity","opt_theta")/I62</f>
        <v>-1.0827272727272727E-2</v>
      </c>
      <c r="AB62" s="36" t="str" cm="1">
        <f t="array" ref="AB62">_xll.BDP($C62&amp;" Equity","EXPECTED_REPORT_DT")</f>
        <v>05/03/2026</v>
      </c>
      <c r="AC62" s="15">
        <f>S62*H62*O62/N62</f>
        <v>1219575.0000000002</v>
      </c>
      <c r="AD62" s="48">
        <f>AC62/'Master P&amp;L'!$AE$5</f>
        <v>5.429901862957022E-4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8" t="s">
        <v>256</v>
      </c>
      <c r="B63" s="73" t="s">
        <v>2278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50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150</v>
      </c>
      <c r="I63" s="97">
        <f>IF(G63="Buy",L63,K63)</f>
        <v>2.5499999999999998</v>
      </c>
      <c r="J63" s="19">
        <f>I63/S63</f>
        <v>3.1363384785683533E-2</v>
      </c>
      <c r="K63" s="36" cm="1">
        <f t="array" ref="K63">_xll.BDP($B63&amp;" Equity","bid")</f>
        <v>2.5499999999999998</v>
      </c>
      <c r="L63" s="36" cm="1">
        <f t="array" ref="L63">_xll.BDP($B63&amp;" Equity","ask")</f>
        <v>2.76</v>
      </c>
      <c r="M63" s="40">
        <f>(L63/K63-1)</f>
        <v>8.2352941176470518E-2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-38250</v>
      </c>
      <c r="Q63" s="58">
        <f>P63/'Master P&amp;L'!$AD$5*10000</f>
        <v>-0.17030010147642094</v>
      </c>
      <c r="R63" s="37" cm="1">
        <f t="array" ref="R63">_xll.BDP($C63&amp;" Equity","EST_PE_NXT_YR")*(T63/S63)</f>
        <v>20.08736393825718</v>
      </c>
      <c r="S63" s="36" cm="1">
        <f t="array" ref="S63">_xll.BDP(C63&amp;" Equity","LAST_PRICE")</f>
        <v>81.305000000000007</v>
      </c>
      <c r="T63" s="53" cm="1">
        <f t="array" ref="T63">_xll.BDP(B63&amp;" Equity","OPT_STRIKE_PX")</f>
        <v>70</v>
      </c>
      <c r="U63" s="40">
        <f>T63/S63-1</f>
        <v>-0.13904433921653037</v>
      </c>
      <c r="V63" s="37" cm="1">
        <f t="array" ref="V63">_xll.BDP($B63&amp;" Equity","ivol_mid")</f>
        <v>62.578279999999999</v>
      </c>
      <c r="W63" s="38" cm="1">
        <f t="array" ref="W63">_xll.BDP(B63&amp;" Equity","DELTA_MID_RT")</f>
        <v>-0.21768683195114136</v>
      </c>
      <c r="X63" s="48">
        <f>Y63/'Master P&amp;L'!$AE$5</f>
        <v>1.1820181343527147E-4</v>
      </c>
      <c r="Y63" s="15">
        <f>IF(G63="Sell", S63*W63*-H63*O63/N63, S63*W63*H63*O63/N63)</f>
        <v>265485.41807681328</v>
      </c>
      <c r="Z63" s="15" cm="1">
        <f t="array" ref="Z63">_xll.BDP($B63&amp;" Equity","opt_theta")*H63*O63/N63</f>
        <v>-769.54499999999996</v>
      </c>
      <c r="AA63" s="19" cm="1">
        <f t="array" ref="AA63">_xll.BDP($B63&amp;" Equity","opt_theta")/I63</f>
        <v>-2.0118823529411765E-2</v>
      </c>
      <c r="AB63" s="36" t="str" cm="1">
        <f t="array" ref="AB63">_xll.BDP($C63&amp;" Equity","EXPECTED_REPORT_DT")</f>
        <v>05/03/2026</v>
      </c>
      <c r="AC63" s="15">
        <f>S63*H63*O63/N63</f>
        <v>1219575.0000000002</v>
      </c>
      <c r="AD63" s="48">
        <f>AC63/'Master P&amp;L'!$AE$5</f>
        <v>5.429901862957022E-4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100" t="s">
        <v>116</v>
      </c>
      <c r="I64" s="102">
        <f>I62-I63</f>
        <v>4.05</v>
      </c>
      <c r="J64" s="100" t="s">
        <v>249</v>
      </c>
      <c r="K64" s="101">
        <f>K63/L62</f>
        <v>0.38636363636363635</v>
      </c>
      <c r="L64" s="64"/>
      <c r="P64" s="100" t="s">
        <v>250</v>
      </c>
      <c r="Q64" s="108">
        <f>Q62+Q63</f>
        <v>0.27047663175666858</v>
      </c>
      <c r="S64" s="100" t="s">
        <v>251</v>
      </c>
      <c r="T64" s="102">
        <f>T62-T63</f>
        <v>10</v>
      </c>
      <c r="W64" s="100" t="s">
        <v>252</v>
      </c>
      <c r="X64" s="122">
        <f>X62+X63</f>
        <v>-1.0995791613026195E-4</v>
      </c>
      <c r="Y64" s="13">
        <f>Y62+Y63</f>
        <v>-246969.3356327712</v>
      </c>
      <c r="AC64" s="100" t="s">
        <v>229</v>
      </c>
      <c r="AD64" s="122">
        <f>AD62</f>
        <v>5.429901862957022E-4</v>
      </c>
    </row>
    <row r="65" spans="1:31">
      <c r="H65" s="100" t="s">
        <v>253</v>
      </c>
      <c r="I65" s="102">
        <f>(T64-I64)/I64</f>
        <v>1.4691358024691359</v>
      </c>
      <c r="J65" s="100" t="s">
        <v>145</v>
      </c>
      <c r="K65" s="109">
        <f>AVERAGE(K62:L62)-AVERAGE(K63:L63)</f>
        <v>3.77</v>
      </c>
      <c r="P65" s="100"/>
      <c r="Q65" s="108"/>
      <c r="S65" s="100"/>
      <c r="T65" s="102"/>
      <c r="W65" s="100"/>
      <c r="X65" s="122"/>
      <c r="Z65" s="3">
        <f>Y64/S62</f>
        <v>-3037.5663936138144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2254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5" t="s">
        <v>247</v>
      </c>
      <c r="H68" s="96">
        <v>500</v>
      </c>
      <c r="I68" s="97" t="str">
        <f>IF(G68="Buy",L68,K68)</f>
        <v>#N/A Real Time</v>
      </c>
      <c r="J68" s="19" t="e">
        <f>I68/S68</f>
        <v>#VALUE!</v>
      </c>
      <c r="K68" s="36" t="str" cm="1">
        <f t="array" ref="K68">_xll.BDP($B68&amp;" Equity","bid")</f>
        <v>#N/A Real Time</v>
      </c>
      <c r="L68" s="36" t="str" cm="1">
        <f t="array" ref="L68">_xll.BDP($B68&amp;" Equity","ask")</f>
        <v>#N/A Real Time</v>
      </c>
      <c r="M68" s="40" t="e">
        <f>(L68/K68-1)</f>
        <v>#VALUE!</v>
      </c>
      <c r="N68" s="36" t="str" cm="1">
        <f t="array" ref="N68">_xll.BDP(F68&amp;" Curncy","PX_LAST")</f>
        <v>#N/A Real Time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629.82000000000005</v>
      </c>
      <c r="T68" s="53" cm="1">
        <f t="array" ref="T68">_xll.BDP(B68&amp;" Equity","OPT_STRIKE_PX")</f>
        <v>623</v>
      </c>
      <c r="U68" s="40">
        <f>T68/S68-1</f>
        <v>-1.0828490679876901E-2</v>
      </c>
      <c r="V68" s="37" t="str" cm="1">
        <f t="array" ref="V68">_xll.BDP($B68&amp;" Equity","ivol_mid")</f>
        <v>#N/A N/A</v>
      </c>
      <c r="W68" s="38" t="str" cm="1">
        <f t="array" ref="W68">_xll.BDP(B68&amp;" Equity","DELTA_MID_RT")</f>
        <v>#N/A Real Time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2255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5" t="s">
        <v>248</v>
      </c>
      <c r="H69" s="96">
        <f>H68</f>
        <v>500</v>
      </c>
      <c r="I69" s="97" t="str">
        <f>IF(G69="Buy",L69,K69)</f>
        <v>#N/A Real Time</v>
      </c>
      <c r="J69" s="19" t="e">
        <f>I69/S69</f>
        <v>#VALUE!</v>
      </c>
      <c r="K69" s="36" t="str" cm="1">
        <f t="array" ref="K69">_xll.BDP($B69&amp;" Equity","bid")</f>
        <v>#N/A Real Time</v>
      </c>
      <c r="L69" s="36" t="str" cm="1">
        <f t="array" ref="L69">_xll.BDP($B69&amp;" Equity","ask")</f>
        <v>#N/A Real Time</v>
      </c>
      <c r="M69" s="40" t="e">
        <f>(L69/K69-1)</f>
        <v>#VALUE!</v>
      </c>
      <c r="N69" s="36" t="str" cm="1">
        <f t="array" ref="N69">_xll.BDP(F69&amp;" Curncy","PX_LAST")</f>
        <v>#N/A Real Time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629.82000000000005</v>
      </c>
      <c r="T69" s="53" cm="1">
        <f t="array" ref="T69">_xll.BDP(B69&amp;" Equity","OPT_STRIKE_PX")</f>
        <v>622</v>
      </c>
      <c r="U69" s="40">
        <f>T69/S69-1</f>
        <v>-1.2416245911530344E-2</v>
      </c>
      <c r="V69" s="37" t="str" cm="1">
        <f t="array" ref="V69">_xll.BDP($B69&amp;" Equity","ivol_mid")</f>
        <v>#N/A N/A</v>
      </c>
      <c r="W69" s="38" t="str" cm="1">
        <f t="array" ref="W69">_xll.BDP(B69&amp;" Equity","DELTA_MID_RT")</f>
        <v>#N/A Real Time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#DIV/0!</v>
      </c>
      <c r="L72" s="64" t="e">
        <f>L68-L69</f>
        <v>#VALUE!</v>
      </c>
      <c r="P72" s="13">
        <f>-P62-P67</f>
        <v>-99000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59" t="s">
        <v>2280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23/01/2026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USD</v>
      </c>
      <c r="G75" s="105" t="s">
        <v>247</v>
      </c>
      <c r="H75" s="96">
        <v>75</v>
      </c>
      <c r="I75" s="97">
        <f>IF(G75="Buy",L75,K75)</f>
        <v>0.01</v>
      </c>
      <c r="J75" s="19">
        <f>I75/S75</f>
        <v>1.5877552316534881E-5</v>
      </c>
      <c r="K75" s="36" t="str" cm="1">
        <f t="array" ref="K75">_xll.BDP($B75&amp;" Equity","bid")</f>
        <v>#N/A N/A</v>
      </c>
      <c r="L75" s="36" cm="1">
        <f t="array" ref="L75">_xll.BDP($B75&amp;" Equity","ask")</f>
        <v>0.01</v>
      </c>
      <c r="M75" s="40" t="e">
        <f>(L75/K75-1)</f>
        <v>#VALUE!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75</v>
      </c>
      <c r="Q75" s="58">
        <f>P75/'Master P&amp;L'!$AD$5*10000</f>
        <v>3.3392176760082534E-4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629.82000000000005</v>
      </c>
      <c r="T75" s="53" cm="1">
        <f t="array" ref="T75">_xll.BDP(B75&amp;" Equity","OPT_STRIKE_PX")</f>
        <v>615</v>
      </c>
      <c r="U75" s="19">
        <f>T75/S75-1</f>
        <v>-2.3530532533104775E-2</v>
      </c>
      <c r="V75" s="37" cm="1">
        <f t="array" ref="V75">_xll.BDP($B75&amp;" Equity","ivol_mid")</f>
        <v>233.09139999999999</v>
      </c>
      <c r="W75" s="38" cm="1">
        <f t="array" ref="W75">_xll.BDP(B75&amp;" Equity","DELTA_MID_RT")</f>
        <v>-5.6139999069273472E-3</v>
      </c>
      <c r="X75" s="48">
        <f>Y75/'Master P&amp;L'!$AE$5</f>
        <v>-1.180683731887189E-5</v>
      </c>
      <c r="Y75" s="15">
        <f>IF(G75="Sell", S75*W75*-H75*O75/N75, S75*W75*H75*O75/N75)</f>
        <v>-26518.570660357364</v>
      </c>
      <c r="Z75" s="15" cm="1">
        <f t="array" ref="Z75">_xll.BDP($B75&amp;" Equity","opt_theta")*H75*O75/N75</f>
        <v>0</v>
      </c>
      <c r="AA75" s="19" cm="1">
        <f t="array" ref="AA75">_xll.BDP($B75&amp;" Equity","opt_theta")/I75</f>
        <v>0</v>
      </c>
      <c r="AB75" s="36" t="str" cm="1">
        <f t="array" ref="AB75">_xll.BDP($C75&amp;" Equity","EXPECTED_REPORT_DT")</f>
        <v>#N/A N/A</v>
      </c>
      <c r="AC75" s="15">
        <f>S75*H75*O75/N75</f>
        <v>4723650.0000000009</v>
      </c>
      <c r="AD75" s="48">
        <f>AC75/'Master P&amp;L'!$AE$5</f>
        <v>2.103106076703519E-3</v>
      </c>
      <c r="AE75" t="str">
        <f>B75&amp;" -&gt; Buy to open "&amp;H75&amp;"x"</f>
        <v>QQQ US 01/23/26 P615 -&gt; Buy to open 75x</v>
      </c>
    </row>
    <row r="76" spans="1:31">
      <c r="A76" s="98" t="s">
        <v>256</v>
      </c>
      <c r="B76" s="59" t="s">
        <v>2279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21/01/2026</v>
      </c>
      <c r="E76" t="str" cm="1">
        <f t="array" ref="E76">_xll.BDP($B76&amp;" Equity","opt_days_expire")</f>
        <v>#N/A N/A</v>
      </c>
      <c r="F76" t="s">
        <v>194</v>
      </c>
      <c r="G76" s="105" t="s">
        <v>248</v>
      </c>
      <c r="H76" s="96">
        <f>H75</f>
        <v>75</v>
      </c>
      <c r="I76" s="97" t="str">
        <f>IF(G76="Buy",L76,K76)</f>
        <v>#N/A N/A</v>
      </c>
      <c r="J76" s="19" t="e">
        <f>I76/S76</f>
        <v>#VALUE!</v>
      </c>
      <c r="K76" s="36" t="str" cm="1">
        <f t="array" ref="K76">_xll.BDP($B76&amp;" Equity","bid")</f>
        <v>#N/A N/A</v>
      </c>
      <c r="L76" s="36" t="str" cm="1">
        <f t="array" ref="L76">_xll.BDP($B76&amp;" Equity","ask")</f>
        <v>#N/A N/A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 t="e">
        <f>IF(G76="Buy",((I76/N76)*H76*O76),((I76/N76)*-H76*O76))</f>
        <v>#VALUE!</v>
      </c>
      <c r="Q76" s="58" t="e">
        <f>P76/'Master P&amp;L'!$AD$5*10000</f>
        <v>#VALUE!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629.82000000000005</v>
      </c>
      <c r="T76" s="53" cm="1">
        <f t="array" ref="T76">_xll.BDP(B76&amp;" Equity","OPT_STRIKE_PX")</f>
        <v>616</v>
      </c>
      <c r="U76" s="19">
        <f>T76/S76-1</f>
        <v>-2.1942777301451333E-2</v>
      </c>
      <c r="V76" s="37" t="str" cm="1">
        <f t="array" ref="V76">_xll.BDP($B76&amp;" Equity","ivol_mid")</f>
        <v>#N/A N/A</v>
      </c>
      <c r="W76" s="38" cm="1">
        <f t="array" ref="W76">_xll.BDP(B76&amp;" Equity","DELTA_MID_RT")</f>
        <v>-9.7929000854492188E-2</v>
      </c>
      <c r="X76" s="48">
        <f>Y76/'Master P&amp;L'!$AE$5</f>
        <v>2.0595507678258657E-4</v>
      </c>
      <c r="Y76" s="15">
        <f>IF(G76="Sell", S76*W76*-H76*O76/N76, S76*W76*H76*O76/N76)</f>
        <v>462582.32488632202</v>
      </c>
      <c r="Z76" s="15" t="e" cm="1">
        <f t="array" ref="Z76">_xll.BDP($B76&amp;" Equity","opt_theta")*H76*O76/N76</f>
        <v>#VALUE!</v>
      </c>
      <c r="AA76" s="19" t="e" cm="1">
        <f t="array" ref="AA76">_xll.BDP($B76&amp;" Equity","opt_theta")/I76</f>
        <v>#VALUE!</v>
      </c>
      <c r="AB76" s="36" t="str" cm="1">
        <f t="array" ref="AB76">_xll.BDP($C76&amp;" Equity","EXPECTED_REPORT_DT")</f>
        <v>#N/A N/A</v>
      </c>
      <c r="AC76" s="15">
        <f>S76*H76*O76/N76</f>
        <v>4723650.0000000009</v>
      </c>
      <c r="AD76" s="48">
        <f>AC76/'Master P&amp;L'!$AE$5</f>
        <v>2.103106076703519E-3</v>
      </c>
      <c r="AE76" t="str">
        <f>B76&amp;" -&gt; Buy to open "&amp;H76&amp;"x"</f>
        <v>QQQ US 01/21/26 P616 -&gt; Buy to open 75x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-1</v>
      </c>
      <c r="W77" s="100" t="s">
        <v>252</v>
      </c>
      <c r="X77" s="122">
        <f>X75+X76</f>
        <v>1.9414823946371467E-4</v>
      </c>
      <c r="AC77" s="100" t="s">
        <v>229</v>
      </c>
      <c r="AD77" s="122">
        <f>AD75</f>
        <v>2.103106076703519E-3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>
        <f>Y75+Y76</f>
        <v>436063.75422596466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>
        <f>W75-W76</f>
        <v>9.231500094756484E-2</v>
      </c>
      <c r="Y79" s="64">
        <f>Y78/S75</f>
        <v>692.3625071067363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59" t="s">
        <v>2374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29/01/2026</v>
      </c>
      <c r="E81" cm="1">
        <f t="array" ref="E81">_xll.BDP($B81&amp;" Index","opt_days_expire")</f>
        <v>0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0.18</v>
      </c>
      <c r="J81" s="19">
        <f>I81/S81</f>
        <v>2.8579594169762785E-4</v>
      </c>
      <c r="K81" s="36">
        <f>_xll.BDP($B81&amp;" Equity","bid")</f>
        <v>0.17</v>
      </c>
      <c r="L81" s="36">
        <f>_xll.BDP($B81&amp;" Equity","ask")</f>
        <v>0.18</v>
      </c>
      <c r="M81" s="40">
        <f>(L81/K81-1)</f>
        <v>5.8823529411764497E-2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1800</v>
      </c>
      <c r="Q81" s="58">
        <f>P81/'Master P&amp;L'!$AD$5*10000</f>
        <v>8.0141224224198095E-3</v>
      </c>
      <c r="R81" s="37" t="e" cm="1">
        <f t="array" ref="R81">_xll.BDP($C81&amp;" Equity","EST_PE_NXT_YR")*(T81/S81)</f>
        <v>#VALUE!</v>
      </c>
      <c r="S81" s="36" cm="1">
        <f t="array" ref="S81">_xll.BDP(C81&amp;" Equity","LAST_PRICE")</f>
        <v>629.82000000000005</v>
      </c>
      <c r="T81" s="53" cm="1">
        <f t="array" ref="T81">_xll.BDP(B81&amp;" Equity","OPT_STRIKE_PX")</f>
        <v>628</v>
      </c>
      <c r="U81" s="19">
        <f>T81/S81-1</f>
        <v>-2.8897145216094655E-3</v>
      </c>
      <c r="V81" s="37" cm="1">
        <f t="array" ref="V81">_xll.BDP($B81&amp;" Equity","ivol_mid")</f>
        <v>20.121919999999999</v>
      </c>
      <c r="W81" s="38">
        <f>_xll.BDP(B81&amp;" Equity","DELTA_MID_RT")</f>
        <v>-0.17679356038570404</v>
      </c>
      <c r="X81" s="48">
        <f>Y81/'Master P&amp;L'!$AE$5</f>
        <v>-4.9575414822563277E-4</v>
      </c>
      <c r="Y81" s="15">
        <f>IF(G81="Sell", S81*W81*-H81*O81/N81, S81*W81*H81*O81/N81)</f>
        <v>-1113481.2020212412</v>
      </c>
      <c r="Z81" s="15" cm="1">
        <f t="array" ref="Z81">_xll.BDP($B81&amp;" Equity","opt_theta")*H81*O81/N81</f>
        <v>-9634.82</v>
      </c>
      <c r="AA81" s="19" cm="1">
        <f t="array" ref="AA81">_xll.BDP($B81&amp;" Equity","opt_theta")/I81</f>
        <v>-5.3526777777777781</v>
      </c>
      <c r="AB81" s="36" t="str" cm="1">
        <f t="array" ref="AB81">_xll.BDP($C81&amp;" Equity","EXPECTED_REPORT_DT")</f>
        <v>#N/A N/A</v>
      </c>
      <c r="AC81" s="15">
        <f>S81*H81*O81/N81</f>
        <v>6298200.0000000009</v>
      </c>
      <c r="AD81" s="48">
        <f>AC81/'Master P&amp;L'!$AE$5</f>
        <v>2.8041414356046917E-3</v>
      </c>
      <c r="AE81" t="str">
        <f>B81&amp;" -&gt; Buy to open "&amp;H81&amp;"x"</f>
        <v>QQQ US 01/29/26 P628 -&gt; Buy to open 100x</v>
      </c>
    </row>
    <row r="82" spans="1:38">
      <c r="A82" s="98" t="s">
        <v>256</v>
      </c>
      <c r="B82" s="59" t="s">
        <v>2373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29/01/2026</v>
      </c>
      <c r="E82" cm="1">
        <f t="array" ref="E82">_xll.BDP($B82&amp;" Equity","opt_days_expire")</f>
        <v>0</v>
      </c>
      <c r="F82" t="s">
        <v>194</v>
      </c>
      <c r="G82" s="105" t="s">
        <v>248</v>
      </c>
      <c r="H82" s="96">
        <f>H81</f>
        <v>100</v>
      </c>
      <c r="I82" s="97">
        <f>IF(G82="Buy",L82,K82)</f>
        <v>0.02</v>
      </c>
      <c r="J82" s="19">
        <f>I82/S82</f>
        <v>3.1755104633069763E-5</v>
      </c>
      <c r="K82" s="36" cm="1">
        <f t="array" ref="K82">_xll.BDP($B82&amp;" Equity","bid")</f>
        <v>0.02</v>
      </c>
      <c r="L82" s="36" cm="1">
        <f t="array" ref="L82">_xll.BDP($B82&amp;" Equity","ask")</f>
        <v>0.03</v>
      </c>
      <c r="M82" s="40">
        <f>(L82/K82-1)</f>
        <v>0.5</v>
      </c>
      <c r="N82" s="36" cm="1">
        <f t="array" ref="N82">_xll.BDP(F82&amp;" Curncy","PX_LAST")</f>
        <v>1</v>
      </c>
      <c r="O82" s="162" cm="1">
        <f t="array" ref="O82">_xll.BDP(B82&amp;" Equity","OPT_MULTIPLIER")</f>
        <v>100</v>
      </c>
      <c r="P82" s="15">
        <f>IF(G82="Buy",((I82/N82)*H82*O82),((I82/N82)*-H82*O82))</f>
        <v>-200</v>
      </c>
      <c r="Q82" s="58">
        <f>P82/'Master P&amp;L'!$AD$5*10000</f>
        <v>-8.9045804693553424E-4</v>
      </c>
      <c r="R82" s="37" t="e" cm="1">
        <f t="array" ref="R82">_xll.BDP($C82&amp;" Equity","EST_PE_NXT_YR")*(T82/S82)</f>
        <v>#VALUE!</v>
      </c>
      <c r="S82" s="36" cm="1">
        <f t="array" ref="S82">_xll.BDP(C82&amp;" Equity","LAST_PRICE")</f>
        <v>629.82000000000005</v>
      </c>
      <c r="T82" s="53" cm="1">
        <f t="array" ref="T82">_xll.BDP(B82&amp;" Equity","OPT_STRIKE_PX")</f>
        <v>625</v>
      </c>
      <c r="U82" s="19">
        <f>T82/S82-1</f>
        <v>-7.6529802165699046E-3</v>
      </c>
      <c r="V82" s="37" cm="1">
        <f t="array" ref="V82">_xll.BDP($B82&amp;" Equity","ivol_mid")</f>
        <v>21.359590000000001</v>
      </c>
      <c r="W82" s="38" cm="1">
        <f t="array" ref="W82">_xll.BDP(B82&amp;" Equity","DELTA_MID_RT")</f>
        <v>-2.3465665057301521E-2</v>
      </c>
      <c r="X82" s="48">
        <f>Y82/'Master P&amp;L'!$AE$5</f>
        <v>6.5801043701200321E-5</v>
      </c>
      <c r="Y82" s="15">
        <f>IF(G82="Sell", S82*W82*-H82*O82/N82, S82*W82*H82*O82/N82)</f>
        <v>147791.45166389644</v>
      </c>
      <c r="Z82" s="15" cm="1">
        <f t="array" ref="Z82">_xll.BDP($B82&amp;" Equity","opt_theta")*H82*O82/N82</f>
        <v>-6722.01</v>
      </c>
      <c r="AA82" s="19" cm="1">
        <f t="array" ref="AA82">_xll.BDP($B82&amp;" Equity","opt_theta")/I82</f>
        <v>-33.610050000000001</v>
      </c>
      <c r="AB82" s="36" t="str" cm="1">
        <f t="array" ref="AB82">_xll.BDP($C82&amp;" Equity","EXPECTED_REPORT_DT")</f>
        <v>#N/A N/A</v>
      </c>
      <c r="AC82" s="15">
        <f>S82*H82*O82/N82</f>
        <v>6298200.0000000009</v>
      </c>
      <c r="AD82" s="48">
        <f>AC82/'Master P&amp;L'!$AE$5</f>
        <v>2.8041414356046917E-3</v>
      </c>
      <c r="AE82" t="str">
        <f>B82&amp;" -&gt; Buy to open "&amp;H82&amp;"x"</f>
        <v>QQQ US 01/29/26 P625 -&gt; Buy to open 100x</v>
      </c>
    </row>
    <row r="83" spans="1:38">
      <c r="H83" s="100" t="s">
        <v>116</v>
      </c>
      <c r="I83" s="102">
        <f>I81-I82</f>
        <v>0.16</v>
      </c>
      <c r="J83" s="100" t="s">
        <v>249</v>
      </c>
      <c r="K83" s="101">
        <f>K82/L81</f>
        <v>0.11111111111111112</v>
      </c>
      <c r="P83" s="100" t="s">
        <v>250</v>
      </c>
      <c r="Q83" s="108">
        <f>Q81+Q82</f>
        <v>7.1236643754842757E-3</v>
      </c>
      <c r="S83" s="100" t="s">
        <v>251</v>
      </c>
      <c r="T83" s="102">
        <f>T81-T82</f>
        <v>3</v>
      </c>
      <c r="W83" s="100" t="s">
        <v>252</v>
      </c>
      <c r="X83" s="122">
        <f>X81+X82</f>
        <v>-4.2995310452443247E-4</v>
      </c>
      <c r="AC83" s="100" t="s">
        <v>229</v>
      </c>
      <c r="AD83" s="122">
        <f>AD81</f>
        <v>2.8041414356046917E-3</v>
      </c>
    </row>
    <row r="84" spans="1:38">
      <c r="H84" s="100" t="s">
        <v>253</v>
      </c>
      <c r="I84" s="102">
        <f>(T83-I83)/I83</f>
        <v>17.75</v>
      </c>
      <c r="J84" s="100" t="s">
        <v>145</v>
      </c>
      <c r="K84" s="109">
        <f>AVERAGE(K81:L81)-AVERAGE(K82:L82)</f>
        <v>0.15</v>
      </c>
      <c r="P84" s="100"/>
      <c r="Q84" s="108"/>
      <c r="S84" s="100"/>
      <c r="T84" s="102"/>
      <c r="W84" s="100"/>
      <c r="X84" s="122"/>
      <c r="Y84" s="15">
        <f>Y81+Y82</f>
        <v>-965689.75035734475</v>
      </c>
      <c r="AC84" s="100"/>
      <c r="AD84" s="104"/>
    </row>
    <row r="85" spans="1:38">
      <c r="K85" s="64" t="e">
        <f>K84-K78</f>
        <v>#DIV/0!</v>
      </c>
      <c r="Y85" s="64">
        <f>Y84/S81</f>
        <v>-1533.278953284025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-247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-247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-304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-304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-304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-304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-433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-377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-251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-251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-406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-406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-402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-216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-216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-216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-132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-132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>
        <f>Z153/P153</f>
        <v>-9.1470298429319377E-2</v>
      </c>
    </row>
    <row r="153" spans="1:33">
      <c r="A153" s="98"/>
      <c r="B153" s="321" t="s">
        <v>2360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8</v>
      </c>
      <c r="F153" t="str" cm="1">
        <f t="array" ref="F153">_xll.BDP(B153&amp;" Index","QUOTED_CURRENCY_REALTIME")</f>
        <v>USD</v>
      </c>
      <c r="G153" s="105" t="s">
        <v>247</v>
      </c>
      <c r="H153" s="96">
        <v>15</v>
      </c>
      <c r="I153" s="97">
        <v>191</v>
      </c>
      <c r="J153" s="19">
        <f>I153/S153</f>
        <v>7.3426237385872178E-3</v>
      </c>
      <c r="K153" s="36" cm="1">
        <f t="array" ref="K153">_xll.BDP($B153&amp;" Index","bid")</f>
        <v>296</v>
      </c>
      <c r="L153" s="36" cm="1">
        <f t="array" ref="L153">_xll.BDP($B153&amp;" Index","ask")</f>
        <v>298.5</v>
      </c>
      <c r="M153" s="40">
        <f>(L153/K153-1)</f>
        <v>8.445945945946054E-3</v>
      </c>
      <c r="N153" s="36" cm="1">
        <f t="array" ref="N153">_xll.BDP(F153&amp;" Curncy","PX_LAST")</f>
        <v>1</v>
      </c>
      <c r="O153" s="162">
        <v>20</v>
      </c>
      <c r="P153" s="15">
        <f>IF(G153="Buy",((I153/N153)*H153*O153),((I153/N153)*-H153*O153))</f>
        <v>57300</v>
      </c>
      <c r="Q153" s="58">
        <f>P153/'Master P&amp;L'!$AD$5*10000</f>
        <v>0.25511623044703058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26012.5</v>
      </c>
      <c r="T153" s="53" cm="1">
        <f t="array" ref="T153">_xll.BDP(B153&amp;" Index","OPT_STRIKE_PX")</f>
        <v>26000</v>
      </c>
      <c r="U153" s="40">
        <f>T153/S153-1</f>
        <v>-4.8053820278715076E-4</v>
      </c>
      <c r="V153" s="37" cm="1">
        <f t="array" ref="V153">_xll.BDP($B153&amp;" Index","ivol_mid")</f>
        <v>20.596503999999999</v>
      </c>
      <c r="W153" s="38" cm="1">
        <f t="array" ref="W153">_xll.BDP(B153&amp;" Index","DELTA_MID_RT")</f>
        <v>0.51136374473571777</v>
      </c>
      <c r="X153" s="48">
        <f>Y153/'Master P&amp;L'!$AE$5</f>
        <v>1.7767108269305782E-3</v>
      </c>
      <c r="Y153" s="15">
        <f>IF(G153="Sell", S153*W153*-H153*O153/N153, S153*W153*H153*O153/N153)</f>
        <v>3990554.8229813576</v>
      </c>
      <c r="Z153" s="15" cm="1">
        <f t="array" ref="Z153">_xll.BDP($B153&amp;" Index","opt_theta")*H153*O153/N153</f>
        <v>-5241.2481000000007</v>
      </c>
      <c r="AA153" s="126" cm="1">
        <f t="array" ref="AA153">_xll.BDP($B153&amp;" Index","opt_theta")/I153</f>
        <v>-9.1470298429319377E-2</v>
      </c>
      <c r="AB153" s="36" t="str" cm="1">
        <f t="array" ref="AB153">_xll.BDP($C153&amp;" Index","EXPECTED_REPORT_DT")</f>
        <v>#N/A Field Not Applicable</v>
      </c>
      <c r="AC153" s="15">
        <f>S153*H153*O153/N153</f>
        <v>7803750</v>
      </c>
      <c r="AD153" s="48">
        <f>AC153/'Master P&amp;L'!$AE$5</f>
        <v>3.474455991886588E-3</v>
      </c>
      <c r="AG153" t="str">
        <f>B153&amp;" -&gt; Buy to open "&amp;H153&amp;"x"</f>
        <v>1OG6C 26000 -&gt; Buy to open 15x</v>
      </c>
    </row>
    <row r="154" spans="1:33">
      <c r="A154" s="98"/>
      <c r="B154" s="321" t="s">
        <v>2360</v>
      </c>
      <c r="C154" t="str" cm="1">
        <f t="array" ref="C154">_xll.BDP(B154&amp;" Index","OPT_UNDL_TICKER")</f>
        <v>1OH6</v>
      </c>
      <c r="D154" t="str" cm="1">
        <f t="array" ref="D154">_xll.BDP($B154&amp;" Index","mifid_Maturity_date")</f>
        <v>06/02/2026</v>
      </c>
      <c r="E154" cm="1">
        <f t="array" ref="E154">_xll.BDP($B154&amp;" Index","opt_days_expire")</f>
        <v>8</v>
      </c>
      <c r="F154" t="str" cm="1">
        <f t="array" ref="F154">_xll.BDP(B154&amp;" Index","QUOTED_CURRENCY_REALTIME")</f>
        <v>USD</v>
      </c>
      <c r="G154" s="105" t="s">
        <v>248</v>
      </c>
      <c r="H154" s="96">
        <v>40</v>
      </c>
      <c r="I154" s="97">
        <f>IF(G154="Buy",L154,K154)</f>
        <v>296</v>
      </c>
      <c r="J154" s="19">
        <f>I154/S154</f>
        <v>1.137914464199904E-2</v>
      </c>
      <c r="K154" s="36" cm="1">
        <f t="array" ref="K154">_xll.BDP($B154&amp;" Index","bid")</f>
        <v>296</v>
      </c>
      <c r="L154" s="36" cm="1">
        <f t="array" ref="L154">_xll.BDP($B154&amp;" Index","ask")</f>
        <v>298.5</v>
      </c>
      <c r="M154" s="40">
        <f>(L154/K154-1)</f>
        <v>8.445945945946054E-3</v>
      </c>
      <c r="N154" s="36" cm="1">
        <f t="array" ref="N154">_xll.BDP(F154&amp;" Curncy","PX_LAST")</f>
        <v>1</v>
      </c>
      <c r="O154" s="162">
        <v>20</v>
      </c>
      <c r="P154" s="15">
        <f>IF(G154="Buy",((I154/N154)*H154*O154),((I154/N154)*-H154*O154))</f>
        <v>-236800</v>
      </c>
      <c r="Q154" s="58">
        <f>P154/'Master P&amp;L'!$AD$5*10000</f>
        <v>-1.0543023275716725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26012.5</v>
      </c>
      <c r="T154" s="53" cm="1">
        <f t="array" ref="T154">_xll.BDP(B154&amp;" Index","OPT_STRIKE_PX")</f>
        <v>26000</v>
      </c>
      <c r="U154" s="40">
        <f>T154/S154-1</f>
        <v>-4.8053820278715076E-4</v>
      </c>
      <c r="V154" s="37" cm="1">
        <f t="array" ref="V154">_xll.BDP($B154&amp;" Index","ivol_mid")</f>
        <v>20.596503999999999</v>
      </c>
      <c r="W154" s="38" cm="1">
        <f t="array" ref="W154">_xll.BDP(B154&amp;" Index","DELTA_MID_RT")</f>
        <v>0.51136374473571777</v>
      </c>
      <c r="X154" s="48">
        <f>Y154/'Master P&amp;L'!$AE$5</f>
        <v>-4.7378955384815421E-3</v>
      </c>
      <c r="Y154" s="15">
        <f>IF(G154="Sell", S154*W154*-H154*O154/N154, S154*W154*H154*O154/N154)</f>
        <v>-10641479.527950287</v>
      </c>
      <c r="Z154" s="15" cm="1">
        <f t="array" ref="Z154">_xll.BDP($B154&amp;" Index","opt_theta")*H154*O154/N154</f>
        <v>-13976.661599999999</v>
      </c>
      <c r="AA154" s="126" cm="1">
        <f t="array" ref="AA154">_xll.BDP($B154&amp;" Index","opt_theta")/I154</f>
        <v>-5.9023064189189192E-2</v>
      </c>
      <c r="AB154" s="36" t="str" cm="1">
        <f t="array" ref="AB154">_xll.BDP($C154&amp;" Index","EXPECTED_REPORT_DT")</f>
        <v>#N/A Field Not Applicable</v>
      </c>
      <c r="AC154" s="15">
        <f>S154*H154*O154/N154</f>
        <v>20810000</v>
      </c>
      <c r="AD154" s="48">
        <f>AC154/'Master P&amp;L'!$AE$5</f>
        <v>9.2652159783642354E-3</v>
      </c>
      <c r="AG154" t="str">
        <f>B154&amp;" -&gt; Buy to open "&amp;H154&amp;"x"</f>
        <v>1OG6C 26000 -&gt; Buy to open 40x</v>
      </c>
    </row>
    <row r="155" spans="1:33">
      <c r="H155" s="100" t="s">
        <v>116</v>
      </c>
      <c r="I155" s="102">
        <f>I153-I154</f>
        <v>-105</v>
      </c>
      <c r="J155" s="100" t="s">
        <v>249</v>
      </c>
      <c r="K155" s="101">
        <f>K154/L153</f>
        <v>0.99162479061976549</v>
      </c>
      <c r="O155" s="164"/>
      <c r="P155" s="100" t="s">
        <v>250</v>
      </c>
      <c r="Q155" s="108">
        <f>Q153+Q154</f>
        <v>-0.79918609712464195</v>
      </c>
      <c r="S155" s="100" t="s">
        <v>251</v>
      </c>
      <c r="T155" s="102">
        <f>T154-T153</f>
        <v>0</v>
      </c>
      <c r="W155" s="100" t="s">
        <v>252</v>
      </c>
      <c r="X155" s="122">
        <f>X153+X154</f>
        <v>-2.9611847115509639E-3</v>
      </c>
      <c r="Y155" s="13">
        <f>Y153+Y154</f>
        <v>-6650924.7049689293</v>
      </c>
      <c r="AC155" s="100" t="s">
        <v>229</v>
      </c>
      <c r="AD155" s="122">
        <f>AD153</f>
        <v>3.474455991886588E-3</v>
      </c>
    </row>
    <row r="156" spans="1:33">
      <c r="H156" s="100" t="s">
        <v>253</v>
      </c>
      <c r="I156" s="102">
        <f>(T155-I155)/I155</f>
        <v>-1</v>
      </c>
      <c r="J156" s="100" t="s">
        <v>145</v>
      </c>
      <c r="K156" s="109">
        <f>AVERAGE(K153:L153)-AVERAGE(K154:L154)</f>
        <v>0</v>
      </c>
      <c r="O156" s="164"/>
      <c r="P156" s="100"/>
      <c r="Q156" s="108"/>
      <c r="S156" s="100"/>
      <c r="T156" s="102"/>
      <c r="W156" s="100"/>
      <c r="X156" s="122"/>
      <c r="Y156" s="13">
        <f>Y155/S153</f>
        <v>-255.68187236785889</v>
      </c>
      <c r="AC156" s="100"/>
      <c r="AD156" s="104"/>
    </row>
    <row r="157" spans="1:33">
      <c r="K157" s="64">
        <f>K153-K154</f>
        <v>0</v>
      </c>
      <c r="L157" s="64">
        <f>L153-L154</f>
        <v>0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4" t="s">
        <v>2128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6950.56</v>
      </c>
      <c r="T160" s="53" cm="1">
        <f t="array" ref="T160">_xll.BDP(B160&amp;" Index","OPT_STRIKE_PX")</f>
        <v>6950</v>
      </c>
      <c r="U160" s="40">
        <f>T160/S160-1</f>
        <v>-8.0569047673950678E-5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69505600</v>
      </c>
      <c r="AD160" s="48">
        <f>AC160/'Master P&amp;L'!$AE$5</f>
        <v>3.0945910413541236E-2</v>
      </c>
      <c r="AG160" t="str">
        <f>B160&amp;" -&gt; Buy to open "&amp;H160&amp;"x"</f>
        <v>SPXW US 12/31/25 C6950 -&gt; Buy to open 100x</v>
      </c>
    </row>
    <row r="161" spans="1:37">
      <c r="A161" s="98"/>
      <c r="B161" s="384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3.0945910413541236E-2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17.700000000000003</v>
      </c>
    </row>
    <row r="168" spans="1:37">
      <c r="A168">
        <v>300</v>
      </c>
      <c r="H168" s="276">
        <v>1</v>
      </c>
      <c r="I168" s="64">
        <f>I170-I171</f>
        <v>17.700000000000003</v>
      </c>
      <c r="K168" s="129"/>
    </row>
    <row r="169" spans="1:37">
      <c r="A169" s="237">
        <v>1</v>
      </c>
      <c r="B169" t="s">
        <v>2068</v>
      </c>
      <c r="C169" t="str" cm="1">
        <f t="array" ref="C169">_xll.BDP(B169&amp;" Equity","OPT_UNDL_TICKER")</f>
        <v>META US</v>
      </c>
      <c r="D169" s="64">
        <f>A169*AVERAGE(K169:L169)</f>
        <v>76.300000000000011</v>
      </c>
      <c r="E169" cm="1">
        <f t="array" ref="E169">_xll.BDP($B169&amp;" Index","opt_days_expire")</f>
        <v>78</v>
      </c>
      <c r="F169" t="str" cm="1">
        <f t="array" ref="F169">_xll.BDP(B169&amp;" Equity","QUOTED_CURRENCY_REALTIME")</f>
        <v>USD</v>
      </c>
      <c r="G169" s="105" t="s">
        <v>247</v>
      </c>
      <c r="H169" s="131">
        <v>60</v>
      </c>
      <c r="I169" s="97">
        <f>IF(G169="Buy",L169,K169)</f>
        <v>77.150000000000006</v>
      </c>
      <c r="J169" s="19">
        <f>I169/S169</f>
        <v>0.10420746944012968</v>
      </c>
      <c r="K169" s="36" cm="1">
        <f t="array" ref="K169">_xll.BDP($B169&amp;" Equity","bid")</f>
        <v>75.45</v>
      </c>
      <c r="L169" s="36" cm="1">
        <f t="array" ref="L169">_xll.BDP($B169&amp;" Equity","ask")</f>
        <v>77.150000000000006</v>
      </c>
      <c r="M169" s="40">
        <f>(L169/K169-1)</f>
        <v>2.2531477799867528E-2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462900</v>
      </c>
      <c r="Q169" s="58">
        <f>P169/'Master P&amp;L'!$AD$5*10000</f>
        <v>2.060965149632294</v>
      </c>
      <c r="R169" s="37" cm="1">
        <f t="array" ref="R169">_xll.BDP($C169&amp;" Equity","EST_PE_NXT_YR")*(T169/S169)</f>
        <v>16.113831112668226</v>
      </c>
      <c r="S169" s="36" cm="1">
        <f t="array" ref="S169">_xll.BDP(C169&amp;" Equity","LAST_PRICE")</f>
        <v>740.35</v>
      </c>
      <c r="T169" s="53" cm="1">
        <f t="array" ref="T169">_xll.BDP(B169&amp;" Equity","OPT_STRIKE_PX")</f>
        <v>690</v>
      </c>
      <c r="U169" s="40">
        <f>T169/S169-1</f>
        <v>-6.8008374417505291E-2</v>
      </c>
      <c r="V169" s="37" cm="1">
        <f t="array" ref="V169">_xll.BDP($B169&amp;" Equity","ivol_mid")</f>
        <v>35.678669999999997</v>
      </c>
      <c r="W169" s="38" cm="1">
        <f t="array" ref="W169">_xll.BDP(B169&amp;" Equity","DELTA_MID_RT")</f>
        <v>0.72109693288803101</v>
      </c>
      <c r="X169" s="48">
        <f>Y169/'Master P&amp;L'!$AE$5</f>
        <v>1.4261507895485461E-3</v>
      </c>
      <c r="Y169" s="15">
        <f>IF(G169="Sell", S169*W169*-H169*O169/N169, S169*W169*H169*O169/N169)</f>
        <v>3203184.6855819225</v>
      </c>
      <c r="Z169" s="15" cm="1">
        <f t="array" ref="Z169">_xll.BDP($B169&amp;" Equity","opt_theta")*H169*O169/N169</f>
        <v>-1656.7980000000002</v>
      </c>
      <c r="AA169" s="19" cm="1">
        <f t="array" ref="AA169">_xll.BDP($B169&amp;" Equity","opt_theta")/I169</f>
        <v>-3.5791704471808167E-3</v>
      </c>
      <c r="AB169" s="36" t="str" cm="1">
        <f t="array" ref="AB169">_xll.BDP($C169&amp;" Equity","EXPECTED_REPORT_DT")</f>
        <v>30/04/2026</v>
      </c>
      <c r="AC169" s="15">
        <f>S169*H169*O169/N169</f>
        <v>4442100</v>
      </c>
      <c r="AD169" s="19">
        <f>AC169/'Master P&amp;L'!$AE$5</f>
        <v>1.9777518451461686E-3</v>
      </c>
      <c r="AE169" t="str">
        <f>B169  &amp; " - Buy to open " &amp;  "-" &amp; H169 &amp;"x"</f>
        <v>META US 04/17/26 C690 - Buy to open -60x</v>
      </c>
      <c r="AK169" s="59" t="s">
        <v>273</v>
      </c>
    </row>
    <row r="170" spans="1:37">
      <c r="A170" s="237">
        <v>2</v>
      </c>
      <c r="B170" s="73" t="s">
        <v>2298</v>
      </c>
      <c r="C170" t="str" cm="1">
        <f t="array" ref="C170">_xll.BDP(B170&amp;" Equity","OPT_UNDL_TICKER")</f>
        <v>META US</v>
      </c>
      <c r="D170" s="64">
        <f>A170*AVERAGE(K170:L170)</f>
        <v>230.75</v>
      </c>
      <c r="E170" cm="1">
        <f t="array" ref="E170">_xll.BDP($B170&amp;" Index","opt_days_expire")</f>
        <v>169</v>
      </c>
      <c r="F170" t="str" cm="1">
        <f t="array" ref="F170">_xll.BDP(B170&amp;" Equity","QUOTED_CURRENCY_REALTIME")</f>
        <v>USD</v>
      </c>
      <c r="G170" s="105" t="s">
        <v>248</v>
      </c>
      <c r="H170" s="131">
        <v>75</v>
      </c>
      <c r="I170" s="97">
        <f>IF(G170="Buy",L170,K170)</f>
        <v>114.55</v>
      </c>
      <c r="J170" s="19">
        <f>I170/S170</f>
        <v>0.15472411697170257</v>
      </c>
      <c r="K170" s="36" cm="1">
        <f t="array" ref="K170">_xll.BDP($B170&amp;" Equity","bid")</f>
        <v>114.55</v>
      </c>
      <c r="L170" s="36" cm="1">
        <f t="array" ref="L170">_xll.BDP($B170&amp;" Equity","ask")</f>
        <v>116.2</v>
      </c>
      <c r="M170" s="40">
        <f>(L170/K170-1)</f>
        <v>1.440419030990836E-2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-859125</v>
      </c>
      <c r="Q170" s="58">
        <f>P170/'Master P&amp;L'!$AD$5*10000</f>
        <v>-3.8250738478674546</v>
      </c>
      <c r="R170" s="37" cm="1">
        <f t="array" ref="R170">_xll.BDP($C170&amp;" Equity","EST_PE_NXT_YR")*(T170/S170)</f>
        <v>15.646763544185092</v>
      </c>
      <c r="S170" s="36" cm="1">
        <f t="array" ref="S170">_xll.BDP(C170&amp;" Equity","LAST_PRICE")</f>
        <v>740.35</v>
      </c>
      <c r="T170" s="53" cm="1">
        <f t="array" ref="T170">_xll.BDP(B170&amp;" Equity","OPT_STRIKE_PX")</f>
        <v>670</v>
      </c>
      <c r="U170" s="40">
        <f>T170/S170-1</f>
        <v>-9.5022624434389136E-2</v>
      </c>
      <c r="V170" s="37" cm="1">
        <f t="array" ref="V170">_xll.BDP($B170&amp;" Equity","ivol_mid")</f>
        <v>36.42266</v>
      </c>
      <c r="W170" s="38" cm="1">
        <f t="array" ref="W170">_xll.BDP(B170&amp;" Equity","DELTA_MID_RT")</f>
        <v>0.72491014003753662</v>
      </c>
      <c r="X170" s="48">
        <f>Y170/'Master P&amp;L'!$AE$5</f>
        <v>-1.7921154587805068E-3</v>
      </c>
      <c r="Y170" s="15">
        <f>IF(G170="Sell", S170*W170*-H170*O170/N170, S170*W170*H170*O170/N170)</f>
        <v>-4025154.1663259268</v>
      </c>
      <c r="Z170" s="15" cm="1">
        <f t="array" ref="Z170">_xll.BDP($B170&amp;" Equity","opt_theta")*H170*O170/N170</f>
        <v>-1389.63</v>
      </c>
      <c r="AA170" s="19" cm="1">
        <f t="array" ref="AA170">_xll.BDP($B170&amp;" Equity","opt_theta")/I170</f>
        <v>-1.617494543867307E-3</v>
      </c>
      <c r="AB170" s="36" t="str" cm="1">
        <f t="array" ref="AB170">_xll.BDP($C170&amp;" Equity","EXPECTED_REPORT_DT")</f>
        <v>30/04/2026</v>
      </c>
      <c r="AC170" s="15">
        <f>S170*H170*O170/N170</f>
        <v>5552625</v>
      </c>
      <c r="AD170" s="48">
        <f>AC170/'Master P&amp;L'!$AE$5</f>
        <v>2.4721898064327106E-3</v>
      </c>
      <c r="AE170" t="str">
        <f>B170&amp;" -&gt; Buy to open "&amp;H170&amp;"x"</f>
        <v>META US 07/17/26 C670 -&gt; Buy to open 75x</v>
      </c>
      <c r="AK170" t="s">
        <v>274</v>
      </c>
    </row>
    <row r="171" spans="1:37">
      <c r="A171" s="237">
        <v>2</v>
      </c>
      <c r="B171" s="73" t="s">
        <v>2421</v>
      </c>
      <c r="C171" t="str" cm="1">
        <f t="array" ref="C171">_xll.BDP(B171&amp;" Equity","OPT_UNDL_TICKER")</f>
        <v>META US</v>
      </c>
      <c r="D171" s="64">
        <f>A171*AVERAGE(K171:L171)</f>
        <v>192.85</v>
      </c>
      <c r="E171" cm="1">
        <f t="array" ref="E171">_xll.BDP($B171&amp;" Index","opt_days_expire")</f>
        <v>169</v>
      </c>
      <c r="F171" t="str" cm="1">
        <f t="array" ref="F171">_xll.BDP(B171&amp;" Equity","QUOTED_CURRENCY_REALTIME")</f>
        <v>USD</v>
      </c>
      <c r="G171" s="105" t="s">
        <v>247</v>
      </c>
      <c r="H171" s="131">
        <v>75</v>
      </c>
      <c r="I171" s="97">
        <f>IF(G171="Buy",L171,K171)</f>
        <v>96.85</v>
      </c>
      <c r="J171" s="19">
        <f>I171/S171</f>
        <v>0.13081650570676032</v>
      </c>
      <c r="K171" s="36" cm="1">
        <f t="array" ref="K171">_xll.BDP($B171&amp;" Equity","bid")</f>
        <v>96</v>
      </c>
      <c r="L171" s="36" cm="1">
        <f t="array" ref="L171">_xll.BDP($B171&amp;" Equity","ask")</f>
        <v>96.85</v>
      </c>
      <c r="M171" s="40">
        <f>(L171/K171-1)</f>
        <v>8.8541666666666075E-3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726375</v>
      </c>
      <c r="Q171" s="58">
        <f>P171/'Master P&amp;L'!$AD$5*10000</f>
        <v>3.2340323192139935</v>
      </c>
      <c r="R171" s="37" cm="1">
        <f t="array" ref="R171">_xll.BDP($C171&amp;" Equity","EST_PE_NXT_YR")*(T171/S171)</f>
        <v>16.347364896909795</v>
      </c>
      <c r="S171" s="36" cm="1">
        <f t="array" ref="S171">_xll.BDP(C171&amp;" Equity","LAST_PRICE")</f>
        <v>740.35</v>
      </c>
      <c r="T171" s="53" cm="1">
        <f t="array" ref="T171">_xll.BDP(B171&amp;" Equity","OPT_STRIKE_PX")</f>
        <v>700</v>
      </c>
      <c r="U171" s="40">
        <f>T171/S171-1</f>
        <v>-5.4501249409063313E-2</v>
      </c>
      <c r="V171" s="37" cm="1">
        <f t="array" ref="V171">_xll.BDP(B171&amp;" Equity","ivol_mid")</f>
        <v>36.333669999999998</v>
      </c>
      <c r="W171" s="38" cm="1">
        <f t="array" ref="W171">_xll.BDP(B171&amp;" Equity","DELTA_MID_RT")</f>
        <v>0.66375750303268433</v>
      </c>
      <c r="X171" s="48">
        <f>Y171/'Master P&amp;L'!$AE$5</f>
        <v>1.6409345329406312E-3</v>
      </c>
      <c r="Y171" s="15">
        <f>IF(G171="Sell", S171*W171*-H171*O171/N171, S171*W171*H171*O171/N171)</f>
        <v>3685596.5052768588</v>
      </c>
      <c r="Z171" s="15" cm="1">
        <f t="array" ref="Z171">_xll.BDP($B171&amp;" Equity","opt_theta")*H171*O171/N171</f>
        <v>-1423.2674999999999</v>
      </c>
      <c r="AA171" s="19" cm="1">
        <f t="array" ref="AA171">_xll.BDP($B171&amp;" Equity","opt_theta")/I171</f>
        <v>-1.9594114610221995E-3</v>
      </c>
      <c r="AB171" s="36" t="str" cm="1">
        <f t="array" ref="AB171">_xll.BDP($C171&amp;" Equity","EXPECTED_REPORT_DT")</f>
        <v>30/04/2026</v>
      </c>
      <c r="AC171" s="15">
        <f>S171*H171*O171/N171</f>
        <v>5552625</v>
      </c>
      <c r="AD171" s="19">
        <f>AC171/'Master P&amp;L'!$AE$5</f>
        <v>2.4721898064327106E-3</v>
      </c>
      <c r="AE171" t="str">
        <f>B171  &amp; " -&gt; Sell to open " &amp;   H171 &amp;"x"</f>
        <v>META US 07/17/26 C700 -&gt; Sell to open 75x</v>
      </c>
      <c r="AK171" t="s">
        <v>275</v>
      </c>
    </row>
    <row r="172" spans="1:37">
      <c r="H172" s="100" t="s">
        <v>116</v>
      </c>
      <c r="I172" s="102">
        <f>I170-I169-I171</f>
        <v>-59.45</v>
      </c>
      <c r="J172" s="100" t="s">
        <v>249</v>
      </c>
      <c r="K172" s="101">
        <f>K171/L170</f>
        <v>0.82616179001721168</v>
      </c>
      <c r="P172" s="130">
        <f>P170+P171+P169</f>
        <v>330150</v>
      </c>
      <c r="Q172" s="58">
        <f>P172/'Master P&amp;L'!$AD$5*10000</f>
        <v>1.4699236209788333</v>
      </c>
      <c r="S172" s="100" t="s">
        <v>251</v>
      </c>
      <c r="T172" s="102"/>
      <c r="W172" s="100" t="s">
        <v>252</v>
      </c>
      <c r="X172" s="122">
        <f>X170+X171+X169</f>
        <v>1.2749698637086705E-3</v>
      </c>
      <c r="AC172" s="100" t="s">
        <v>229</v>
      </c>
      <c r="AD172" s="122">
        <f>AD170</f>
        <v>2.4721898064327106E-3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-57.350000000000009</v>
      </c>
      <c r="P173" s="100"/>
      <c r="Q173" s="108"/>
      <c r="S173" s="100"/>
      <c r="T173" s="102"/>
      <c r="W173" s="100"/>
      <c r="X173" s="122"/>
      <c r="Y173" s="13">
        <f>(Y169+Y170+Y171)/S170</f>
        <v>3867.9368197917938</v>
      </c>
      <c r="AC173" s="100"/>
      <c r="AD173" s="104"/>
    </row>
    <row r="174" spans="1:37">
      <c r="D174" s="64"/>
      <c r="H174" s="96"/>
      <c r="I174" s="64">
        <f>(I170*A170)-(I171*A171)-(I169*A169)</f>
        <v>-41.75</v>
      </c>
      <c r="K174" s="64"/>
      <c r="N174" s="36"/>
      <c r="O174" s="162"/>
      <c r="P174" s="15"/>
      <c r="Q174" s="58"/>
    </row>
    <row r="175" spans="1:37">
      <c r="I175" s="21">
        <f>I171/I170</f>
        <v>0.84548232213007413</v>
      </c>
    </row>
    <row r="176" spans="1:37">
      <c r="I176" s="21"/>
    </row>
    <row r="177" spans="1:37">
      <c r="H177" s="276">
        <v>1</v>
      </c>
      <c r="I177" s="64" t="e">
        <f>I179-I178</f>
        <v>#VALUE!</v>
      </c>
      <c r="J177" s="18" t="e">
        <f>T178-T179</f>
        <v>#VALUE!</v>
      </c>
      <c r="K177" s="276" t="e">
        <f>(J177-I177)/I177</f>
        <v>#VALUE!</v>
      </c>
      <c r="Q177" s="276" t="e">
        <f>Q179+Q178</f>
        <v>#VALUE!</v>
      </c>
    </row>
    <row r="178" spans="1:37">
      <c r="A178" s="237"/>
      <c r="C178" t="str" cm="1">
        <f t="array" ref="C178">_xll.BDP(B178&amp;" Equity","OPT_UNDL_TICKER")</f>
        <v>#N/A Invalid Security</v>
      </c>
      <c r="D178" s="64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5" t="s">
        <v>248</v>
      </c>
      <c r="H178" s="131">
        <f>H179*H177</f>
        <v>20</v>
      </c>
      <c r="I178" s="97" t="str">
        <f>IF(G178="Buy",L178,K178)</f>
        <v>#N/A Invalid Security</v>
      </c>
      <c r="J178" s="19" t="e">
        <f>I178/S178</f>
        <v>#VALUE!</v>
      </c>
      <c r="K178" s="36" t="str" cm="1">
        <f t="array" ref="K178">_xll.BDP($B178&amp;" Equity","bid")</f>
        <v>#N/A Invalid Security</v>
      </c>
      <c r="L178" s="36" t="str" cm="1">
        <f t="array" ref="L178">_xll.BDP($B178&amp;" Equity","ask")</f>
        <v>#N/A Invalid Security</v>
      </c>
      <c r="M178" s="40" t="e">
        <f>(L178/K178-1)</f>
        <v>#VALUE!</v>
      </c>
      <c r="N178" s="36" t="str" cm="1">
        <f t="array" ref="N178">_xll.BDP(F178&amp;" Curncy","PX_LAST")</f>
        <v>#N/A Invalid Security Curncy</v>
      </c>
      <c r="O178" s="162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8" t="e">
        <f>P178/'Master P&amp;L'!$AD$5*10000</f>
        <v>#VALUE!</v>
      </c>
      <c r="R178" s="37" t="e" cm="1">
        <f t="array" ref="R178">_xll.BDP($C178&amp;" Equity","EST_PE_NXT_YR")*(T178/S178)</f>
        <v>#VALUE!</v>
      </c>
      <c r="S178" s="36" t="str" cm="1">
        <f t="array" ref="S178">_xll.BDP(C178&amp;" Equity","LAST_PRICE")</f>
        <v>#N/A Invalid Security Equity</v>
      </c>
      <c r="T178" s="53" t="str" cm="1">
        <f t="array" ref="T178">_xll.BDP(B178&amp;" Equity","OPT_STRIKE_PX")</f>
        <v>#N/A Invalid Security</v>
      </c>
      <c r="U178" s="40" t="e">
        <f>T178/S178-1</f>
        <v>#VALUE!</v>
      </c>
      <c r="V178" s="37" t="str" cm="1">
        <f t="array" ref="V178">_xll.BDP($B178&amp;" Equity","ivol_mid")</f>
        <v>#N/A Invalid Security</v>
      </c>
      <c r="W178" s="38" t="str" cm="1">
        <f t="array" ref="W178">_xll.BDP(B178&amp;" Equity","DELTA_MID_RT")</f>
        <v>#N/A Invalid Security</v>
      </c>
      <c r="X178" s="48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9" t="e" cm="1">
        <f t="array" ref="AA178">_xll.BDP($B178&amp;" Equity","opt_theta")/I178</f>
        <v>#VALUE!</v>
      </c>
      <c r="AB178" s="36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9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9"/>
    </row>
    <row r="179" spans="1:37">
      <c r="A179" s="237"/>
      <c r="B179" s="73"/>
      <c r="C179" t="str" cm="1">
        <f t="array" ref="C179">_xll.BDP(B179&amp;" Equity","OPT_UNDL_TICKER")</f>
        <v>#N/A Invalid Security</v>
      </c>
      <c r="D179" s="64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5" t="s">
        <v>247</v>
      </c>
      <c r="H179" s="131">
        <v>20</v>
      </c>
      <c r="I179" s="97" t="str">
        <f>IF(G179="Buy",L179,K179)</f>
        <v>#N/A Invalid Security</v>
      </c>
      <c r="J179" s="19" t="e">
        <f>I179/S179</f>
        <v>#VALUE!</v>
      </c>
      <c r="K179" s="36" t="str" cm="1">
        <f t="array" ref="K179">_xll.BDP($B179&amp;" Equity","bid")</f>
        <v>#N/A Invalid Security</v>
      </c>
      <c r="L179" s="36" t="str" cm="1">
        <f t="array" ref="L179">_xll.BDP($B179&amp;" Equity","ask")</f>
        <v>#N/A Invalid Security</v>
      </c>
      <c r="M179" s="40" t="e">
        <f>(L179/K179-1)</f>
        <v>#VALUE!</v>
      </c>
      <c r="N179" s="36" t="str" cm="1">
        <f t="array" ref="N179">_xll.BDP(F179&amp;" Curncy","PX_LAST")</f>
        <v>#N/A Invalid Security Curncy</v>
      </c>
      <c r="O179" s="162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8" t="e">
        <f>P179/'Master P&amp;L'!$AD$5*10000</f>
        <v>#VALUE!</v>
      </c>
      <c r="R179" s="37" t="e" cm="1">
        <f t="array" ref="R179">_xll.BDP($C179&amp;" Equity","EST_PE_NXT_YR")*(T179/S179)</f>
        <v>#VALUE!</v>
      </c>
      <c r="S179" s="36" t="str" cm="1">
        <f t="array" ref="S179">_xll.BDP(C179&amp;" Equity","LAST_PRICE")</f>
        <v>#N/A Invalid Security Equity</v>
      </c>
      <c r="T179" s="53" t="str" cm="1">
        <f t="array" ref="T179">_xll.BDP(B179&amp;" Equity","OPT_STRIKE_PX")</f>
        <v>#N/A Invalid Security</v>
      </c>
      <c r="U179" s="40" t="e">
        <f>T179/S179-1</f>
        <v>#VALUE!</v>
      </c>
      <c r="V179" s="37" t="str" cm="1">
        <f t="array" ref="V179">_xll.BDP($B179&amp;" Equity","ivol_mid")</f>
        <v>#N/A Invalid Security</v>
      </c>
      <c r="W179" s="38" t="str" cm="1">
        <f t="array" ref="W179">_xll.BDP(B179&amp;" Equity","DELTA_MID_RT")</f>
        <v>#N/A Invalid Security</v>
      </c>
      <c r="X179" s="48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9" t="e" cm="1">
        <f t="array" ref="AA179">_xll.BDP($B179&amp;" Equity","opt_theta")/I179</f>
        <v>#VALUE!</v>
      </c>
      <c r="AB179" s="36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8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>
      <c r="A180" s="237"/>
      <c r="B180" t="s">
        <v>2307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29</v>
      </c>
      <c r="F180" t="str" cm="1">
        <f t="array" ref="F180">_xll.BDP(B180&amp;" Equity","QUOTED_CURRENCY_REALTIME")</f>
        <v>USD</v>
      </c>
      <c r="G180" s="105" t="s">
        <v>247</v>
      </c>
      <c r="H180" s="131">
        <v>35</v>
      </c>
      <c r="I180" s="97">
        <f>IF(G180="Buy",L180,K180)</f>
        <v>87.25</v>
      </c>
      <c r="J180" s="19">
        <f>I180/S180</f>
        <v>0.11784966569865604</v>
      </c>
      <c r="K180" s="36" cm="1">
        <f t="array" ref="K180">_xll.BDP($B180&amp;" Equity","bid")</f>
        <v>85.5</v>
      </c>
      <c r="L180" s="36" cm="1">
        <f t="array" ref="L180">_xll.BDP($B180&amp;" Equity","ask")</f>
        <v>87.25</v>
      </c>
      <c r="M180" s="40">
        <f>(L180/K180-1)</f>
        <v>2.0467836257309857E-2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305375</v>
      </c>
      <c r="Q180" s="58">
        <f>P180/'Master P&amp;L'!$AD$5*10000</f>
        <v>1.3596181304146939</v>
      </c>
      <c r="R180" s="37" cm="1">
        <f t="array" ref="R180">_xll.BDP($C180&amp;" Equity","EST_PE_NXT_YR")*(T180/S180)</f>
        <v>15.413229759943523</v>
      </c>
      <c r="S180" s="36" cm="1">
        <f t="array" ref="S180">_xll.BDP(C180&amp;" Equity","LAST_PRICE")</f>
        <v>740.35</v>
      </c>
      <c r="T180" s="53" cm="1">
        <f t="array" ref="T180">_xll.BDP(B180&amp;" Equity","OPT_STRIKE_PX")</f>
        <v>660</v>
      </c>
      <c r="U180" s="40">
        <f>T180/S180-1</f>
        <v>-0.10852974944283111</v>
      </c>
      <c r="V180" s="37" cm="1">
        <f t="array" ref="V180">_xll.BDP(B180&amp;" Equity","ivol_mid")</f>
        <v>40.248190000000001</v>
      </c>
      <c r="W180" s="38" cm="1">
        <f t="array" ref="W180">_xll.BDP(B180&amp;" Equity","DELTA_MID_RT")</f>
        <v>0.89045089483261108</v>
      </c>
      <c r="X180" s="48">
        <f>Y180/'Master P&amp;L'!$AE$5</f>
        <v>1.0273030251558978E-3</v>
      </c>
      <c r="Y180" s="15">
        <f>IF(G180="Sell", S180*W180*-H180*O180/N180, S180*W180*H180*O180/N180)</f>
        <v>2307358.6199626327</v>
      </c>
      <c r="Z180" s="15" cm="1">
        <f t="array" ref="Z180">_xll.BDP($B180&amp;" Equity","opt_theta")*H180*O180/N180</f>
        <v>-1854.1004999999998</v>
      </c>
      <c r="AA180" s="19" cm="1">
        <f t="array" ref="AA180">_xll.BDP($B180&amp;" Equity","opt_theta")/I180</f>
        <v>-6.071553008595988E-3</v>
      </c>
      <c r="AB180" s="36" t="str" cm="1">
        <f t="array" ref="AB180">_xll.BDP($C180&amp;" Equity","EXPECTED_REPORT_DT")</f>
        <v>30/04/2026</v>
      </c>
      <c r="AC180" s="15">
        <f>S180*H180*O180/N180</f>
        <v>2591225</v>
      </c>
      <c r="AD180" s="19">
        <f>AC180/'Master P&amp;L'!$AE$5</f>
        <v>1.153688576335265E-3</v>
      </c>
      <c r="AE180" t="str">
        <f>B180  &amp; " -&gt; Sell to open " &amp;   H180 &amp;"x"</f>
        <v>META US 02/27/26 C660 -&gt; Sell to open 35x</v>
      </c>
    </row>
    <row r="181" spans="1:37">
      <c r="H181" s="100" t="s">
        <v>116</v>
      </c>
      <c r="I181" s="102" t="e">
        <f>I179-I178-I180</f>
        <v>#VALUE!</v>
      </c>
      <c r="J181" s="100" t="s">
        <v>249</v>
      </c>
      <c r="K181" s="101" t="e">
        <f>K180/L179</f>
        <v>#VALUE!</v>
      </c>
      <c r="P181" s="130" t="e">
        <f>P179+P180+P178</f>
        <v>#VALUE!</v>
      </c>
      <c r="Q181" s="58" t="e">
        <f>P181/'Master P&amp;L'!$AD$5*10000</f>
        <v>#VALUE!</v>
      </c>
      <c r="S181" s="100" t="s">
        <v>251</v>
      </c>
      <c r="T181" s="102"/>
      <c r="W181" s="100" t="s">
        <v>252</v>
      </c>
      <c r="X181" s="122" t="e">
        <f>X179+X180+X178</f>
        <v>#VALUE!</v>
      </c>
      <c r="AC181" s="100" t="s">
        <v>229</v>
      </c>
      <c r="AD181" s="122" t="e">
        <f>AD179</f>
        <v>#VALUE!</v>
      </c>
    </row>
    <row r="182" spans="1:37">
      <c r="H182" s="100" t="s">
        <v>253</v>
      </c>
      <c r="I182" s="102"/>
      <c r="J182" s="100" t="s">
        <v>145</v>
      </c>
      <c r="K182" s="109" t="e">
        <f>-AVERAGE(K178:L178)+AVERAGE(K179:L179)-AVERAGE(K180:L180)</f>
        <v>#DIV/0!</v>
      </c>
      <c r="P182" s="100"/>
      <c r="Q182" s="108"/>
      <c r="S182" s="100"/>
      <c r="T182" s="102"/>
      <c r="W182" s="100"/>
      <c r="X182" s="122"/>
      <c r="Y182" s="13" t="e">
        <f>(Y178+Y179+Y180)/S179</f>
        <v>#VALUE!</v>
      </c>
      <c r="AC182" s="100"/>
      <c r="AD182" s="104"/>
    </row>
    <row r="183" spans="1:37">
      <c r="D183" s="64"/>
      <c r="H183" s="96"/>
      <c r="I183" s="64" t="e">
        <f>(I179*A179)-(I180*A180)-(I178*A178)</f>
        <v>#VALUE!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8.09</v>
      </c>
      <c r="J185" s="18">
        <f>T186-T187</f>
        <v>15</v>
      </c>
      <c r="K185" s="276">
        <f>(J185-I185)/I185</f>
        <v>0.85414091470951792</v>
      </c>
      <c r="Q185" s="276">
        <f>Q187+Q186</f>
        <v>7.2038055997084724E-2</v>
      </c>
    </row>
    <row r="186" spans="1:37">
      <c r="A186" s="237">
        <v>1</v>
      </c>
      <c r="B186" s="132" t="s">
        <v>2089</v>
      </c>
      <c r="C186" t="str" cm="1">
        <f t="array" ref="C186">_xll.BDP(B186&amp;" Equity","OPT_UNDL_TICKER")</f>
        <v>NFLX US</v>
      </c>
      <c r="D186" s="64">
        <f>A186*AVERAGE(K186:L186)</f>
        <v>0.27500000000000002</v>
      </c>
      <c r="E186" cm="1">
        <f t="array" ref="E186">_xll.BDP($B186&amp;" Index","opt_days_expire")</f>
        <v>50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0.26</v>
      </c>
      <c r="J186" s="19">
        <f>I186/S186</f>
        <v>3.1261272093302873E-3</v>
      </c>
      <c r="K186" s="36" cm="1">
        <f t="array" ref="K186">_xll.BDP($B186&amp;" Equity","bid")</f>
        <v>0.26</v>
      </c>
      <c r="L186" s="36" cm="1">
        <f t="array" ref="L186">_xll.BDP($B186&amp;" Equity","ask")</f>
        <v>0.28999999999999998</v>
      </c>
      <c r="M186" s="40">
        <f>(L186/K186-1)</f>
        <v>0.1153846153846152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-520</v>
      </c>
      <c r="Q186" s="58">
        <f>P186/'Master P&amp;L'!$AD$5*10000</f>
        <v>-2.3151909220323892E-3</v>
      </c>
      <c r="R186" s="37" cm="1">
        <f t="array" ref="R186">_xll.BDP($C186&amp;" Equity","EST_PE_NXT_YR")*(T186/S186)</f>
        <v>28.112559179527782</v>
      </c>
      <c r="S186" s="36" cm="1">
        <f t="array" ref="S186">_xll.BDP(C186&amp;" Equity","LAST_PRICE")</f>
        <v>83.17</v>
      </c>
      <c r="T186" s="53" cm="1">
        <f t="array" ref="T186">_xll.BDP(B186&amp;" Equity","OPT_STRIKE_PX")</f>
        <v>105</v>
      </c>
      <c r="U186" s="40">
        <f>T186/S186-1</f>
        <v>0.26247444992184676</v>
      </c>
      <c r="V186" s="37" cm="1">
        <f t="array" ref="V186">_xll.BDP($B186&amp;" Equity","ivol_mid")</f>
        <v>35.457380000000001</v>
      </c>
      <c r="W186" s="38" cm="1">
        <f t="array" ref="W186">_xll.BDP(B186&amp;" Equity","DELTA_MID_RT")</f>
        <v>5.8499895036220551E-2</v>
      </c>
      <c r="X186" s="48">
        <f>Y186/'Master P&amp;L'!$AE$5</f>
        <v>-4.3324668786181773E-6</v>
      </c>
      <c r="Y186" s="15">
        <f>IF(G186="Sell", S186*W186*-H186*O186/N186, S186*W186*H186*O186/N186)</f>
        <v>-9730.8725403249264</v>
      </c>
      <c r="Z186" s="15" cm="1">
        <f t="array" ref="Z186">_xll.BDP($B186&amp;" Equity","opt_theta")*H186*O186/N186</f>
        <v>-30.181999999999999</v>
      </c>
      <c r="AA186" s="19" cm="1">
        <f t="array" ref="AA186">_xll.BDP($B186&amp;" Equity","opt_theta")/I186</f>
        <v>-5.8042307692307692E-2</v>
      </c>
      <c r="AB186" s="36" t="str" cm="1">
        <f t="array" ref="AB186">_xll.BDP($C186&amp;" Equity","EXPECTED_REPORT_DT")</f>
        <v>17/04/2026</v>
      </c>
      <c r="AC186" s="15">
        <f>S186*H186*O186/N186</f>
        <v>166340</v>
      </c>
      <c r="AD186" s="19">
        <f>AC186/'Master P&amp;L'!$AE$5</f>
        <v>7.4059395763628389E-5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2087</v>
      </c>
      <c r="C187" t="str" cm="1">
        <f t="array" ref="C187">_xll.BDP(B187&amp;" Equity","OPT_UNDL_TICKER")</f>
        <v>NFLX US</v>
      </c>
      <c r="D187" s="64">
        <f>A187*AVERAGE(K187:L187)</f>
        <v>16.149999999999999</v>
      </c>
      <c r="E187" cm="1">
        <f t="array" ref="E187">_xll.BDP($B187&amp;" Index","opt_days_expire")</f>
        <v>50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8.35</v>
      </c>
      <c r="J187" s="19">
        <f>I187/S187</f>
        <v>0.10039677768426114</v>
      </c>
      <c r="K187" s="36" cm="1">
        <f t="array" ref="K187">_xll.BDP($B187&amp;" Equity","bid")</f>
        <v>7.8</v>
      </c>
      <c r="L187" s="36" cm="1">
        <f t="array" ref="L187">_xll.BDP($B187&amp;" Equity","ask")</f>
        <v>8.35</v>
      </c>
      <c r="M187" s="40">
        <f>(L187/K187-1)</f>
        <v>7.0512820512820484E-2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16700</v>
      </c>
      <c r="Q187" s="58">
        <f>P187/'Master P&amp;L'!$AD$5*10000</f>
        <v>7.4353246919117114E-2</v>
      </c>
      <c r="R187" s="37" cm="1">
        <f t="array" ref="R187">_xll.BDP($C187&amp;" Equity","EST_PE_NXT_YR")*(T187/S187)</f>
        <v>24.096479296738103</v>
      </c>
      <c r="S187" s="36" cm="1">
        <f t="array" ref="S187">_xll.BDP(C187&amp;" Equity","LAST_PRICE")</f>
        <v>83.17</v>
      </c>
      <c r="T187" s="53" cm="1">
        <f t="array" ref="T187">_xll.BDP(B187&amp;" Equity","OPT_STRIKE_PX")</f>
        <v>90</v>
      </c>
      <c r="U187" s="40">
        <f>T187/S187-1</f>
        <v>8.212095707586875E-2</v>
      </c>
      <c r="V187" s="37" cm="1">
        <f t="array" ref="V187">_xll.BDP($B187&amp;" Equity","ivol_mid")</f>
        <v>30.99682</v>
      </c>
      <c r="W187" s="38" cm="1">
        <f t="array" ref="W187">_xll.BDP(B187&amp;" Equity","DELTA_MID_RT")</f>
        <v>-0.72744619846343994</v>
      </c>
      <c r="X187" s="48">
        <f>Y187/'Master P&amp;L'!$AE$5</f>
        <v>-5.3874225908750859E-5</v>
      </c>
      <c r="Y187" s="15">
        <f>IF(G187="Sell", S187*W187*-H187*O187/N187, S187*W187*H187*O187/N187)</f>
        <v>-121003.4006524086</v>
      </c>
      <c r="Z187" s="15" cm="1">
        <f t="array" ref="Z187">_xll.BDP($B187&amp;" Equity","opt_theta")*H187*O187/N187</f>
        <v>-73.501999999999995</v>
      </c>
      <c r="AA187" s="19" cm="1">
        <f t="array" ref="AA187">_xll.BDP($B187&amp;" Equity","opt_theta")/I187</f>
        <v>-4.4013173652694615E-3</v>
      </c>
      <c r="AB187" s="36" t="str" cm="1">
        <f t="array" ref="AB187">_xll.BDP($C187&amp;" Equity","EXPECTED_REPORT_DT")</f>
        <v>17/04/2026</v>
      </c>
      <c r="AC187" s="15">
        <f>S187*H187*O187/N187</f>
        <v>166340</v>
      </c>
      <c r="AD187" s="48">
        <f>AC187/'Master P&amp;L'!$AE$5</f>
        <v>7.4059395763628389E-5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2088</v>
      </c>
      <c r="C188" t="str" cm="1">
        <f t="array" ref="C188">_xll.BDP(B188&amp;" Equity","OPT_UNDL_TICKER")</f>
        <v>NFLX US</v>
      </c>
      <c r="D188" s="64">
        <f>A188*AVERAGE(K188:L188)</f>
        <v>4.76</v>
      </c>
      <c r="E188" cm="1">
        <f t="array" ref="E188">_xll.BDP($B188&amp;" Index","opt_days_expire")</f>
        <v>50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2.35</v>
      </c>
      <c r="J188" s="19">
        <f>I188/S188</f>
        <v>2.8255380545869905E-2</v>
      </c>
      <c r="K188" s="36" cm="1">
        <f t="array" ref="K188">_xll.BDP($B188&amp;" Equity","bid")</f>
        <v>2.35</v>
      </c>
      <c r="L188" s="36" cm="1">
        <f t="array" ref="L188">_xll.BDP($B188&amp;" Equity","ask")</f>
        <v>2.41</v>
      </c>
      <c r="M188" s="40">
        <f>(L188/K188-1)</f>
        <v>2.5531914893617058E-2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-7050</v>
      </c>
      <c r="Q188" s="58">
        <f>P188/'Master P&amp;L'!$AD$5*10000</f>
        <v>-3.1388646154477583E-2</v>
      </c>
      <c r="R188" s="37" cm="1">
        <f t="array" ref="R188">_xll.BDP($C188&amp;" Equity","EST_PE_NXT_YR")*(T188/S188)</f>
        <v>21.419092708211643</v>
      </c>
      <c r="S188" s="36" cm="1">
        <f t="array" ref="S188">_xll.BDP(C188&amp;" Equity","LAST_PRICE")</f>
        <v>83.17</v>
      </c>
      <c r="T188" s="53" cm="1">
        <f t="array" ref="T188">_xll.BDP(B188&amp;" Equity","OPT_STRIKE_PX")</f>
        <v>80</v>
      </c>
      <c r="U188" s="40">
        <f>T188/S188-1</f>
        <v>-3.8114704821450074E-2</v>
      </c>
      <c r="V188" s="37" cm="1">
        <f t="array" ref="V188">_xll.BDP(B188&amp;" Equity","ivol_mid")</f>
        <v>31.280830000000002</v>
      </c>
      <c r="W188" s="38" cm="1">
        <f t="array" ref="W188">_xll.BDP(B188&amp;" Equity","DELTA_MID_RT")</f>
        <v>-0.33667081594467163</v>
      </c>
      <c r="X188" s="48">
        <f>Y188/'Master P&amp;L'!$AE$5</f>
        <v>3.740045580016519E-5</v>
      </c>
      <c r="Y188" s="15">
        <f>IF(G188="Sell", S188*W188*-H188*O188/N188, S188*W188*H188*O188/N188)</f>
        <v>84002.735286355019</v>
      </c>
      <c r="Z188" s="15" cm="1">
        <f t="array" ref="Z188">_xll.BDP($B188&amp;" Equity","opt_theta")*H188*O188/N188</f>
        <v>-99.606000000000009</v>
      </c>
      <c r="AA188" s="19" cm="1">
        <f t="array" ref="AA188">_xll.BDP($B188&amp;" Equity","opt_theta")/I188</f>
        <v>-1.4128510638297873E-2</v>
      </c>
      <c r="AB188" s="36" t="str" cm="1">
        <f t="array" ref="AB188">_xll.BDP($C188&amp;" Equity","EXPECTED_REPORT_DT")</f>
        <v>17/04/2026</v>
      </c>
      <c r="AC188" s="15">
        <f>S188*H188*O188/N188</f>
        <v>249510</v>
      </c>
      <c r="AD188" s="19">
        <f>AC188/'Master P&amp;L'!$AE$5</f>
        <v>1.1108909364544259E-4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5.74</v>
      </c>
      <c r="J189" s="100" t="s">
        <v>249</v>
      </c>
      <c r="K189" s="101">
        <f>K188/L187</f>
        <v>0.28143712574850299</v>
      </c>
      <c r="P189" s="130">
        <f>P187+P188+P186</f>
        <v>9130</v>
      </c>
      <c r="Q189" s="58">
        <f>P189/'Master P&amp;L'!$AD$5*10000</f>
        <v>4.0649409842607141E-2</v>
      </c>
      <c r="S189" s="100" t="s">
        <v>251</v>
      </c>
      <c r="T189" s="102"/>
      <c r="W189" s="100" t="s">
        <v>252</v>
      </c>
      <c r="X189" s="122">
        <f>X187+X188+X186</f>
        <v>-2.0806236987203845E-5</v>
      </c>
      <c r="AC189" s="100" t="s">
        <v>229</v>
      </c>
      <c r="AD189" s="122">
        <f>AD187</f>
        <v>7.4059395763628389E-5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5.419999999999999</v>
      </c>
      <c r="P190" s="100"/>
      <c r="Q190" s="108"/>
      <c r="S190" s="100"/>
      <c r="T190" s="102"/>
      <c r="W190" s="100"/>
      <c r="X190" s="122"/>
      <c r="Y190" s="13">
        <f>(Y186+Y187+Y188)/S187</f>
        <v>-561.87973916530609</v>
      </c>
      <c r="AC190" s="100"/>
      <c r="AD190" s="104"/>
    </row>
    <row r="191" spans="1:37">
      <c r="D191" s="64"/>
      <c r="H191" s="96"/>
      <c r="I191" s="64">
        <f>I187-I186</f>
        <v>8.09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5.2099999999999991</v>
      </c>
      <c r="Q193" s="64">
        <f>Q196+Q197</f>
        <v>0.34794648184005994</v>
      </c>
    </row>
    <row r="194" spans="1:37">
      <c r="A194">
        <v>300</v>
      </c>
      <c r="H194" s="276">
        <v>1</v>
      </c>
      <c r="I194" s="129">
        <f>(I196-I195)/I197</f>
        <v>1.2709030100334444</v>
      </c>
      <c r="K194" s="129"/>
      <c r="Q194" s="129">
        <f>(Q196+Q195)/Q197</f>
        <v>-1.2709030100334444</v>
      </c>
    </row>
    <row r="195" spans="1:37">
      <c r="A195" s="237">
        <v>1</v>
      </c>
      <c r="B195" s="132" t="s">
        <v>2341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150</v>
      </c>
      <c r="I195" s="97">
        <f>IF(G195="Buy",L195,K195)</f>
        <v>4.4000000000000004</v>
      </c>
      <c r="J195" s="19">
        <f>I195/S195</f>
        <v>9.0441932168550884E-2</v>
      </c>
      <c r="K195" s="36" cm="1">
        <f t="array" ref="K195">_xll.BDP($B195&amp;" Equity","bid")</f>
        <v>4.4000000000000004</v>
      </c>
      <c r="L195" s="36" cm="1">
        <f t="array" ref="L195">_xll.BDP($B195&amp;" Equity","ask")</f>
        <v>4.8499999999999996</v>
      </c>
      <c r="M195" s="40">
        <f>(L195/K195-1)</f>
        <v>0.10227272727272707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-66000</v>
      </c>
      <c r="Q195" s="58">
        <f>P195/'Master P&amp;L'!$AD$5*10000</f>
        <v>-0.29385115548872631</v>
      </c>
      <c r="R195" s="37" cm="1">
        <f t="array" ref="R195">_xll.BDP($C195&amp;" Equity","EST_PE_NXT_YR")*(T195/S195)</f>
        <v>60.523469697940989</v>
      </c>
      <c r="S195" s="36" cm="1">
        <f t="array" ref="S195">_xll.BDP(C195&amp;" Equity","LAST_PRICE")</f>
        <v>48.65</v>
      </c>
      <c r="T195" s="53" cm="1">
        <f t="array" ref="T195">_xll.BDP(B195&amp;" Equity","OPT_STRIKE_PX")</f>
        <v>60</v>
      </c>
      <c r="U195" s="40">
        <f>T195/S195-1</f>
        <v>0.2332990750256938</v>
      </c>
      <c r="V195" s="37" cm="1">
        <f t="array" ref="V195">_xll.BDP($B195&amp;" Equity","ivol_mid")</f>
        <v>61.258499999999998</v>
      </c>
      <c r="W195" s="38" cm="1">
        <f t="array" ref="W195">_xll.BDP(B195&amp;" Equity","DELTA_MID_RT")</f>
        <v>0.3999534547328949</v>
      </c>
      <c r="X195" s="48">
        <f>Y195/'Master P&amp;L'!$AE$5</f>
        <v>-1.2994722911927839E-4</v>
      </c>
      <c r="Y195" s="15">
        <f>IF(G195="Sell", S195*W195*-H195*O195/N195, S195*W195*H195*O195/N195)</f>
        <v>-291866.03359133005</v>
      </c>
      <c r="Z195" s="15" cm="1">
        <f t="array" ref="Z195">_xll.BDP($B195&amp;" Equity","opt_theta")*H195*O195/N195</f>
        <v>-347.96999999999997</v>
      </c>
      <c r="AA195" s="19" cm="1">
        <f t="array" ref="AA195">_xll.BDP($B195&amp;" Equity","opt_theta")/I195</f>
        <v>-5.272272727272727E-3</v>
      </c>
      <c r="AB195" s="36" t="str" cm="1">
        <f t="array" ref="AB195">_xll.BDP($C195&amp;" Equity","EXPECTED_REPORT_DT")</f>
        <v>24/04/2026</v>
      </c>
      <c r="AC195" s="15">
        <f>S195*H195*O195/N195</f>
        <v>729750</v>
      </c>
      <c r="AD195" s="19">
        <f>AC195/'Master P&amp;L'!$AE$5</f>
        <v>3.249058798756031E-4</v>
      </c>
      <c r="AE195" t="str">
        <f>B195  &amp; " - Buy to open " &amp;  "-" &amp; H195 &amp;"x"</f>
        <v>INTC US 07/17/26 C60 - Buy to open -150x</v>
      </c>
      <c r="AK195" s="59" t="s">
        <v>1813</v>
      </c>
    </row>
    <row r="196" spans="1:37">
      <c r="A196" s="237">
        <v>2</v>
      </c>
      <c r="B196" s="132" t="s">
        <v>2340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5" t="s">
        <v>247</v>
      </c>
      <c r="H196" s="131">
        <v>150</v>
      </c>
      <c r="I196" s="97">
        <f>IF(G196="Buy",L196,K196)</f>
        <v>8.1999999999999993</v>
      </c>
      <c r="J196" s="19">
        <f>I196/S196</f>
        <v>0.16855087358684481</v>
      </c>
      <c r="K196" s="36" cm="1">
        <f t="array" ref="K196">_xll.BDP($B196&amp;" Equity","bid")</f>
        <v>7.1</v>
      </c>
      <c r="L196" s="36" cm="1">
        <f t="array" ref="L196">_xll.BDP($B196&amp;" Equity","ask")</f>
        <v>8.1999999999999993</v>
      </c>
      <c r="M196" s="40">
        <f>(L196/K196-1)</f>
        <v>0.15492957746478875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123000</v>
      </c>
      <c r="Q196" s="58">
        <f>P196/'Master P&amp;L'!$AD$5*10000</f>
        <v>0.54763169886535357</v>
      </c>
      <c r="R196" s="37" cm="1">
        <f t="array" ref="R196">_xll.BDP($C196&amp;" Equity","EST_PE_NXT_YR")*(T196/S196)</f>
        <v>50.436224748284154</v>
      </c>
      <c r="S196" s="36">
        <f>_xll.BDP(C196&amp;" Equity","LAST_PRICE")</f>
        <v>48.65</v>
      </c>
      <c r="T196" s="53" cm="1">
        <f t="array" ref="T196">_xll.BDP(B196&amp;" Equity","OPT_STRIKE_PX")</f>
        <v>50</v>
      </c>
      <c r="U196" s="40">
        <f>T196/S196-1</f>
        <v>2.7749229188078095E-2</v>
      </c>
      <c r="V196" s="37" cm="1">
        <f t="array" ref="V196">_xll.BDP($B196&amp;" Equity","ivol_mid")</f>
        <v>59.176430000000003</v>
      </c>
      <c r="W196" s="38" cm="1">
        <f t="array" ref="W196">_xll.BDP(B196&amp;" Equity","DELTA_MID_RT")</f>
        <v>0.57073253393173218</v>
      </c>
      <c r="X196" s="48">
        <f>Y196/'Master P&amp;L'!$AE$5</f>
        <v>1.8543435611072194E-4</v>
      </c>
      <c r="Y196" s="15">
        <f>IF(G196="Sell", S196*W196*-H196*O196/N196, S196*W196*H196*O196/N196)</f>
        <v>416492.06663668156</v>
      </c>
      <c r="Z196" s="15" cm="1">
        <f t="array" ref="Z196">_xll.BDP($B196&amp;" Equity","opt_theta")*H196*O196/N196</f>
        <v>-338.23499999999996</v>
      </c>
      <c r="AA196" s="19" cm="1">
        <f t="array" ref="AA196">_xll.BDP($B196&amp;" Equity","opt_theta")/I196</f>
        <v>-2.7498780487804882E-3</v>
      </c>
      <c r="AB196" s="36" t="str" cm="1">
        <f t="array" ref="AB196">_xll.BDP($C196&amp;" Equity","EXPECTED_REPORT_DT")</f>
        <v>24/04/2026</v>
      </c>
      <c r="AC196" s="15">
        <f>S196*H196*O196/N196</f>
        <v>729750</v>
      </c>
      <c r="AD196" s="19">
        <f>AC196/'Master P&amp;L'!$AE$5</f>
        <v>3.249058798756031E-4</v>
      </c>
      <c r="AE196" t="str">
        <f>B196  &amp; " - Buy to open " &amp;  "-" &amp; H196 &amp;"x"</f>
        <v>INTC US 07/17/26 C50 - Buy to open -150x</v>
      </c>
      <c r="AK196" s="59" t="s">
        <v>1813</v>
      </c>
    </row>
    <row r="197" spans="1:37">
      <c r="A197" s="237">
        <v>2</v>
      </c>
      <c r="B197" s="132" t="s">
        <v>2339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150</v>
      </c>
      <c r="I197" s="97">
        <f>IF(G197="Buy",L197,K197)</f>
        <v>2.99</v>
      </c>
      <c r="J197" s="19">
        <f>I197/S197</f>
        <v>6.1459403905447074E-2</v>
      </c>
      <c r="K197" s="36" cm="1">
        <f t="array" ref="K197">_xll.BDP($B197&amp;" Equity","bid")</f>
        <v>2.99</v>
      </c>
      <c r="L197" s="36" cm="1">
        <f t="array" ref="L197">_xll.BDP($B197&amp;" Equity","ask")</f>
        <v>3.3</v>
      </c>
      <c r="M197" s="40">
        <f>(L197/K197-1)</f>
        <v>0.10367892976588622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-44850.000000000007</v>
      </c>
      <c r="Q197" s="58">
        <f>P197/'Master P&amp;L'!$AD$5*10000</f>
        <v>-0.19968521702529363</v>
      </c>
      <c r="R197" s="37" cm="1">
        <f t="array" ref="R197">_xll.BDP($C197&amp;" Equity","EST_PE_NXT_YR")*(T197/S197)</f>
        <v>40.348979798627326</v>
      </c>
      <c r="S197" s="36" cm="1">
        <f t="array" ref="S197">_xll.BDP(C197&amp;" Equity","LAST_PRICE")</f>
        <v>48.65</v>
      </c>
      <c r="T197" s="53" cm="1">
        <f t="array" ref="T197">_xll.BDP(B197&amp;" Equity","OPT_STRIKE_PX")</f>
        <v>40</v>
      </c>
      <c r="U197" s="40">
        <f>T197/S197-1</f>
        <v>-0.1778006166495375</v>
      </c>
      <c r="V197" s="37" cm="1">
        <f t="array" ref="V197">_xll.BDP($B197&amp;" Equity","ivol_mid")</f>
        <v>57.758200000000002</v>
      </c>
      <c r="W197" s="38" cm="1">
        <f t="array" ref="W197">_xll.BDP(B197&amp;" Equity","DELTA_MID_RT")</f>
        <v>-0.23209832608699799</v>
      </c>
      <c r="X197" s="48">
        <f>Y197/'Master P&amp;L'!$AE$5</f>
        <v>7.5410110854950719E-5</v>
      </c>
      <c r="Y197" s="15">
        <f>IF(G197="Sell", S197*W197*-H197*O197/N197, S197*W197*H197*O197/N197)</f>
        <v>169373.75346198678</v>
      </c>
      <c r="Z197" s="15" cm="1">
        <f t="array" ref="Z197">_xll.BDP($B197&amp;" Equity","opt_theta")*H197*O197/N197</f>
        <v>-260.78999999999996</v>
      </c>
      <c r="AA197" s="19" cm="1">
        <f t="array" ref="AA197">_xll.BDP($B197&amp;" Equity","opt_theta")/I197</f>
        <v>-5.8147157190635446E-3</v>
      </c>
      <c r="AB197" s="36" t="str" cm="1">
        <f t="array" ref="AB197">_xll.BDP($C197&amp;" Equity","EXPECTED_REPORT_DT")</f>
        <v>24/04/2026</v>
      </c>
      <c r="AC197" s="15">
        <f>S197*H197*O197/N197</f>
        <v>729750</v>
      </c>
      <c r="AD197" s="19">
        <f>AC197/'Master P&amp;L'!$AE$5</f>
        <v>3.249058798756031E-4</v>
      </c>
      <c r="AE197" t="str">
        <f>B197  &amp; " - Buy to open " &amp;  "-" &amp; H197 &amp;"x"</f>
        <v>INTC US 07/17/26 P40 - Buy to open -150x</v>
      </c>
      <c r="AK197" s="59" t="s">
        <v>1813</v>
      </c>
    </row>
    <row r="198" spans="1:37">
      <c r="H198" s="100" t="s">
        <v>116</v>
      </c>
      <c r="I198" s="102">
        <f>I196-I195-I197</f>
        <v>0.80999999999999872</v>
      </c>
      <c r="J198" s="100" t="s">
        <v>249</v>
      </c>
      <c r="K198" s="101">
        <f>K197/L196</f>
        <v>0.36463414634146346</v>
      </c>
      <c r="P198" s="130">
        <f>P196+P197+P195</f>
        <v>12150</v>
      </c>
      <c r="Q198" s="58">
        <f>P198/'Master P&amp;L'!$AD$5*10000</f>
        <v>5.4095326351333711E-2</v>
      </c>
      <c r="S198" s="100" t="s">
        <v>251</v>
      </c>
      <c r="T198" s="102"/>
      <c r="W198" s="100" t="s">
        <v>252</v>
      </c>
      <c r="X198" s="122">
        <f>X196+X197+X195</f>
        <v>1.3089723784639426E-4</v>
      </c>
      <c r="AC198" s="100" t="s">
        <v>229</v>
      </c>
      <c r="AD198" s="122">
        <f>AD196</f>
        <v>3.249058798756031E-4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-0.12000000000000055</v>
      </c>
      <c r="P199" s="100"/>
      <c r="Q199" s="108"/>
      <c r="S199" s="100"/>
      <c r="T199" s="102"/>
      <c r="W199" s="100"/>
      <c r="X199" s="122"/>
      <c r="Y199" s="13">
        <f>(Y195+Y196+Y197)/S196</f>
        <v>6043.161079287529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6.0199999999999978</v>
      </c>
      <c r="K200" s="64"/>
      <c r="N200" s="36"/>
      <c r="O200" s="162"/>
      <c r="P200" s="15"/>
      <c r="Q200" s="58"/>
      <c r="X200" s="71">
        <f>AD198+X198</f>
        <v>4.5580311772199737E-4</v>
      </c>
    </row>
    <row r="201" spans="1:37">
      <c r="I201" s="64"/>
      <c r="K201" s="64"/>
    </row>
    <row r="202" spans="1:37">
      <c r="H202" s="276">
        <v>1</v>
      </c>
      <c r="I202" s="64">
        <f>I204-I205</f>
        <v>7.1999999999999993</v>
      </c>
      <c r="K202" s="64"/>
      <c r="Q202" s="129">
        <f>(Q204+Q203)/Q205</f>
        <v>-1.493150684931507</v>
      </c>
    </row>
    <row r="203" spans="1:37">
      <c r="A203" s="237"/>
      <c r="B203" s="554" t="s">
        <v>2469</v>
      </c>
      <c r="C203" t="str" cm="1">
        <f t="array" ref="C203">_xll.BDP(B203&amp;" Equity","OPT_UNDL_TICKER")</f>
        <v>MSFT US</v>
      </c>
      <c r="D203" t="str" cm="1">
        <f t="array" ref="D203">_xll.BDP($B203&amp;" Index","mifid_Maturity_date")</f>
        <v>20/02/2026</v>
      </c>
      <c r="E203" cm="1">
        <f t="array" ref="E203">_xll.BDP($B203&amp;" Index","opt_days_expire")</f>
        <v>22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125</v>
      </c>
      <c r="I203" s="97">
        <f>IF(G203="Buy",L203,K203)</f>
        <v>5.4</v>
      </c>
      <c r="J203" s="19">
        <f>I203/S203</f>
        <v>1.24902853336294E-2</v>
      </c>
      <c r="K203" s="36" cm="1">
        <f t="array" ref="K203">_xll.BDP($B203&amp;" Equity","bid")</f>
        <v>5.4</v>
      </c>
      <c r="L203" s="36" cm="1">
        <f t="array" ref="L203">_xll.BDP($B203&amp;" Equity","ask")</f>
        <v>5.55</v>
      </c>
      <c r="M203" s="40">
        <f>(L203/K203-1)</f>
        <v>2.7777777777777679E-2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-67500</v>
      </c>
      <c r="Q203" s="58">
        <f>P203/'Master P&amp;L'!$AD$5*10000</f>
        <v>-0.30052959084074282</v>
      </c>
      <c r="R203" s="37" cm="1">
        <f t="array" ref="R203">_xll.BDP($C203&amp;" Equity","EST_PE_NXT_YR")*(T203/S203)</f>
        <v>26.6171822468051</v>
      </c>
      <c r="S203" s="36" cm="1">
        <f t="array" ref="S203">_xll.BDP(C203&amp;" Equity","LAST_PRICE")</f>
        <v>432.33600000000001</v>
      </c>
      <c r="T203" s="53" cm="1">
        <f t="array" ref="T203">_xll.BDP(B203&amp;" Equity","OPT_STRIKE_PX")</f>
        <v>450</v>
      </c>
      <c r="U203" s="40">
        <f>T203/S203-1</f>
        <v>4.0857111135783164E-2</v>
      </c>
      <c r="V203" s="37" cm="1">
        <f t="array" ref="V203">_xll.BDP($B203&amp;" Equity","ivol_mid")</f>
        <v>28.983059999999998</v>
      </c>
      <c r="W203" s="38" cm="1">
        <f t="array" ref="W203">_xll.BDP(B203&amp;" Equity","DELTA_MID_RT")</f>
        <v>0.30163723230361938</v>
      </c>
      <c r="X203" s="48">
        <f>Y203/'Master P&amp;L'!$AE$5</f>
        <v>-7.2577136218392299E-4</v>
      </c>
      <c r="Y203" s="15">
        <f>IF(G203="Sell", S203*W203*-H203*O203/N203, S203*W203*H203*O203/N203)</f>
        <v>-1630107.9308152201</v>
      </c>
      <c r="Z203" s="15" cm="1">
        <f t="array" ref="Z203">_xll.BDP($B203&amp;" Equity","opt_theta")*H203*O203/N203</f>
        <v>-3101.5125000000003</v>
      </c>
      <c r="AA203" s="19" cm="1">
        <f t="array" ref="AA203">_xll.BDP($B203&amp;" Equity","opt_theta")/I203</f>
        <v>-4.5948333333333334E-2</v>
      </c>
      <c r="AB203" s="36" t="str" cm="1">
        <f t="array" ref="AB203">_xll.BDP($C203&amp;" Equity","EXPECTED_REPORT_DT")</f>
        <v>30/04/2026</v>
      </c>
      <c r="AC203" s="15">
        <f>S203*H203*O203/N203</f>
        <v>5404200</v>
      </c>
      <c r="AD203" s="19">
        <f>AC203/'Master P&amp;L'!$AE$5</f>
        <v>2.4061066886245071E-3</v>
      </c>
      <c r="AE203" t="str">
        <f>B203  &amp; " - Buy to open " &amp;  "-" &amp; H203 &amp;"x"</f>
        <v>MSFT US 02/20/26 C450 - Buy to open -125x</v>
      </c>
      <c r="AK203" s="59" t="s">
        <v>1813</v>
      </c>
    </row>
    <row r="204" spans="1:37">
      <c r="A204" s="237"/>
      <c r="B204" s="554" t="s">
        <v>2472</v>
      </c>
      <c r="C204" t="str" cm="1">
        <f t="array" ref="C204">_xll.BDP(B204&amp;" Equity","OPT_UNDL_TICKER")</f>
        <v>MSFT US</v>
      </c>
      <c r="D204" t="str" cm="1">
        <f t="array" ref="D204">_xll.BDP($B204&amp;" Index","mifid_Maturity_date")</f>
        <v>20/02/2026</v>
      </c>
      <c r="E204" cm="1">
        <f t="array" ref="E204">_xll.BDP($B204&amp;" Index","opt_days_expire")</f>
        <v>22</v>
      </c>
      <c r="F204" t="str" cm="1">
        <f t="array" ref="F204">_xll.BDP(B204&amp;" Equity","QUOTED_CURRENCY_REALTIME")</f>
        <v>USD</v>
      </c>
      <c r="G204" s="105" t="s">
        <v>247</v>
      </c>
      <c r="H204" s="131">
        <v>125</v>
      </c>
      <c r="I204" s="97">
        <f>IF(G204="Buy",L204,K204)</f>
        <v>10.85</v>
      </c>
      <c r="J204" s="19">
        <f>I204/S204</f>
        <v>2.5096221457384996E-2</v>
      </c>
      <c r="K204" s="36" cm="1">
        <f t="array" ref="K204">_xll.BDP($B204&amp;" Equity","bid")</f>
        <v>10.7</v>
      </c>
      <c r="L204" s="36" cm="1">
        <f t="array" ref="L204">_xll.BDP($B204&amp;" Equity","ask")</f>
        <v>10.85</v>
      </c>
      <c r="M204" s="40">
        <f>(L204/K204-1)</f>
        <v>1.4018691588784993E-2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135625</v>
      </c>
      <c r="Q204" s="58">
        <f>P204/'Master P&amp;L'!$AD$5*10000</f>
        <v>0.60384186307815924</v>
      </c>
      <c r="R204" s="37" cm="1">
        <f t="array" ref="R204">_xll.BDP($C204&amp;" Equity","EST_PE_NXT_YR")*(T204/S204)</f>
        <v>25.729942838578268</v>
      </c>
      <c r="S204" s="36">
        <f>_xll.BDP(C204&amp;" Equity","LAST_PRICE")</f>
        <v>432.33600000000001</v>
      </c>
      <c r="T204" s="53" cm="1">
        <f t="array" ref="T204">_xll.BDP(B204&amp;" Equity","OPT_STRIKE_PX")</f>
        <v>435</v>
      </c>
      <c r="U204" s="40">
        <f>T204/S204-1</f>
        <v>6.1618740979239028E-3</v>
      </c>
      <c r="V204" s="37" cm="1">
        <f t="array" ref="V204">_xll.BDP($B204&amp;" Equity","ivol_mid")</f>
        <v>28.582899999999999</v>
      </c>
      <c r="W204" s="38" cm="1">
        <f t="array" ref="W204">_xll.BDP(B204&amp;" Equity","DELTA_MID_RT")</f>
        <v>0.48904958367347717</v>
      </c>
      <c r="X204" s="48">
        <f>Y204/'Master P&amp;L'!$AE$5</f>
        <v>1.1767054743457841E-3</v>
      </c>
      <c r="Y204" s="15">
        <f>IF(G204="Sell", S204*W204*-H204*O204/N204, S204*W204*H204*O204/N204)</f>
        <v>2642921.7600882053</v>
      </c>
      <c r="Z204" s="15" cm="1">
        <f t="array" ref="Z204">_xll.BDP($B204&amp;" Equity","opt_theta")*H204*O204/N204</f>
        <v>-3523.2375000000006</v>
      </c>
      <c r="AA204" s="19" cm="1">
        <f t="array" ref="AA204">_xll.BDP($B204&amp;" Equity","opt_theta")/I204</f>
        <v>-2.5977788018433184E-2</v>
      </c>
      <c r="AB204" s="36" t="str" cm="1">
        <f t="array" ref="AB204">_xll.BDP($C204&amp;" Equity","EXPECTED_REPORT_DT")</f>
        <v>30/04/2026</v>
      </c>
      <c r="AC204" s="15">
        <f>S204*H204*O204/N204</f>
        <v>5404200</v>
      </c>
      <c r="AD204" s="19">
        <f>AC204/'Master P&amp;L'!$AE$5</f>
        <v>2.4061066886245071E-3</v>
      </c>
      <c r="AE204" t="str">
        <f>B204  &amp; " - Buy to open " &amp;  "-" &amp; H204 &amp;"x"</f>
        <v>MSFT US 02/20/26 C435 - Buy to open -125x</v>
      </c>
      <c r="AK204" s="59" t="s">
        <v>1813</v>
      </c>
    </row>
    <row r="205" spans="1:37">
      <c r="A205" s="237"/>
      <c r="B205" s="554" t="s">
        <v>2470</v>
      </c>
      <c r="C205" t="str" cm="1">
        <f t="array" ref="C205">_xll.BDP(B205&amp;" Equity","OPT_UNDL_TICKER")</f>
        <v>MSFT US</v>
      </c>
      <c r="D205" t="str" cm="1">
        <f t="array" ref="D205">_xll.BDP($B205&amp;" Index","mifid_Maturity_date")</f>
        <v>20/02/2026</v>
      </c>
      <c r="E205" cm="1">
        <f t="array" ref="E205">_xll.BDP($B205&amp;" Index","opt_days_expire")</f>
        <v>22</v>
      </c>
      <c r="F205" t="str" cm="1">
        <f t="array" ref="F205">_xll.BDP(B205&amp;" Equity","QUOTED_CURRENCY_REALTIME")</f>
        <v>USD</v>
      </c>
      <c r="G205" s="105" t="s">
        <v>248</v>
      </c>
      <c r="H205" s="131">
        <f>H204</f>
        <v>125</v>
      </c>
      <c r="I205" s="97">
        <f>IF(G205="Buy",L205,K205)</f>
        <v>3.65</v>
      </c>
      <c r="J205" s="19">
        <f>I205/S205</f>
        <v>8.4425076792124642E-3</v>
      </c>
      <c r="K205" s="36" cm="1">
        <f t="array" ref="K205">_xll.BDP($B205&amp;" Equity","bid")</f>
        <v>3.65</v>
      </c>
      <c r="L205" s="36" cm="1">
        <f t="array" ref="L205">_xll.BDP($B205&amp;" Equity","ask")</f>
        <v>3.8</v>
      </c>
      <c r="M205" s="40">
        <f>(L205/K205-1)</f>
        <v>4.1095890410958846E-2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-45625</v>
      </c>
      <c r="Q205" s="58">
        <f>P205/'Master P&amp;L'!$AD$5*10000</f>
        <v>-0.20313574195716877</v>
      </c>
      <c r="R205" s="37" cm="1">
        <f t="array" ref="R205">_xll.BDP($C205&amp;" Equity","EST_PE_NXT_YR")*(T205/S205)</f>
        <v>24.251210491533538</v>
      </c>
      <c r="S205" s="36" cm="1">
        <f t="array" ref="S205">_xll.BDP(C205&amp;" Equity","LAST_PRICE")</f>
        <v>432.33600000000001</v>
      </c>
      <c r="T205" s="53" cm="1">
        <f t="array" ref="T205">_xll.BDP(B205&amp;" Equity","OPT_STRIKE_PX")</f>
        <v>410</v>
      </c>
      <c r="U205" s="40">
        <f>T205/S205-1</f>
        <v>-5.1663520965175236E-2</v>
      </c>
      <c r="V205" s="37" cm="1">
        <f t="array" ref="V205">_xll.BDP($B205&amp;" Equity","ivol_mid")</f>
        <v>29.197279999999999</v>
      </c>
      <c r="W205" s="38" cm="1">
        <f t="array" ref="W205">_xll.BDP(B205&amp;" Equity","DELTA_MID_RT")</f>
        <v>-0.20869454741477966</v>
      </c>
      <c r="X205" s="48">
        <f>Y205/'Master P&amp;L'!$AE$5</f>
        <v>5.0214134641416569E-4</v>
      </c>
      <c r="Y205" s="15">
        <f>IF(G205="Sell", S205*W205*-H205*O205/N205, S205*W205*H205*O205/N205)</f>
        <v>1127827.0731389523</v>
      </c>
      <c r="Z205" s="15" cm="1">
        <f t="array" ref="Z205">_xll.BDP($B205&amp;" Equity","opt_theta")*H205*O205/N205</f>
        <v>-2683.7</v>
      </c>
      <c r="AA205" s="19" cm="1">
        <f t="array" ref="AA205">_xll.BDP($B205&amp;" Equity","opt_theta")/I205</f>
        <v>-5.8820821917808221E-2</v>
      </c>
      <c r="AB205" s="36" t="str" cm="1">
        <f t="array" ref="AB205">_xll.BDP($C205&amp;" Equity","EXPECTED_REPORT_DT")</f>
        <v>30/04/2026</v>
      </c>
      <c r="AC205" s="15">
        <f>S205*H205*O205/N205</f>
        <v>5404200</v>
      </c>
      <c r="AD205" s="19">
        <f>AC205/'Master P&amp;L'!$AE$5</f>
        <v>2.4061066886245071E-3</v>
      </c>
      <c r="AE205" t="str">
        <f>B205  &amp; " - Buy to open " &amp;  "-" &amp; H205 &amp;"x"</f>
        <v>MSFT US 02/20/26 P410 - Buy to open -125x</v>
      </c>
      <c r="AK205" s="59" t="s">
        <v>1813</v>
      </c>
    </row>
    <row r="206" spans="1:37">
      <c r="H206" s="100" t="s">
        <v>116</v>
      </c>
      <c r="I206" s="102">
        <f>I204-I203-I205</f>
        <v>1.7999999999999994</v>
      </c>
      <c r="J206" s="100" t="s">
        <v>249</v>
      </c>
      <c r="K206" s="101">
        <f>K205/L204</f>
        <v>0.33640552995391704</v>
      </c>
      <c r="P206" s="130">
        <f>P204+P205+P203</f>
        <v>22500</v>
      </c>
      <c r="Q206" s="58">
        <f>P206/'Master P&amp;L'!$AD$5*10000</f>
        <v>0.10017653028024762</v>
      </c>
      <c r="S206" s="100" t="s">
        <v>251</v>
      </c>
      <c r="T206" s="102"/>
      <c r="W206" s="100" t="s">
        <v>252</v>
      </c>
      <c r="X206" s="122">
        <f>X204+X205+X203</f>
        <v>9.5307545857602693E-4</v>
      </c>
      <c r="AC206" s="100" t="s">
        <v>229</v>
      </c>
      <c r="AD206" s="122">
        <f>AD204</f>
        <v>2.4061066886245071E-3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1.5749999999999993</v>
      </c>
      <c r="P207" s="100"/>
      <c r="Q207" s="108"/>
      <c r="S207" s="100"/>
      <c r="T207" s="102"/>
      <c r="W207" s="100"/>
      <c r="X207" s="122"/>
      <c r="Y207" s="13">
        <f>(Y203+Y204+Y205)/S204</f>
        <v>4951.3362348079681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3.3591821472005339E-3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-4.4000000000000004</v>
      </c>
      <c r="K210" s="129"/>
      <c r="W210" s="50">
        <f>W212-W211+W214-W213</f>
        <v>-0.4692680835723877</v>
      </c>
    </row>
    <row r="211" spans="1:37">
      <c r="A211" s="237">
        <v>9</v>
      </c>
      <c r="B211" s="554" t="s">
        <v>2471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22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6.95</v>
      </c>
      <c r="J211" s="19">
        <f>I211/S211</f>
        <v>1.6075459827541543E-2</v>
      </c>
      <c r="K211" s="36" cm="1">
        <f t="array" ref="K211">_xll.BDP($B211&amp;" Equity","bid")</f>
        <v>6.8</v>
      </c>
      <c r="L211" s="36" cm="1">
        <f t="array" ref="L211">_xll.BDP($B211&amp;" Equity","ask")</f>
        <v>6.95</v>
      </c>
      <c r="M211" s="40">
        <f>(L211/K211-1)</f>
        <v>2.2058823529411908E-2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139000</v>
      </c>
      <c r="Q211" s="58">
        <f>P211/'Master P&amp;L'!$AD$5*10000</f>
        <v>0.61886834262019641</v>
      </c>
      <c r="R211" s="37" cm="1">
        <f t="array" ref="R211">_xll.BDP($C211&amp;" Equity","EST_PE_NXT_YR")*(T211/S211)</f>
        <v>26.321435777396154</v>
      </c>
      <c r="S211" s="36" cm="1">
        <f t="array" ref="S211">_xll.BDP(C211&amp;" Equity","LAST_PRICE")</f>
        <v>432.33600000000001</v>
      </c>
      <c r="T211" s="53" cm="1">
        <f t="array" ref="T211">_xll.BDP(B211&amp;" Equity","OPT_STRIKE_PX")</f>
        <v>445</v>
      </c>
      <c r="U211" s="40">
        <f>T211/S211-1</f>
        <v>2.9292032123163336E-2</v>
      </c>
      <c r="V211" s="37" cm="1">
        <f t="array" ref="V211">_xll.BDP($B211&amp;" Equity","ivol_mid")</f>
        <v>28.808599999999998</v>
      </c>
      <c r="W211" s="38" cm="1">
        <f t="array" ref="W211">_xll.BDP(B211&amp;" Equity","DELTA_MID_RT")</f>
        <v>0.35888233780860901</v>
      </c>
      <c r="X211" s="48">
        <f>Y211/'Master P&amp;L'!$AE$5</f>
        <v>1.3816147094887904E-3</v>
      </c>
      <c r="Y211" s="15">
        <f>IF(G211="Sell", S211*W211*-H211*O211/N211, S211*W211*H211*O211/N211)</f>
        <v>3103155.0879764557</v>
      </c>
      <c r="Z211" s="15" cm="1">
        <f t="array" ref="Z211">_xll.BDP($B211&amp;" Equity","opt_theta")*H211*O211/N211</f>
        <v>-5253.66</v>
      </c>
      <c r="AA211" s="19" cm="1">
        <f t="array" ref="AA211">_xll.BDP($B211&amp;" Equity","opt_theta")/I211</f>
        <v>-3.7796115107913669E-2</v>
      </c>
      <c r="AB211" s="36" t="str" cm="1">
        <f t="array" ref="AB211">_xll.BDP($C211&amp;" Equity","EXPECTED_REPORT_DT")</f>
        <v>30/04/2026</v>
      </c>
      <c r="AC211" s="15">
        <f>S211*H211*O211/N211</f>
        <v>8646720</v>
      </c>
      <c r="AD211" s="19">
        <f>AC211/'Master P&amp;L'!$AE$5</f>
        <v>3.8497707017992118E-3</v>
      </c>
      <c r="AE211" t="s">
        <v>1875</v>
      </c>
      <c r="AK211" t="s">
        <v>1791</v>
      </c>
    </row>
    <row r="212" spans="1:37">
      <c r="A212" s="237">
        <v>3</v>
      </c>
      <c r="B212" t="s">
        <v>2468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22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>
        <f>IF(G212="Buy",L212,K212)</f>
        <v>6.35</v>
      </c>
      <c r="J212" s="19">
        <f>I212/S212</f>
        <v>1.4687650346027164E-2</v>
      </c>
      <c r="K212" s="36" cm="1">
        <f t="array" ref="K212">_xll.BDP($B212&amp;" Equity","bid")</f>
        <v>6.35</v>
      </c>
      <c r="L212" s="36" cm="1">
        <f t="array" ref="L212">_xll.BDP($B212&amp;" Equity","ask")</f>
        <v>6.5</v>
      </c>
      <c r="M212" s="40">
        <f>(L212/K212-1)</f>
        <v>2.3622047244094446E-2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-127000</v>
      </c>
      <c r="Q212" s="58">
        <f>P212/'Master P&amp;L'!$AD$5*10000</f>
        <v>-0.56544085980406433</v>
      </c>
      <c r="R212" s="37" cm="1">
        <f t="array" ref="R212">_xll.BDP($C212&amp;" Equity","EST_PE_NXT_YR")*(T212/S212)</f>
        <v>24.842703430351431</v>
      </c>
      <c r="S212" s="36" cm="1">
        <f t="array" ref="S212">_xll.BDP(C212&amp;" Equity","LAST_PRICE")</f>
        <v>432.33600000000001</v>
      </c>
      <c r="T212" s="53" cm="1">
        <f t="array" ref="T212">_xll.BDP(B212&amp;" Equity","OPT_STRIKE_PX")</f>
        <v>420</v>
      </c>
      <c r="U212" s="40">
        <f>T212/S212-1</f>
        <v>-2.853336293993558E-2</v>
      </c>
      <c r="V212" s="37" cm="1">
        <f t="array" ref="V212">_xll.BDP($B212&amp;" Equity","ivol_mid")</f>
        <v>28.661819999999999</v>
      </c>
      <c r="W212" s="38" cm="1">
        <f t="array" ref="W212">_xll.BDP(B212&amp;" Equity","DELTA_MID_RT")</f>
        <v>-0.31908029317855835</v>
      </c>
      <c r="X212" s="48">
        <f>Y212/'Master P&amp;L'!$AE$5</f>
        <v>1.2283859642003168E-3</v>
      </c>
      <c r="Y212" s="15">
        <f>IF(G212="Sell", S212*W212*-H212*O212/N212, S212*W212*H212*O212/N212)</f>
        <v>2758997.9526329041</v>
      </c>
      <c r="Z212" s="15" cm="1">
        <f t="array" ref="Z212">_xll.BDP($B212&amp;" Equity","opt_theta")*H212*O212/N212</f>
        <v>-5133.28</v>
      </c>
      <c r="AA212" s="19" cm="1">
        <f t="array" ref="AA212">_xll.BDP($B212&amp;" Equity","opt_theta")/I212</f>
        <v>-4.0419527559055118E-2</v>
      </c>
      <c r="AB212" s="36" t="str" cm="1">
        <f t="array" ref="AB212">_xll.BDP($C212&amp;" Equity","EXPECTED_REPORT_DT")</f>
        <v>30/04/2026</v>
      </c>
      <c r="AC212" s="15">
        <f>S212*H212*O212/N212</f>
        <v>8646720</v>
      </c>
      <c r="AD212" s="48">
        <f>AC212/'Master P&amp;L'!$AE$5</f>
        <v>3.8497707017992118E-3</v>
      </c>
      <c r="AE212" t="s">
        <v>1876</v>
      </c>
      <c r="AK212" t="s">
        <v>1792</v>
      </c>
    </row>
    <row r="213" spans="1:37">
      <c r="A213" s="237">
        <v>20</v>
      </c>
      <c r="B213" s="554" t="s">
        <v>2470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22</v>
      </c>
      <c r="F213" t="str" cm="1">
        <f t="array" ref="F213">_xll.BDP(B213&amp;" Equity","QUOTED_CURRENCY_REALTIME")</f>
        <v>USD</v>
      </c>
      <c r="G213" s="105" t="s">
        <v>247</v>
      </c>
      <c r="H213" s="131">
        <v>200</v>
      </c>
      <c r="I213" s="97">
        <f>IF(G213="Buy",L213,K213)</f>
        <v>3.8</v>
      </c>
      <c r="J213" s="19">
        <f>I213/S213</f>
        <v>8.7894600495910576E-3</v>
      </c>
      <c r="K213" s="36" cm="1">
        <f t="array" ref="K213">_xll.BDP($B213&amp;" Equity","bid")</f>
        <v>3.65</v>
      </c>
      <c r="L213" s="36" cm="1">
        <f t="array" ref="L213">_xll.BDP($B213&amp;" Equity","ask")</f>
        <v>3.8</v>
      </c>
      <c r="M213" s="40">
        <f>(L213/K213-1)</f>
        <v>4.1095890410958846E-2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76000</v>
      </c>
      <c r="Q213" s="58">
        <f>P213/'Master P&amp;L'!$AD$5*10000</f>
        <v>0.33837405783550306</v>
      </c>
      <c r="R213" s="37" cm="1">
        <f t="array" ref="R213">_xll.BDP($C213&amp;" Equity","EST_PE_NXT_YR")*(T213/S213)</f>
        <v>24.251210491533538</v>
      </c>
      <c r="S213" s="36" cm="1">
        <f t="array" ref="S213">_xll.BDP(C213&amp;" Equity","LAST_PRICE")</f>
        <v>432.33600000000001</v>
      </c>
      <c r="T213" s="53" cm="1">
        <f t="array" ref="T213">_xll.BDP(B213&amp;" Equity","OPT_STRIKE_PX")</f>
        <v>410</v>
      </c>
      <c r="U213" s="40">
        <f>T213/S213-1</f>
        <v>-5.1663520965175236E-2</v>
      </c>
      <c r="V213" s="37" cm="1">
        <f t="array" ref="V213">_xll.BDP(B213&amp;" Equity","ivol_mid")</f>
        <v>29.197279999999999</v>
      </c>
      <c r="W213" s="38" cm="1">
        <f t="array" ref="W213">_xll.BDP(B213&amp;" Equity","DELTA_MID_RT")</f>
        <v>-0.20869454741477966</v>
      </c>
      <c r="X213" s="48">
        <f>Y213/'Master P&amp;L'!$AE$5</f>
        <v>-8.0342615426266513E-4</v>
      </c>
      <c r="Y213" s="15">
        <f>IF(G213="Sell", S213*W213*-H213*O213/N213, S213*W213*H213*O213/N213)</f>
        <v>-1804523.3170223236</v>
      </c>
      <c r="Z213" s="15" cm="1">
        <f t="array" ref="Z213">_xll.BDP($B213&amp;" Equity","opt_theta")*H213*O213/N213</f>
        <v>-4293.92</v>
      </c>
      <c r="AA213" s="19" cm="1">
        <f t="array" ref="AA213">_xll.BDP($B213&amp;" Equity","opt_theta")/I213</f>
        <v>-5.6498947368421051E-2</v>
      </c>
      <c r="AB213" s="36" t="str" cm="1">
        <f t="array" ref="AB213">_xll.BDP($C213&amp;" Equity","EXPECTED_REPORT_DT")</f>
        <v>30/04/2026</v>
      </c>
      <c r="AC213" s="15">
        <f>S213*H213*O213/N213</f>
        <v>8646720</v>
      </c>
      <c r="AD213" s="19">
        <f>AC213/'Master P&amp;L'!$AE$5</f>
        <v>3.8497707017992118E-3</v>
      </c>
      <c r="AE213" t="s">
        <v>1877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-4.4000000000000004</v>
      </c>
      <c r="J215" s="100" t="s">
        <v>249</v>
      </c>
      <c r="K215" s="101">
        <f>K214/L212</f>
        <v>0</v>
      </c>
      <c r="P215" s="130">
        <f>P212+P214+P211+P213</f>
        <v>88000</v>
      </c>
      <c r="Q215" s="58">
        <f>P215/'Master P&amp;L'!$AD$5*10000</f>
        <v>0.39180154065163508</v>
      </c>
      <c r="S215" s="100" t="s">
        <v>251</v>
      </c>
      <c r="T215" s="102"/>
      <c r="W215" s="100" t="s">
        <v>252</v>
      </c>
      <c r="X215" s="122">
        <f>X212+X214+X211+X213</f>
        <v>1.8065745194264424E-3</v>
      </c>
      <c r="AC215" s="100" t="s">
        <v>229</v>
      </c>
      <c r="AD215" s="122">
        <f>AD212</f>
        <v>3.8497707017992118E-3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13559.252619743347</v>
      </c>
      <c r="AC216" s="100"/>
      <c r="AD216" s="104"/>
    </row>
    <row r="217" spans="1:37">
      <c r="C217">
        <f>H211*(T211-T212)*100+P215</f>
        <v>588000</v>
      </c>
      <c r="D217" s="64"/>
      <c r="H217" s="96"/>
      <c r="I217" s="64">
        <f>I212-I211</f>
        <v>-0.60000000000000053</v>
      </c>
      <c r="K217" s="64">
        <f>(I211/25*A211)+(I212/25*A212)-(I214/25*A214)</f>
        <v>3.2640000000000002</v>
      </c>
      <c r="N217" s="36"/>
      <c r="O217" s="162"/>
      <c r="P217" s="15"/>
      <c r="Q217" s="58"/>
    </row>
    <row r="218" spans="1:37">
      <c r="C218">
        <f>C217/'Master P&amp;L'!$AD$5*10000</f>
        <v>2.6179466579904713</v>
      </c>
      <c r="I218" s="64">
        <f>I213-I214</f>
        <v>3.8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-6.3333333333333277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18.2</v>
      </c>
      <c r="J221" s="64">
        <f>I224-I225</f>
        <v>9.5499999999999989</v>
      </c>
      <c r="K221" s="129"/>
      <c r="W221" s="50">
        <f>W223-W222+W225-W224</f>
        <v>0.29900172352790833</v>
      </c>
    </row>
    <row r="222" spans="1:37">
      <c r="A222" s="237">
        <v>9</v>
      </c>
      <c r="B222" s="59" t="s">
        <v>2107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140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17.3</v>
      </c>
      <c r="J222" s="19">
        <f>I222/S222</f>
        <v>5.2262703159929917E-2</v>
      </c>
      <c r="K222" s="36" cm="1">
        <f t="array" ref="K222">_xll.BDP($B222&amp;" Equity","bid")</f>
        <v>17.3</v>
      </c>
      <c r="L222" s="36" cm="1">
        <f t="array" ref="L222">_xll.BDP($B222&amp;" Equity","ask")</f>
        <v>17.600000000000001</v>
      </c>
      <c r="M222" s="40">
        <f>(L222/K222-1)</f>
        <v>1.7341040462427681E-2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-86500</v>
      </c>
      <c r="Q222" s="58">
        <f>P222/'Master P&amp;L'!$AD$5*10000</f>
        <v>-0.38512310529961857</v>
      </c>
      <c r="R222" s="37" cm="1">
        <f t="array" ref="R222">_xll.BDP($C222&amp;" Equity","EST_PE_NXT_YR")*(T222/S222)</f>
        <v>29.277179940319371</v>
      </c>
      <c r="S222" s="36" cm="1">
        <f t="array" ref="S222">_xll.BDP(C222&amp;" Equity","LAST_PRICE")</f>
        <v>331.02</v>
      </c>
      <c r="T222" s="53" cm="1">
        <f t="array" ref="T222">_xll.BDP(B222&amp;" Equity","OPT_STRIKE_PX")</f>
        <v>410</v>
      </c>
      <c r="U222" s="40">
        <f>T222/S222-1</f>
        <v>0.23859585523533333</v>
      </c>
      <c r="V222" s="37" cm="1">
        <f t="array" ref="V222">_xll.BDP($B222&amp;" Equity","ivol_mid")</f>
        <v>49.202689999999997</v>
      </c>
      <c r="W222" s="38" cm="1">
        <f t="array" ref="W222">_xll.BDP(B222&amp;" Equity","DELTA_MID_RT")</f>
        <v>0.31053099036216736</v>
      </c>
      <c r="X222" s="48">
        <f>Y222/'Master P&amp;L'!$AE$5</f>
        <v>-2.2882983862139021E-4</v>
      </c>
      <c r="Y222" s="15">
        <f>IF(G222="Sell", S222*W222*-H222*O222/N222, S222*W222*H222*O222/N222)</f>
        <v>-513959.84214842319</v>
      </c>
      <c r="Z222" s="15" cm="1">
        <f t="array" ref="Z222">_xll.BDP($B222&amp;" Equity","opt_theta")*H222*O222/N222</f>
        <v>-632.95000000000005</v>
      </c>
      <c r="AA222" s="19" cm="1">
        <f t="array" ref="AA222">_xll.BDP($B222&amp;" Equity","opt_theta")/I222</f>
        <v>-7.3173410404624283E-3</v>
      </c>
      <c r="AB222" s="36" t="str" cm="1">
        <f t="array" ref="AB222">_xll.BDP($C222&amp;" Equity","EXPECTED_REPORT_DT")</f>
        <v>06/03/2026</v>
      </c>
      <c r="AC222" s="15">
        <f>S222*H222*O222/N222</f>
        <v>1655100</v>
      </c>
      <c r="AD222" s="19">
        <f>AC222/'Master P&amp;L'!$AE$5</f>
        <v>7.3689855674150147E-4</v>
      </c>
      <c r="AE222" t="s">
        <v>1875</v>
      </c>
      <c r="AK222" t="s">
        <v>1791</v>
      </c>
    </row>
    <row r="223" spans="1:37">
      <c r="A223" s="237">
        <v>3</v>
      </c>
      <c r="B223" s="59" t="s">
        <v>2105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140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35.5</v>
      </c>
      <c r="J223" s="19">
        <f>I223/S223</f>
        <v>0.10724427527037642</v>
      </c>
      <c r="K223" s="36" cm="1">
        <f t="array" ref="K223">_xll.BDP($B223&amp;" Equity","bid")</f>
        <v>35.15</v>
      </c>
      <c r="L223" s="36" cm="1">
        <f t="array" ref="L223">_xll.BDP($B223&amp;" Equity","ask")</f>
        <v>35.5</v>
      </c>
      <c r="M223" s="40">
        <f>(L223/K223-1)</f>
        <v>9.957325746799528E-3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177500</v>
      </c>
      <c r="Q223" s="58">
        <f>P223/'Master P&amp;L'!$AD$5*10000</f>
        <v>0.79028151665528679</v>
      </c>
      <c r="R223" s="37" cm="1">
        <f t="array" ref="R223">_xll.BDP($C223&amp;" Equity","EST_PE_NXT_YR")*(T223/S223)</f>
        <v>24.992714583199461</v>
      </c>
      <c r="S223" s="36" cm="1">
        <f t="array" ref="S223">_xll.BDP(C223&amp;" Equity","LAST_PRICE")</f>
        <v>331.02</v>
      </c>
      <c r="T223" s="53" cm="1">
        <f t="array" ref="T223">_xll.BDP(B223&amp;" Equity","OPT_STRIKE_PX")</f>
        <v>350</v>
      </c>
      <c r="U223" s="40">
        <f>T223/S223-1</f>
        <v>5.7337925200894313E-2</v>
      </c>
      <c r="V223" s="37" cm="1">
        <f t="array" ref="V223">_xll.BDP($B223&amp;" Equity","ivol_mid")</f>
        <v>50.637700000000002</v>
      </c>
      <c r="W223" s="38" cm="1">
        <f t="array" ref="W223">_xll.BDP(B223&amp;" Equity","DELTA_MID_RT")</f>
        <v>0.50906479358673096</v>
      </c>
      <c r="X223" s="48">
        <f>Y223/'Master P&amp;L'!$AE$5</f>
        <v>3.7512911168197235E-4</v>
      </c>
      <c r="Y223" s="15">
        <f>IF(G223="Sell", S223*W223*-H223*O223/N223, S223*W223*H223*O223/N223)</f>
        <v>842553.13986539841</v>
      </c>
      <c r="Z223" s="15" cm="1">
        <f t="array" ref="Z223">_xll.BDP($B223&amp;" Equity","opt_theta")*H223*O223/N223</f>
        <v>-709.46499999999992</v>
      </c>
      <c r="AA223" s="19" cm="1">
        <f t="array" ref="AA223">_xll.BDP($B223&amp;" Equity","opt_theta")/I223</f>
        <v>-3.9969859154929573E-3</v>
      </c>
      <c r="AB223" s="36" t="str" cm="1">
        <f t="array" ref="AB223">_xll.BDP($C223&amp;" Equity","EXPECTED_REPORT_DT")</f>
        <v>06/03/2026</v>
      </c>
      <c r="AC223" s="15">
        <f>S223*H223*O223/N223</f>
        <v>1655100</v>
      </c>
      <c r="AD223" s="48">
        <f>AC223/'Master P&amp;L'!$AE$5</f>
        <v>7.3689855674150147E-4</v>
      </c>
      <c r="AE223" t="s">
        <v>1876</v>
      </c>
      <c r="AK223" t="s">
        <v>1792</v>
      </c>
    </row>
    <row r="224" spans="1:37">
      <c r="A224" s="237"/>
      <c r="B224" s="59" t="s">
        <v>2104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140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24.9</v>
      </c>
      <c r="J224" s="19">
        <f>I224/S224</f>
        <v>7.5222040964292192E-2</v>
      </c>
      <c r="K224" s="36" cm="1">
        <f t="array" ref="K224">_xll.BDP($B224&amp;" Equity","bid")</f>
        <v>24.9</v>
      </c>
      <c r="L224" s="36" cm="1">
        <f t="array" ref="L224">_xll.BDP($B224&amp;" Equity","ask")</f>
        <v>25.25</v>
      </c>
      <c r="M224" s="40">
        <f>(L224/K224-1)</f>
        <v>1.4056224899598346E-2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-124500</v>
      </c>
      <c r="Q224" s="58">
        <f>P224/'Master P&amp;L'!$AD$5*10000</f>
        <v>-0.55431013421737019</v>
      </c>
      <c r="R224" s="37" cm="1">
        <f t="array" ref="R224">_xll.BDP($C224&amp;" Equity","EST_PE_NXT_YR")*(T224/S224)</f>
        <v>21.422326785599537</v>
      </c>
      <c r="S224" s="36" cm="1">
        <f t="array" ref="S224">_xll.BDP(C224&amp;" Equity","LAST_PRICE")</f>
        <v>331.02</v>
      </c>
      <c r="T224" s="53" cm="1">
        <f t="array" ref="T224">_xll.BDP(B224&amp;" Equity","OPT_STRIKE_PX")</f>
        <v>300</v>
      </c>
      <c r="U224" s="40">
        <f>T224/S224-1</f>
        <v>-9.3710349827804906E-2</v>
      </c>
      <c r="V224" s="37" cm="1">
        <f t="array" ref="V224">_xll.BDP(B224&amp;" Equity","ivol_mid")</f>
        <v>51.384990000000002</v>
      </c>
      <c r="W224" s="38" cm="1">
        <f t="array" ref="W224">_xll.BDP(B224&amp;" Equity","DELTA_MID_RT")</f>
        <v>-0.3078574538230896</v>
      </c>
      <c r="X224" s="48">
        <f>Y224/'Master P&amp;L'!$AE$5</f>
        <v>2.2685971340434815E-4</v>
      </c>
      <c r="Y224" s="15">
        <f>IF(G224="Sell", S224*W224*-H224*O224/N224, S224*W224*H224*O224/N224)</f>
        <v>509534.8718225956</v>
      </c>
      <c r="Z224" s="15" cm="1">
        <f t="array" ref="Z224">_xll.BDP($B224&amp;" Equity","opt_theta")*H224*O224/N224</f>
        <v>-651.46999999999991</v>
      </c>
      <c r="AA224" s="19" cm="1">
        <f t="array" ref="AA224">_xll.BDP($B224&amp;" Equity","opt_theta")/I224</f>
        <v>-5.232690763052209E-3</v>
      </c>
      <c r="AB224" s="36" t="str" cm="1">
        <f t="array" ref="AB224">_xll.BDP($C224&amp;" Equity","EXPECTED_REPORT_DT")</f>
        <v>06/03/2026</v>
      </c>
      <c r="AC224" s="15">
        <f>S224*H224*O224/N224</f>
        <v>1655100</v>
      </c>
      <c r="AD224" s="19">
        <f>AC224/'Master P&amp;L'!$AE$5</f>
        <v>7.3689855674150147E-4</v>
      </c>
      <c r="AE224" t="s">
        <v>1877</v>
      </c>
      <c r="AK224" t="s">
        <v>1793</v>
      </c>
    </row>
    <row r="225" spans="1:37">
      <c r="A225" s="237"/>
      <c r="B225" s="59" t="s">
        <v>2106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140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15.35</v>
      </c>
      <c r="J225" s="19">
        <f>I225/S225</f>
        <v>4.6371820433810648E-2</v>
      </c>
      <c r="K225" s="36" cm="1">
        <f t="array" ref="K225">_xll.BDP($B225&amp;" Equity","bid")</f>
        <v>15</v>
      </c>
      <c r="L225" s="36" cm="1">
        <f t="array" ref="L225">_xll.BDP($B225&amp;" Equity","ask")</f>
        <v>15.35</v>
      </c>
      <c r="M225" s="40">
        <f>(L225/K225-1)</f>
        <v>2.3333333333333206E-2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76750</v>
      </c>
      <c r="Q225" s="58">
        <f>P225/'Master P&amp;L'!$AD$5*10000</f>
        <v>0.34171327551151126</v>
      </c>
      <c r="R225" s="37" cm="1">
        <f t="array" ref="R225">_xll.BDP($C225&amp;" Equity","EST_PE_NXT_YR")*(T225/S225)</f>
        <v>19.280094107039584</v>
      </c>
      <c r="S225" s="36" cm="1">
        <f t="array" ref="S225">_xll.BDP(C225&amp;" Equity","LAST_PRICE")</f>
        <v>331.02</v>
      </c>
      <c r="T225" s="53" cm="1">
        <f t="array" ref="T225">_xll.BDP(B225&amp;" Equity","OPT_STRIKE_PX")</f>
        <v>270</v>
      </c>
      <c r="U225" s="40">
        <f>T225/S225-1</f>
        <v>-0.18433931484502442</v>
      </c>
      <c r="V225" s="37" cm="1">
        <f t="array" ref="V225">_xll.BDP(B225&amp;" Equity","ivol_mid")</f>
        <v>53.046320000000001</v>
      </c>
      <c r="W225" s="38" cm="1">
        <f t="array" ref="W225">_xll.BDP(B225&amp;" Equity","DELTA_MID_RT")</f>
        <v>-0.20738953351974487</v>
      </c>
      <c r="X225" s="48">
        <f>Y225/'Master P&amp;L'!$AE$5</f>
        <v>-1.5282504793399322E-4</v>
      </c>
      <c r="Y225" s="15">
        <f>IF(G225="Sell", S225*W225*-H225*O225/N225, S225*W225*H225*O225/N225)</f>
        <v>-343250.41692852968</v>
      </c>
      <c r="Z225" s="15" cm="1">
        <f t="array" ref="Z225">_xll.BDP($B225&amp;" Equity","opt_theta")*H225*O225/N225</f>
        <v>-539.82500000000005</v>
      </c>
      <c r="AA225" s="19" cm="1">
        <f t="array" ref="AA225">_xll.BDP($B225&amp;" Equity","opt_theta")/I225</f>
        <v>-7.0335504885993489E-3</v>
      </c>
      <c r="AB225" s="36" t="str" cm="1">
        <f t="array" ref="AB225">_xll.BDP($C225&amp;" Equity","EXPECTED_REPORT_DT")</f>
        <v>06/03/2026</v>
      </c>
      <c r="AC225" s="15">
        <f>S225*H225*O225/N225</f>
        <v>1655100</v>
      </c>
      <c r="AD225" s="19">
        <f>AC225/'Master P&amp;L'!$AE$5</f>
        <v>7.3689855674150147E-4</v>
      </c>
      <c r="AE225" t="s">
        <v>1877</v>
      </c>
      <c r="AK225" t="s">
        <v>1793</v>
      </c>
    </row>
    <row r="226" spans="1:37">
      <c r="H226" s="100" t="s">
        <v>116</v>
      </c>
      <c r="I226" s="102">
        <f>I223+I225-I224-I222</f>
        <v>8.6500000000000021</v>
      </c>
      <c r="J226" s="100" t="s">
        <v>249</v>
      </c>
      <c r="K226" s="101">
        <f>K225/L223</f>
        <v>0.42253521126760563</v>
      </c>
      <c r="P226" s="130">
        <f>P223+P225+P222+P224</f>
        <v>43250</v>
      </c>
      <c r="Q226" s="58">
        <f>P226/'Master P&amp;L'!$AD$5*10000</f>
        <v>0.19256155264980929</v>
      </c>
      <c r="S226" s="100" t="s">
        <v>251</v>
      </c>
      <c r="T226" s="102"/>
      <c r="W226" s="100" t="s">
        <v>252</v>
      </c>
      <c r="X226" s="122">
        <f>X223+X225+X222+X224</f>
        <v>2.2033393853093707E-4</v>
      </c>
      <c r="AC226" s="100" t="s">
        <v>229</v>
      </c>
      <c r="AD226" s="122">
        <f>AD223</f>
        <v>7.3689855674150147E-4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7.9749999999999979</v>
      </c>
      <c r="P227" s="100"/>
      <c r="Q227" s="108"/>
      <c r="S227" s="100"/>
      <c r="T227" s="102"/>
      <c r="W227" s="100"/>
      <c r="X227" s="122"/>
      <c r="Y227" s="13">
        <f>(Y222+Y223+Y224)/S223</f>
        <v>2531.956285238266</v>
      </c>
      <c r="AC227" s="100"/>
      <c r="AD227" s="104"/>
    </row>
    <row r="228" spans="1:37">
      <c r="D228" s="64"/>
      <c r="H228" s="96"/>
      <c r="I228" s="64">
        <f>I223-I222</f>
        <v>18.2</v>
      </c>
      <c r="K228" s="64">
        <f>(I222/25*A222)+(I223/25*A223)-(I225/25*A225)</f>
        <v>10.488</v>
      </c>
      <c r="N228" s="36"/>
      <c r="O228" s="162"/>
      <c r="P228" s="15"/>
      <c r="Q228" s="58"/>
    </row>
    <row r="229" spans="1:37">
      <c r="I229" s="64">
        <f>I224-I225</f>
        <v>9.5499999999999989</v>
      </c>
      <c r="K229">
        <v>11.59</v>
      </c>
      <c r="M229" s="267">
        <f>(I226-K227)*500*100</f>
        <v>33750.000000000218</v>
      </c>
      <c r="P229">
        <v>-7500</v>
      </c>
      <c r="S229">
        <v>521.79999999999995</v>
      </c>
    </row>
    <row r="230" spans="1:37">
      <c r="I230" s="40">
        <f>I229/I228</f>
        <v>0.52472527472527464</v>
      </c>
    </row>
    <row r="231" spans="1:37">
      <c r="I231" s="64"/>
    </row>
    <row r="232" spans="1:37">
      <c r="I232" s="64"/>
    </row>
    <row r="233" spans="1:37">
      <c r="A233" s="447">
        <f>P233/Y233</f>
        <v>0.21001449132613342</v>
      </c>
      <c r="B233" s="59" t="s">
        <v>2305</v>
      </c>
      <c r="C233" t="str" cm="1">
        <f t="array" ref="C233">_xll.BDP(B233&amp;" Equity","OPT_UNDL_TICKER")</f>
        <v>META US</v>
      </c>
      <c r="D233" s="43">
        <f>J233+U233</f>
        <v>6.6657661916660949E-2</v>
      </c>
      <c r="E233" cm="1">
        <f t="array" ref="E233">_xll.BDP($B233&amp;" Index","opt_days_expire")</f>
        <v>169</v>
      </c>
      <c r="F233" t="str" cm="1">
        <f t="array" ref="F233">_xll.BDP(B233&amp;" Equity","QUOTED_CURRENCY_REALTIME")</f>
        <v>USD</v>
      </c>
      <c r="G233" s="105" t="s">
        <v>247</v>
      </c>
      <c r="H233" s="131">
        <v>40</v>
      </c>
      <c r="I233" s="97">
        <f>IF(G233="Buy",L233,K233)</f>
        <v>109.7</v>
      </c>
      <c r="J233" s="19">
        <f>I233/S233</f>
        <v>0.14817316134260822</v>
      </c>
      <c r="K233" s="36" cm="1">
        <f t="array" ref="K233">_xll.BDP($B233&amp;" Equity","bid")</f>
        <v>107.8</v>
      </c>
      <c r="L233" s="36" cm="1">
        <f t="array" ref="L233">_xll.BDP($B233&amp;" Equity","ask")</f>
        <v>109.7</v>
      </c>
      <c r="M233" s="40">
        <f>(L233/K233-1)</f>
        <v>1.7625231910946226E-2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438800</v>
      </c>
      <c r="Q233" s="58">
        <f>P233/'Master P&amp;L'!$AD$5*10000</f>
        <v>1.9536649549765623</v>
      </c>
      <c r="R233" s="37" cm="1">
        <f t="array" ref="R233">_xll.BDP($C233&amp;" Equity","EST_PE_NXT_YR")*(T233/S233)</f>
        <v>15.880297328426659</v>
      </c>
      <c r="S233" s="36" cm="1">
        <f t="array" ref="S233">_xll.BDP(C233&amp;" Equity","LAST_PRICE")</f>
        <v>740.35</v>
      </c>
      <c r="T233" s="53" cm="1">
        <f t="array" ref="T233">_xll.BDP(B233&amp;" Equity","OPT_STRIKE_PX")</f>
        <v>680</v>
      </c>
      <c r="U233" s="40">
        <f>T233/S233-1</f>
        <v>-8.1515499425947269E-2</v>
      </c>
      <c r="V233" s="37" cm="1">
        <f t="array" ref="V233">_xll.BDP($B233&amp;" Equity","ivol_mid")</f>
        <v>36.43647</v>
      </c>
      <c r="W233" s="38" cm="1">
        <f t="array" ref="W233">_xll.BDP(B233&amp;" Equity","DELTA_MID_RT")</f>
        <v>0.70553779602050781</v>
      </c>
      <c r="X233" s="48">
        <f>Y233/'Master P&amp;L'!$AE$5</f>
        <v>9.302524519332802E-4</v>
      </c>
      <c r="Y233" s="15">
        <f>IF(G233="Sell", S233*W233*-H233*O233/N233, S233*W233*H233*O233/N233)</f>
        <v>2089379.6291351318</v>
      </c>
      <c r="Z233" s="15" cm="1">
        <f t="array" ref="Z233">_xll.BDP($B233&amp;" Equity","opt_theta")*H233*O233/N233</f>
        <v>-751.76</v>
      </c>
      <c r="AA233" s="19" cm="1">
        <f t="array" ref="AA233">_xll.BDP($B233&amp;" Equity","opt_theta")/I233</f>
        <v>-1.7132178669097538E-3</v>
      </c>
      <c r="AB233" s="36" t="str" cm="1">
        <f t="array" ref="AB233">_xll.BDP($C233&amp;" Equity","EXPECTED_REPORT_DT")</f>
        <v>30/04/2026</v>
      </c>
      <c r="AC233" s="15">
        <f>S233*H233*O233/N233</f>
        <v>2961400</v>
      </c>
      <c r="AD233" s="48">
        <f>AC233/'Master P&amp;L'!$AE$5</f>
        <v>1.3185012300974456E-3</v>
      </c>
      <c r="AE233" t="str">
        <f>B233&amp;" -&gt; Buy to open "&amp;H233&amp;"x"</f>
        <v>META US 07/17/26 C680 -&gt; Buy to open 40x</v>
      </c>
    </row>
    <row r="234" spans="1:37">
      <c r="A234" s="447">
        <f t="shared" ref="A234:A235" si="0">P234/Y234</f>
        <v>0.16973436505618233</v>
      </c>
      <c r="B234" s="59" t="s">
        <v>2296</v>
      </c>
      <c r="C234" t="str" cm="1">
        <f t="array" ref="C234">_xll.BDP(B234&amp;" Equity","OPT_UNDL_TICKER")</f>
        <v>AMZN US</v>
      </c>
      <c r="D234" s="43">
        <f>J234+U234</f>
        <v>0.12220843672456574</v>
      </c>
      <c r="E234" cm="1">
        <f t="array" ref="E234">_xll.BDP($B234&amp;" Index","opt_days_expire")</f>
        <v>169</v>
      </c>
      <c r="F234" t="str" cm="1">
        <f t="array" ref="F234">_xll.BDP(B234&amp;" Equity","QUOTED_CURRENCY_REALTIME")</f>
        <v>USD</v>
      </c>
      <c r="G234" s="105" t="s">
        <v>247</v>
      </c>
      <c r="H234" s="131">
        <v>105</v>
      </c>
      <c r="I234" s="97">
        <f>IF(G234="Buy",L234,K234)</f>
        <v>21.35</v>
      </c>
      <c r="J234" s="19">
        <f>I234/S234</f>
        <v>8.8296112489660877E-2</v>
      </c>
      <c r="K234" s="36" cm="1">
        <f t="array" ref="K234">_xll.BDP($B234&amp;" Equity","bid")</f>
        <v>21.2</v>
      </c>
      <c r="L234" s="36" cm="1">
        <f t="array" ref="L234">_xll.BDP($B234&amp;" Equity","ask")</f>
        <v>21.35</v>
      </c>
      <c r="M234" s="40">
        <f>(L234/K234-1)</f>
        <v>7.0754716981134003E-3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224175</v>
      </c>
      <c r="Q234" s="58">
        <f>P234/'Master P&amp;L'!$AD$5*10000</f>
        <v>0.99809216335886697</v>
      </c>
      <c r="R234" s="37" cm="1">
        <f t="array" ref="R234">_xll.BDP($C234&amp;" Equity","EST_PE_NXT_YR")*(T234/S234)</f>
        <v>26.969840480069148</v>
      </c>
      <c r="S234" s="36" cm="1">
        <f t="array" ref="S234">_xll.BDP(C234&amp;" Equity","LAST_PRICE")</f>
        <v>241.8</v>
      </c>
      <c r="T234" s="53" cm="1">
        <f t="array" ref="T234">_xll.BDP(B234&amp;" Equity","OPT_STRIKE_PX")</f>
        <v>250</v>
      </c>
      <c r="U234" s="40">
        <f>T234/S234-1</f>
        <v>3.3912324234904867E-2</v>
      </c>
      <c r="V234" s="37" cm="1">
        <f t="array" ref="V234">_xll.BDP(B234&amp;" Equity","ivol_mid")</f>
        <v>35.128340000000001</v>
      </c>
      <c r="W234" s="38" cm="1">
        <f t="array" ref="W234">_xll.BDP(B234&amp;" Equity","DELTA_MID_RT")</f>
        <v>0.52020174264907837</v>
      </c>
      <c r="X234" s="48">
        <f>Y234/'Master P&amp;L'!$AE$5</f>
        <v>5.8803187146486049E-4</v>
      </c>
      <c r="Y234" s="15">
        <f>IF(G234="Sell", S234*W234*-H234*O234/N234, S234*W234*H234*O234/N234)</f>
        <v>1320740.2044117451</v>
      </c>
      <c r="Z234" s="15" cm="1">
        <f t="array" ref="Z234">_xll.BDP($B234&amp;" Equity","opt_theta")*H234*O234/N234</f>
        <v>-690.99450000000002</v>
      </c>
      <c r="AA234" s="19" cm="1">
        <f t="array" ref="AA234">_xll.BDP($B234&amp;" Equity","opt_theta")/I234</f>
        <v>-3.0823887587822017E-3</v>
      </c>
      <c r="AB234" s="36" t="str" cm="1">
        <f t="array" ref="AB234">_xll.BDP($C234&amp;" Equity","EXPECTED_REPORT_DT")</f>
        <v>05/02/2026</v>
      </c>
      <c r="AC234" s="15">
        <f>S234*H234*O234/N234</f>
        <v>2538900</v>
      </c>
      <c r="AD234" s="19">
        <f>AC234/'Master P&amp;L'!$AE$5</f>
        <v>1.130391967682314E-3</v>
      </c>
      <c r="AE234" t="str">
        <f>B234  &amp; " -&gt; Sell to open " &amp;   H234 &amp;"x"</f>
        <v>AMZN US 07/17/26 C250 -&gt; Sell to open 105x</v>
      </c>
    </row>
    <row r="235" spans="1:37">
      <c r="A235" s="447">
        <f t="shared" si="0"/>
        <v>0.12271136471136188</v>
      </c>
      <c r="B235" s="59" t="s">
        <v>2299</v>
      </c>
      <c r="C235" t="str" cm="1">
        <f t="array" ref="C235">_xll.BDP(B235&amp;" Equity","OPT_UNDL_TICKER")</f>
        <v>MSFT US</v>
      </c>
      <c r="D235" s="43">
        <f>J235+U235</f>
        <v>0.13592206061951809</v>
      </c>
      <c r="E235" cm="1">
        <f t="array" ref="E235">_xll.BDP($B235&amp;" Index","opt_days_expire")</f>
        <v>169</v>
      </c>
      <c r="F235" t="str" cm="1">
        <f t="array" ref="F235">_xll.BDP(B235&amp;" Equity","QUOTED_CURRENCY_REALTIME")</f>
        <v>USD</v>
      </c>
      <c r="G235" s="105" t="s">
        <v>247</v>
      </c>
      <c r="H235" s="131">
        <v>55</v>
      </c>
      <c r="I235" s="97">
        <f t="shared" ref="I235" si="1">IF(G235="Buy",L235,K235)</f>
        <v>21.1</v>
      </c>
      <c r="J235" s="19">
        <f t="shared" ref="J235" si="2">I235/S235</f>
        <v>4.8804633433255619E-2</v>
      </c>
      <c r="K235" s="36" cm="1">
        <f t="array" ref="K235">_xll.BDP($B235&amp;" Equity","bid")</f>
        <v>20.9</v>
      </c>
      <c r="L235" s="36" cm="1">
        <f t="array" ref="L235">_xll.BDP($B235&amp;" Equity","ask")</f>
        <v>21.1</v>
      </c>
      <c r="M235" s="40">
        <f t="shared" ref="M235" si="3">(L235/K235-1)</f>
        <v>9.5693779904306719E-3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116050</v>
      </c>
      <c r="Q235" s="58">
        <f>P235/'Master P&amp;L'!$AD$5*10000</f>
        <v>0.51668828173434378</v>
      </c>
      <c r="R235" s="37" cm="1">
        <f t="array" ref="R235">_xll.BDP($C235&amp;" Equity","EST_PE_NXT_YR")*(T235/S235)</f>
        <v>27.800168124440884</v>
      </c>
      <c r="S235" s="36" cm="1">
        <f t="array" ref="S235">_xll.BDP(C235&amp;" Equity","LAST_PRICE")</f>
        <v>432.33600000000001</v>
      </c>
      <c r="T235" s="53" cm="1">
        <f t="array" ref="T235">_xll.BDP(B235&amp;" Equity","OPT_STRIKE_PX")</f>
        <v>470</v>
      </c>
      <c r="U235" s="40">
        <f t="shared" ref="U235" si="5">T235/S235-1</f>
        <v>8.7117427186262475E-2</v>
      </c>
      <c r="V235" s="37" cm="1">
        <f t="array" ref="V235">_xll.BDP(B235&amp;" Equity","ivol_mid")</f>
        <v>28.963660000000001</v>
      </c>
      <c r="W235" s="38" cm="1">
        <f t="array" ref="W235">_xll.BDP(B235&amp;" Equity","DELTA_MID_RT")</f>
        <v>0.39771893620491028</v>
      </c>
      <c r="X235" s="48">
        <f>Y235/'Master P&amp;L'!$AE$5</f>
        <v>4.2105984474191373E-4</v>
      </c>
      <c r="Y235" s="15">
        <f t="shared" ref="Y235" si="6">IF(G235="Sell", S235*W235*-H235*O235/N235, S235*W235*H235*O235/N235)</f>
        <v>945715.17701697361</v>
      </c>
      <c r="Z235" s="15" cm="1">
        <f t="array" ref="Z235">_xll.BDP($B235&amp;" Equity","opt_theta")*H235*O235/N235</f>
        <v>-557.03449999999998</v>
      </c>
      <c r="AA235" s="19" cm="1">
        <f t="array" ref="AA235">_xll.BDP($B235&amp;" Equity","opt_theta")/I235</f>
        <v>-4.7999526066350709E-3</v>
      </c>
      <c r="AB235" s="36" t="str" cm="1">
        <f t="array" ref="AB235">_xll.BDP($C235&amp;" Equity","EXPECTED_REPORT_DT")</f>
        <v>30/04/2026</v>
      </c>
      <c r="AC235" s="15">
        <f t="shared" ref="AC235" si="7">S235*H235*O235/N235</f>
        <v>2377848</v>
      </c>
      <c r="AD235" s="19">
        <f>AC235/'Master P&amp;L'!$AE$5</f>
        <v>1.0586869429947833E-3</v>
      </c>
      <c r="AE235" t="str">
        <f t="shared" ref="AE235" si="8">B235  &amp; " -&gt; Sell to open " &amp;   H235 &amp;"x"</f>
        <v>MSFT US 07/17/26 C470 -&gt; Sell to open 55x</v>
      </c>
    </row>
    <row r="236" spans="1:37">
      <c r="A236" s="447">
        <f t="shared" ref="A236" si="9">P236/Y236</f>
        <v>0.17143391884562648</v>
      </c>
      <c r="B236" s="59" t="s">
        <v>2301</v>
      </c>
      <c r="C236" t="str" cm="1">
        <f t="array" ref="C236">_xll.BDP(B236&amp;" Equity","OPT_UNDL_TICKER")</f>
        <v>GOOG US</v>
      </c>
      <c r="D236" s="43">
        <f>J236+U236</f>
        <v>0.12239026189597925</v>
      </c>
      <c r="E236" cm="1">
        <f t="array" ref="E236">_xll.BDP($B236&amp;" Index","opt_days_expire")</f>
        <v>169</v>
      </c>
      <c r="F236" t="str" cm="1">
        <f t="array" ref="F236">_xll.BDP(B236&amp;" Equity","QUOTED_CURRENCY_REALTIME")</f>
        <v>USD</v>
      </c>
      <c r="G236" s="105" t="s">
        <v>247</v>
      </c>
      <c r="H236" s="131">
        <v>70</v>
      </c>
      <c r="I236" s="97">
        <f t="shared" ref="I236" si="10">IF(G236="Buy",L236,K236)</f>
        <v>30.35</v>
      </c>
      <c r="J236" s="19">
        <f t="shared" ref="J236" si="11">I236/S236</f>
        <v>8.9561047583917378E-2</v>
      </c>
      <c r="K236" s="36" cm="1">
        <f t="array" ref="K236">_xll.BDP($B236&amp;" Equity","bid")</f>
        <v>30.05</v>
      </c>
      <c r="L236" s="36" cm="1">
        <f t="array" ref="L236">_xll.BDP($B236&amp;" Equity","ask")</f>
        <v>30.35</v>
      </c>
      <c r="M236" s="40">
        <f t="shared" ref="M236" si="12">(L236/K236-1)</f>
        <v>9.9833610648918381E-3</v>
      </c>
      <c r="N236" s="36" cm="1">
        <f t="array" ref="N236">_xll.BDP(F236&amp;" Curncy","PX_LAST")</f>
        <v>1</v>
      </c>
      <c r="O236" s="162" cm="1">
        <f t="array" ref="O236">_xll.BDP(B236&amp;" Equity","OPT_MULTIPLIER")</f>
        <v>100</v>
      </c>
      <c r="P236" s="15">
        <f t="shared" ref="P236" si="13">IF(G236="Buy",((I236/N236)*H236*O236),((I236/N236)*-H236*O236))</f>
        <v>212450</v>
      </c>
      <c r="Q236" s="58">
        <f>P236/'Master P&amp;L'!$AD$5*10000</f>
        <v>0.94588906035727127</v>
      </c>
      <c r="R236" s="37" cm="1">
        <f t="array" ref="R236">_xll.BDP($C236&amp;" Equity","EST_PE_NXT_YR")*(T236/S236)</f>
        <v>29.386564699962779</v>
      </c>
      <c r="S236" s="36" cm="1">
        <f t="array" ref="S236">_xll.BDP(C236&amp;" Equity","LAST_PRICE")</f>
        <v>338.875</v>
      </c>
      <c r="T236" s="53" cm="1">
        <f t="array" ref="T236">_xll.BDP(B236&amp;" Equity","OPT_STRIKE_PX")</f>
        <v>350</v>
      </c>
      <c r="U236" s="40">
        <f t="shared" ref="U236" si="14">T236/S236-1</f>
        <v>3.2829214312061872E-2</v>
      </c>
      <c r="V236" s="37" cm="1">
        <f t="array" ref="V236">_xll.BDP(B236&amp;" Equity","ivol_mid")</f>
        <v>34.92839</v>
      </c>
      <c r="W236" s="38" cm="1">
        <f t="array" ref="W236">_xll.BDP(B236&amp;" Equity","DELTA_MID_RT")</f>
        <v>0.5224231481552124</v>
      </c>
      <c r="X236" s="48">
        <f>Y236/'Master P&amp;L'!$AE$5</f>
        <v>5.5175140761323284E-4</v>
      </c>
      <c r="Y236" s="15">
        <f t="shared" ref="Y236" si="15">IF(G236="Sell", S236*W236*-H236*O236/N236, S236*W236*H236*O236/N236)</f>
        <v>1239253.0103176832</v>
      </c>
      <c r="Z236" s="15" cm="1">
        <f t="array" ref="Z236">_xll.BDP($B236&amp;" Equity","opt_theta")*H236*O236/N236</f>
        <v>-641.39600000000007</v>
      </c>
      <c r="AA236" s="19" cm="1">
        <f t="array" ref="AA236">_xll.BDP($B236&amp;" Equity","opt_theta")/I236</f>
        <v>-3.0190444810543654E-3</v>
      </c>
      <c r="AB236" s="36" t="str" cm="1">
        <f t="array" ref="AB236">_xll.BDP($C236&amp;" Equity","EXPECTED_REPORT_DT")</f>
        <v>04/02/2026</v>
      </c>
      <c r="AC236" s="15">
        <f t="shared" ref="AC236" si="16">S236*H236*O236/N236</f>
        <v>2372125</v>
      </c>
      <c r="AD236" s="19">
        <f>AC236/'Master P&amp;L'!$AE$5</f>
        <v>1.0561388972934772E-3</v>
      </c>
      <c r="AE236" t="str">
        <f t="shared" ref="AE236" si="17">B236  &amp; " -&gt; Sell to open " &amp;   H236 &amp;"x"</f>
        <v>GOOG US 07/17/26 C350 -&gt; Sell to open 70x</v>
      </c>
    </row>
    <row r="237" spans="1:37">
      <c r="A237" s="447">
        <f t="shared" ref="A237" si="18">P237/Y237</f>
        <v>0.21865886447434937</v>
      </c>
      <c r="B237" s="59" t="s">
        <v>2304</v>
      </c>
      <c r="C237" t="str" cm="1">
        <f t="array" ref="C237">_xll.BDP(B237&amp;" Equity","OPT_UNDL_TICKER")</f>
        <v>NVDA US</v>
      </c>
      <c r="D237" s="43">
        <f t="shared" ref="D237" si="19">J237+U237</f>
        <v>0.13649936385116715</v>
      </c>
      <c r="E237" cm="1">
        <f t="array" ref="E237">_xll.BDP($B237&amp;" Index","opt_days_expire")</f>
        <v>169</v>
      </c>
      <c r="F237" t="str" cm="1">
        <f t="array" ref="F237">_xll.BDP(B237&amp;" Equity","QUOTED_CURRENCY_REALTIME")</f>
        <v>USD</v>
      </c>
      <c r="G237" s="105" t="s">
        <v>247</v>
      </c>
      <c r="H237" s="131">
        <v>135</v>
      </c>
      <c r="I237" s="97">
        <f t="shared" ref="I237" si="20">IF(G237="Buy",L237,K237)</f>
        <v>23.85</v>
      </c>
      <c r="J237" s="19">
        <f t="shared" ref="J237" si="21">I237/S237</f>
        <v>0.12385428296938697</v>
      </c>
      <c r="K237" s="36" cm="1">
        <f t="array" ref="K237">_xll.BDP($B237&amp;" Equity","bid")</f>
        <v>23.7</v>
      </c>
      <c r="L237" s="36" cm="1">
        <f t="array" ref="L237">_xll.BDP($B237&amp;" Equity","ask")</f>
        <v>23.85</v>
      </c>
      <c r="M237" s="40">
        <f t="shared" ref="M237" si="22">(L237/K237-1)</f>
        <v>6.3291139240506666E-3</v>
      </c>
      <c r="N237" s="36" cm="1">
        <f t="array" ref="N237">_xll.BDP(F237&amp;" Curncy","PX_LAST")</f>
        <v>1</v>
      </c>
      <c r="O237" s="162" cm="1">
        <f t="array" ref="O237">_xll.BDP(B237&amp;" Equity","OPT_MULTIPLIER")</f>
        <v>100</v>
      </c>
      <c r="P237" s="15">
        <f t="shared" ref="P237" si="23">IF(G237="Buy",((I237/N237)*H237*O237),((I237/N237)*-H237*O237))</f>
        <v>321975</v>
      </c>
      <c r="Q237" s="58">
        <f>P237/'Master P&amp;L'!$AD$5*10000</f>
        <v>1.4335261483103432</v>
      </c>
      <c r="R237" s="37" cm="1">
        <f t="array" ref="R237">_xll.BDP($C237&amp;" Equity","EST_PE_NXT_YR")*(T237/S237)</f>
        <v>25.076517441230742</v>
      </c>
      <c r="S237" s="36" cm="1">
        <f t="array" ref="S237">_xll.BDP(C237&amp;" Equity","LAST_PRICE")</f>
        <v>192.565</v>
      </c>
      <c r="T237" s="53" cm="1">
        <f t="array" ref="T237">_xll.BDP(B237&amp;" Equity","OPT_STRIKE_PX")</f>
        <v>195</v>
      </c>
      <c r="U237" s="40">
        <f t="shared" ref="U237" si="24">T237/S237-1</f>
        <v>1.264508088178018E-2</v>
      </c>
      <c r="V237" s="37" cm="1">
        <f t="array" ref="V237">_xll.BDP(B237&amp;" Equity","ivol_mid")</f>
        <v>44.696710000000003</v>
      </c>
      <c r="W237" s="38" cm="1">
        <f t="array" ref="W237">_xll.BDP(B237&amp;" Equity","DELTA_MID_RT")</f>
        <v>0.56642699241638184</v>
      </c>
      <c r="X237" s="48">
        <f>Y237/'Master P&amp;L'!$AE$5</f>
        <v>6.5559937474133755E-4</v>
      </c>
      <c r="Y237" s="15">
        <f t="shared" ref="Y237" si="25">IF(G237="Sell", S237*W237*-H237*O237/N237, S237*W237*H237*O237/N237)</f>
        <v>1472499.1862279177</v>
      </c>
      <c r="Z237" s="15" cm="1">
        <f t="array" ref="Z237">_xll.BDP($B237&amp;" Equity","opt_theta")*H237*O237/N237</f>
        <v>-884.601</v>
      </c>
      <c r="AA237" s="19" cm="1">
        <f t="array" ref="AA237">_xll.BDP($B237&amp;" Equity","opt_theta")/I237</f>
        <v>-2.7474213836477988E-3</v>
      </c>
      <c r="AB237" s="36" t="str" cm="1">
        <f t="array" ref="AB237">_xll.BDP($C237&amp;" Equity","EXPECTED_REPORT_DT")</f>
        <v>25/02/2026</v>
      </c>
      <c r="AC237" s="15">
        <f t="shared" ref="AC237" si="26">S237*H237*O237/N237</f>
        <v>2599627.5</v>
      </c>
      <c r="AD237" s="19">
        <f>AC237/'Master P&amp;L'!$AE$5</f>
        <v>1.1574296132049529E-3</v>
      </c>
      <c r="AE237" t="str">
        <f t="shared" ref="AE237" si="27">B237  &amp; " -&gt; Sell to open " &amp;   H237 &amp;"x"</f>
        <v>NVDA US 07/17/26 C195 -&gt; Sell to open 135x</v>
      </c>
    </row>
    <row r="239" spans="1:37">
      <c r="A239" s="237"/>
      <c r="B239" s="73"/>
      <c r="D239" s="64"/>
      <c r="G239" s="105"/>
      <c r="H239" s="131"/>
      <c r="I239" s="97">
        <f>I234-I233</f>
        <v>-88.35</v>
      </c>
      <c r="J239" s="19"/>
      <c r="K239" s="109">
        <f>AVERAGE(K233:L233)-AVERAGE(K234:L234)</f>
        <v>87.474999999999994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  <row r="244" spans="4:6">
      <c r="D244">
        <v>1</v>
      </c>
      <c r="E244">
        <v>1.45</v>
      </c>
      <c r="F244">
        <f>E244</f>
        <v>1.45</v>
      </c>
    </row>
    <row r="245" spans="4:6">
      <c r="D245">
        <v>1</v>
      </c>
      <c r="E245">
        <v>1.17</v>
      </c>
      <c r="F245">
        <f>F244*E245</f>
        <v>1.6964999999999999</v>
      </c>
    </row>
    <row r="246" spans="4:6">
      <c r="D246">
        <v>1</v>
      </c>
      <c r="E246">
        <v>1.07</v>
      </c>
      <c r="F246">
        <f>F245*E246</f>
        <v>1.8152550000000001</v>
      </c>
    </row>
    <row r="247" spans="4:6">
      <c r="D247">
        <v>1</v>
      </c>
      <c r="E247">
        <v>1.03</v>
      </c>
      <c r="F247">
        <f>F246*E247</f>
        <v>1.8697126500000001</v>
      </c>
    </row>
    <row r="248" spans="4:6">
      <c r="E248">
        <f>SUM(E244:E247)/4</f>
        <v>1.1800000000000002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4"/>
  <sheetViews>
    <sheetView topLeftCell="E11" workbookViewId="0">
      <selection activeCell="O42" sqref="O42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80" customWidth="1"/>
  </cols>
  <sheetData>
    <row r="5" spans="3:30" s="6" customFormat="1">
      <c r="I5" s="6" t="s">
        <v>2413</v>
      </c>
      <c r="J5" s="6" t="s">
        <v>2410</v>
      </c>
      <c r="K5" s="6" t="s">
        <v>2412</v>
      </c>
      <c r="L5" s="6" t="s">
        <v>2411</v>
      </c>
      <c r="O5" s="6" t="s">
        <v>5</v>
      </c>
      <c r="P5" s="6" t="s">
        <v>2418</v>
      </c>
      <c r="Q5" s="6" t="s">
        <v>2418</v>
      </c>
      <c r="R5" s="6" t="s">
        <v>2419</v>
      </c>
      <c r="S5" s="6" t="s">
        <v>2417</v>
      </c>
      <c r="T5" s="6" t="s">
        <v>2417</v>
      </c>
      <c r="V5" s="484" t="s">
        <v>1958</v>
      </c>
      <c r="W5" s="484" t="s">
        <v>1958</v>
      </c>
      <c r="X5" s="484" t="s">
        <v>1955</v>
      </c>
      <c r="Y5" s="484" t="s">
        <v>1955</v>
      </c>
      <c r="Z5" s="484" t="s">
        <v>1956</v>
      </c>
      <c r="AA5" s="484" t="s">
        <v>1956</v>
      </c>
      <c r="AB5" s="484" t="s">
        <v>1957</v>
      </c>
      <c r="AC5" s="484" t="s">
        <v>1957</v>
      </c>
      <c r="AD5" s="484" t="s">
        <v>1958</v>
      </c>
    </row>
    <row r="6" spans="3:30" s="6" customFormat="1">
      <c r="V6" s="484" t="s">
        <v>2414</v>
      </c>
      <c r="W6" s="484" t="s">
        <v>2415</v>
      </c>
      <c r="X6" s="484" t="s">
        <v>2414</v>
      </c>
      <c r="Y6" s="484" t="s">
        <v>2415</v>
      </c>
      <c r="Z6" s="484" t="s">
        <v>2414</v>
      </c>
      <c r="AA6" s="484" t="s">
        <v>2415</v>
      </c>
      <c r="AB6" s="484" t="s">
        <v>2414</v>
      </c>
      <c r="AC6" s="484" t="s">
        <v>2415</v>
      </c>
      <c r="AD6" s="484" t="s">
        <v>2414</v>
      </c>
    </row>
    <row r="7" spans="3:30">
      <c r="P7" s="485"/>
      <c r="Q7" s="485"/>
      <c r="R7" s="485"/>
      <c r="T7" s="485"/>
    </row>
    <row r="8" spans="3:30">
      <c r="C8" t="s">
        <v>399</v>
      </c>
      <c r="D8" s="43">
        <v>2.0999999999999999E-3</v>
      </c>
      <c r="E8" s="43">
        <v>2.9999999999999997E-4</v>
      </c>
      <c r="F8" s="43">
        <f>D8+E8</f>
        <v>2.3999999999999998E-3</v>
      </c>
      <c r="H8" t="e">
        <f>Options!#REF!</f>
        <v>#REF!</v>
      </c>
      <c r="I8" s="276" t="e">
        <f>Options!#REF!</f>
        <v>#REF!</v>
      </c>
      <c r="J8" s="43" t="e">
        <f>Options!#REF!</f>
        <v>#REF!</v>
      </c>
      <c r="K8" s="43" t="e">
        <f>Options!#REF!</f>
        <v>#REF!</v>
      </c>
      <c r="L8" s="43" t="e">
        <f>Options!#REF!</f>
        <v>#REF!</v>
      </c>
    </row>
    <row r="9" spans="3:30">
      <c r="D9" s="43"/>
      <c r="E9" s="43"/>
      <c r="F9" s="43"/>
      <c r="I9" s="276"/>
      <c r="J9" s="43"/>
      <c r="K9" s="43"/>
      <c r="L9" s="43"/>
      <c r="V9" s="280">
        <v>31.5</v>
      </c>
      <c r="W9" s="280">
        <v>29.6</v>
      </c>
      <c r="X9" s="280">
        <v>34.72</v>
      </c>
      <c r="Y9" s="280">
        <v>33.4</v>
      </c>
      <c r="Z9" s="280">
        <v>29.3</v>
      </c>
      <c r="AA9" s="280">
        <v>28.9</v>
      </c>
      <c r="AB9" s="280">
        <v>36.9</v>
      </c>
      <c r="AC9" s="280">
        <v>35.4</v>
      </c>
      <c r="AD9" s="280">
        <v>34.299999999999997</v>
      </c>
    </row>
    <row r="10" spans="3:30">
      <c r="D10" s="43"/>
      <c r="E10" s="43"/>
      <c r="F10" s="43"/>
      <c r="I10" s="276"/>
      <c r="J10" s="43"/>
      <c r="K10" s="43"/>
      <c r="L10" s="43"/>
      <c r="V10" s="484"/>
      <c r="W10" s="484">
        <f>W9-V9</f>
        <v>-1.8999999999999986</v>
      </c>
      <c r="X10" s="484"/>
      <c r="Y10" s="484">
        <f>Y9-X9</f>
        <v>-1.3200000000000003</v>
      </c>
      <c r="Z10" s="484"/>
      <c r="AA10" s="484">
        <f>AA9-Z9</f>
        <v>-0.40000000000000213</v>
      </c>
      <c r="AB10" s="484"/>
      <c r="AC10" s="484">
        <f>AC9-AB9</f>
        <v>-1.5</v>
      </c>
      <c r="AD10" s="484"/>
    </row>
    <row r="11" spans="3:30">
      <c r="D11" s="43"/>
      <c r="E11" s="43"/>
      <c r="F11" s="43"/>
      <c r="I11" s="276"/>
      <c r="J11" s="43"/>
      <c r="K11" s="43"/>
      <c r="L11" s="43"/>
    </row>
    <row r="12" spans="3:30">
      <c r="D12" s="43"/>
      <c r="E12" s="43"/>
      <c r="F12" s="43"/>
      <c r="I12" s="276"/>
      <c r="J12" s="43"/>
      <c r="K12" s="43"/>
      <c r="L12" s="43"/>
    </row>
    <row r="13" spans="3:30" s="6" customFormat="1">
      <c r="C13" s="491" t="s">
        <v>81</v>
      </c>
      <c r="D13" s="492">
        <v>-2.0000000000000001E-4</v>
      </c>
      <c r="E13" s="483"/>
      <c r="F13" s="483"/>
      <c r="H13" s="491"/>
      <c r="I13" s="491"/>
      <c r="J13" s="491"/>
      <c r="K13" s="491"/>
      <c r="L13" s="491"/>
      <c r="M13" s="491"/>
      <c r="N13" s="491"/>
      <c r="O13" s="516">
        <v>672</v>
      </c>
      <c r="P13" s="516">
        <v>750</v>
      </c>
      <c r="Q13" s="516">
        <v>710</v>
      </c>
      <c r="R13" s="516">
        <v>672</v>
      </c>
      <c r="S13" s="516">
        <v>630</v>
      </c>
      <c r="T13" s="516">
        <v>600</v>
      </c>
      <c r="U13" s="491"/>
      <c r="V13" s="494"/>
      <c r="W13" s="494"/>
      <c r="X13" s="494"/>
      <c r="Y13" s="494"/>
      <c r="Z13" s="494"/>
      <c r="AA13" s="494"/>
      <c r="AB13" s="494"/>
      <c r="AC13" s="494"/>
      <c r="AD13" s="494"/>
    </row>
    <row r="14" spans="3:30" s="6" customFormat="1">
      <c r="C14" s="491"/>
      <c r="D14" s="492"/>
      <c r="E14" s="483"/>
      <c r="F14" s="483"/>
      <c r="H14" s="491"/>
      <c r="I14" s="491"/>
      <c r="J14" s="491"/>
      <c r="K14" s="491"/>
      <c r="L14" s="491"/>
      <c r="M14" s="491"/>
      <c r="N14" s="491"/>
      <c r="O14" s="491"/>
      <c r="P14" s="517">
        <f>P13/$O13-1</f>
        <v>0.1160714285714286</v>
      </c>
      <c r="Q14" s="517">
        <f>Q13/$O13-1</f>
        <v>5.6547619047619069E-2</v>
      </c>
      <c r="R14" s="517">
        <f>R13/$O13-1</f>
        <v>0</v>
      </c>
      <c r="S14" s="517">
        <f>S13/$O13-1</f>
        <v>-6.25E-2</v>
      </c>
      <c r="T14" s="517">
        <f>T13/$O13-1</f>
        <v>-0.1071428571428571</v>
      </c>
      <c r="U14" s="491"/>
      <c r="V14" s="494"/>
      <c r="W14" s="494"/>
      <c r="X14" s="494"/>
      <c r="Y14" s="494"/>
      <c r="Z14" s="494"/>
      <c r="AA14" s="494"/>
      <c r="AB14" s="494"/>
      <c r="AC14" s="494"/>
      <c r="AD14" s="494"/>
    </row>
    <row r="15" spans="3:30" s="6" customFormat="1">
      <c r="C15" s="491"/>
      <c r="D15" s="492"/>
      <c r="E15" s="43"/>
      <c r="F15" s="43"/>
      <c r="G15"/>
      <c r="H15" s="491"/>
      <c r="I15" s="491"/>
      <c r="J15" s="491"/>
      <c r="K15" s="491"/>
      <c r="L15" s="491"/>
      <c r="M15" s="491"/>
      <c r="N15" s="491"/>
      <c r="O15" s="491"/>
      <c r="P15" s="491"/>
      <c r="Q15" s="491"/>
      <c r="R15" s="491"/>
      <c r="S15" s="491"/>
      <c r="T15" s="491"/>
      <c r="U15" s="491"/>
      <c r="V15" s="489"/>
      <c r="W15" s="489"/>
      <c r="X15" s="489"/>
      <c r="Y15" s="489"/>
      <c r="Z15" s="489"/>
      <c r="AA15" s="489"/>
      <c r="AB15" s="489"/>
      <c r="AC15" s="489"/>
      <c r="AD15" s="489"/>
    </row>
    <row r="16" spans="3:30">
      <c r="C16" s="486"/>
      <c r="D16" s="487"/>
      <c r="E16" s="43"/>
      <c r="F16" s="43"/>
      <c r="H16" s="486"/>
      <c r="I16" s="488"/>
      <c r="J16" s="487"/>
      <c r="K16" s="487"/>
      <c r="L16" s="487">
        <f>L17*Q18/100</f>
        <v>1.4367244260856981E-3</v>
      </c>
      <c r="M16" s="486"/>
      <c r="N16" s="486"/>
      <c r="O16" s="486"/>
      <c r="P16" s="486"/>
      <c r="Q16" s="486"/>
      <c r="R16" s="486"/>
      <c r="S16" s="486"/>
      <c r="T16" s="486"/>
      <c r="U16" s="486"/>
      <c r="V16" s="489"/>
      <c r="W16" s="489"/>
      <c r="X16" s="489"/>
      <c r="Y16" s="489"/>
      <c r="Z16" s="489"/>
      <c r="AA16" s="489"/>
      <c r="AB16" s="489"/>
      <c r="AC16" s="489"/>
      <c r="AD16" s="489"/>
    </row>
    <row r="17" spans="3:30">
      <c r="C17" s="486"/>
      <c r="D17" s="487"/>
      <c r="E17" s="43"/>
      <c r="F17" s="43"/>
      <c r="H17" s="491" t="str">
        <f>'Options Price'!B171</f>
        <v>META US 07/17/26 C700</v>
      </c>
      <c r="I17" s="493">
        <f>Options!V13</f>
        <v>3.0179485544801827</v>
      </c>
      <c r="J17" s="492">
        <f>Options!AB13</f>
        <v>-5.4501249409063313E-2</v>
      </c>
      <c r="K17" s="492">
        <f>Options!AG13</f>
        <v>1.5381235767817894E-3</v>
      </c>
      <c r="L17" s="492">
        <f>Options!AH13</f>
        <v>2.3172974614285454E-3</v>
      </c>
      <c r="M17" s="486"/>
      <c r="N17" s="486" t="s">
        <v>1</v>
      </c>
      <c r="O17" s="486">
        <v>37</v>
      </c>
      <c r="P17" s="486">
        <v>34</v>
      </c>
      <c r="Q17" s="486">
        <v>34</v>
      </c>
      <c r="R17" s="486">
        <v>34</v>
      </c>
      <c r="S17" s="486">
        <v>34</v>
      </c>
      <c r="T17" s="486">
        <v>34</v>
      </c>
      <c r="U17" s="486"/>
      <c r="V17" s="489">
        <v>36.299999999999997</v>
      </c>
      <c r="W17" s="489">
        <v>34.119999999999997</v>
      </c>
      <c r="X17" s="489">
        <v>39.200000000000003</v>
      </c>
      <c r="Y17" s="489">
        <v>37.200000000000003</v>
      </c>
      <c r="Z17" s="489">
        <v>32</v>
      </c>
      <c r="AA17" s="489">
        <v>31.7</v>
      </c>
      <c r="AB17" s="489">
        <v>37</v>
      </c>
      <c r="AC17" s="489">
        <v>38.5</v>
      </c>
      <c r="AD17" s="489">
        <v>36.5</v>
      </c>
    </row>
    <row r="18" spans="3:30">
      <c r="C18" s="486"/>
      <c r="D18" s="487"/>
      <c r="E18" s="43"/>
      <c r="F18" s="43"/>
      <c r="H18" s="486"/>
      <c r="I18" s="488"/>
      <c r="J18" s="487"/>
      <c r="K18" s="487"/>
      <c r="L18" s="487"/>
      <c r="M18" s="486"/>
      <c r="N18" s="486" t="s">
        <v>220</v>
      </c>
      <c r="O18" s="486">
        <v>53</v>
      </c>
      <c r="P18" s="486">
        <v>71</v>
      </c>
      <c r="Q18" s="486">
        <v>62</v>
      </c>
      <c r="R18" s="486">
        <v>52</v>
      </c>
      <c r="S18" s="486">
        <v>52</v>
      </c>
      <c r="T18" s="486">
        <v>34</v>
      </c>
      <c r="U18" s="486"/>
      <c r="V18" s="494"/>
      <c r="W18" s="494">
        <f>W17-V17</f>
        <v>-2.1799999999999997</v>
      </c>
      <c r="X18" s="494"/>
      <c r="Y18" s="494">
        <f>Y17-X17</f>
        <v>-2</v>
      </c>
      <c r="Z18" s="494"/>
      <c r="AA18" s="494">
        <f>AA17-Z17</f>
        <v>-0.30000000000000071</v>
      </c>
      <c r="AB18" s="494"/>
      <c r="AC18" s="494">
        <f>AC17-AB17</f>
        <v>1.5</v>
      </c>
      <c r="AD18" s="494"/>
    </row>
    <row r="19" spans="3:30">
      <c r="C19" s="486"/>
      <c r="D19" s="487"/>
      <c r="E19" s="43"/>
      <c r="F19" s="43"/>
      <c r="H19" s="486"/>
      <c r="I19" s="488"/>
      <c r="J19" s="487"/>
      <c r="K19" s="487"/>
      <c r="L19" s="487"/>
      <c r="M19" s="486"/>
      <c r="N19" s="486" t="s">
        <v>5</v>
      </c>
      <c r="O19" s="486">
        <v>64</v>
      </c>
      <c r="P19" s="486">
        <v>106</v>
      </c>
      <c r="Q19" s="486">
        <v>80</v>
      </c>
      <c r="R19" s="486">
        <v>58</v>
      </c>
      <c r="S19" s="486">
        <v>38</v>
      </c>
      <c r="T19" s="486">
        <v>27</v>
      </c>
      <c r="U19" s="486"/>
      <c r="V19" s="489"/>
      <c r="W19" s="489"/>
      <c r="X19" s="489"/>
      <c r="Y19" s="489"/>
      <c r="Z19" s="489"/>
      <c r="AA19" s="489"/>
      <c r="AB19" s="489"/>
      <c r="AC19" s="489"/>
      <c r="AD19" s="489"/>
    </row>
    <row r="20" spans="3:30">
      <c r="C20" s="486"/>
      <c r="D20" s="487"/>
      <c r="E20" s="43"/>
      <c r="F20" s="43"/>
      <c r="H20" s="486"/>
      <c r="I20" s="488"/>
      <c r="J20" s="487"/>
      <c r="K20" s="487"/>
      <c r="L20" s="487"/>
      <c r="M20" s="486"/>
      <c r="N20" s="486" t="s">
        <v>103</v>
      </c>
      <c r="O20" s="486"/>
      <c r="P20" s="490">
        <f>P19/$O19-1</f>
        <v>0.65625</v>
      </c>
      <c r="Q20" s="490">
        <f t="shared" ref="Q20:T20" si="0">Q19/$O19-1</f>
        <v>0.25</v>
      </c>
      <c r="R20" s="490">
        <f t="shared" si="0"/>
        <v>-9.375E-2</v>
      </c>
      <c r="S20" s="490">
        <f t="shared" si="0"/>
        <v>-0.40625</v>
      </c>
      <c r="T20" s="490">
        <f t="shared" si="0"/>
        <v>-0.578125</v>
      </c>
      <c r="U20" s="486"/>
      <c r="V20" s="489"/>
      <c r="W20" s="489"/>
      <c r="X20" s="489"/>
      <c r="Y20" s="489"/>
      <c r="Z20" s="489"/>
      <c r="AA20" s="489"/>
      <c r="AB20" s="489"/>
      <c r="AC20" s="489"/>
      <c r="AD20" s="489"/>
    </row>
    <row r="21" spans="3:30">
      <c r="C21" s="486"/>
      <c r="D21" s="487"/>
      <c r="E21" s="43"/>
      <c r="F21" s="43"/>
      <c r="H21" s="486"/>
      <c r="I21" s="488"/>
      <c r="J21" s="487"/>
      <c r="K21" s="487"/>
      <c r="L21" s="487"/>
      <c r="M21" s="486"/>
      <c r="N21" s="486" t="s">
        <v>2335</v>
      </c>
      <c r="O21" s="486"/>
      <c r="P21" s="488">
        <f>$I$17*(1+P20)</f>
        <v>4.9984772933578023</v>
      </c>
      <c r="Q21" s="488">
        <f t="shared" ref="Q21:T21" si="1">$I$17*(1+Q20)</f>
        <v>3.7724356931002285</v>
      </c>
      <c r="R21" s="488">
        <f t="shared" si="1"/>
        <v>2.7350158774976654</v>
      </c>
      <c r="S21" s="488">
        <f t="shared" si="1"/>
        <v>1.7919069542226085</v>
      </c>
      <c r="T21" s="488">
        <f t="shared" si="1"/>
        <v>1.2731970464213271</v>
      </c>
      <c r="U21" s="486"/>
      <c r="V21" s="489"/>
      <c r="W21" s="489"/>
      <c r="X21" s="489"/>
      <c r="Y21" s="489"/>
      <c r="Z21" s="489"/>
      <c r="AA21" s="489"/>
      <c r="AB21" s="489"/>
      <c r="AC21" s="489"/>
      <c r="AD21" s="489"/>
    </row>
    <row r="22" spans="3:30">
      <c r="C22" s="486"/>
      <c r="D22" s="487"/>
      <c r="E22" s="43"/>
      <c r="F22" s="43"/>
      <c r="H22" s="486"/>
      <c r="I22" s="488"/>
      <c r="J22" s="487"/>
      <c r="K22" s="487"/>
      <c r="L22" s="487"/>
      <c r="M22" s="486"/>
      <c r="N22" s="486" t="s">
        <v>2420</v>
      </c>
      <c r="O22" s="486"/>
      <c r="P22" s="488">
        <f>P21-$I$17</f>
        <v>1.9805287388776196</v>
      </c>
      <c r="Q22" s="488">
        <f t="shared" ref="Q22:T22" si="2">Q21-$I$17</f>
        <v>0.75448713862004579</v>
      </c>
      <c r="R22" s="488">
        <f t="shared" si="2"/>
        <v>-0.28293267698251734</v>
      </c>
      <c r="S22" s="488">
        <f t="shared" si="2"/>
        <v>-1.2260416002575742</v>
      </c>
      <c r="T22" s="488">
        <f t="shared" si="2"/>
        <v>-1.7447515080588556</v>
      </c>
      <c r="U22" s="486"/>
      <c r="V22" s="489"/>
      <c r="W22" s="489"/>
      <c r="X22" s="489"/>
      <c r="Y22" s="489"/>
      <c r="Z22" s="489"/>
      <c r="AA22" s="489"/>
      <c r="AB22" s="489"/>
      <c r="AC22" s="489"/>
      <c r="AD22" s="489"/>
    </row>
    <row r="23" spans="3:30" ht="15.75" thickBot="1">
      <c r="C23" s="486"/>
      <c r="D23" s="487"/>
      <c r="E23" s="43"/>
      <c r="F23" s="43"/>
      <c r="H23" s="486"/>
      <c r="I23" s="488"/>
      <c r="J23" s="487"/>
      <c r="K23" s="487"/>
      <c r="L23" s="487"/>
      <c r="M23" s="486"/>
      <c r="N23" s="486"/>
      <c r="O23" s="486"/>
      <c r="P23" s="486"/>
      <c r="Q23" s="486"/>
      <c r="R23" s="486"/>
      <c r="S23" s="486"/>
      <c r="T23" s="486"/>
      <c r="U23" s="486"/>
      <c r="V23" s="489"/>
      <c r="W23" s="489"/>
      <c r="X23" s="489"/>
      <c r="Y23" s="489"/>
      <c r="Z23" s="489"/>
      <c r="AA23" s="489"/>
      <c r="AB23" s="489"/>
      <c r="AC23" s="489"/>
      <c r="AD23" s="489"/>
    </row>
    <row r="24" spans="3:30" ht="15.75" thickBot="1">
      <c r="C24" s="486"/>
      <c r="D24" s="487"/>
      <c r="E24" s="43"/>
      <c r="F24" s="43"/>
      <c r="H24" s="514" t="s">
        <v>220</v>
      </c>
      <c r="I24" s="515">
        <f>K17*10000</f>
        <v>15.381235767817895</v>
      </c>
      <c r="J24" s="487"/>
      <c r="K24" s="487"/>
      <c r="L24" s="487"/>
      <c r="M24" s="486"/>
      <c r="N24" s="486"/>
      <c r="O24" s="486"/>
      <c r="P24" s="495">
        <f>P22/$I$24</f>
        <v>0.12876265397488237</v>
      </c>
      <c r="Q24" s="495">
        <f t="shared" ref="Q24:T24" si="3">Q22/$I$24</f>
        <v>4.9052439609479012E-2</v>
      </c>
      <c r="R24" s="495">
        <f t="shared" si="3"/>
        <v>-1.8394664853554638E-2</v>
      </c>
      <c r="S24" s="495">
        <f t="shared" si="3"/>
        <v>-7.9710214365403376E-2</v>
      </c>
      <c r="T24" s="495">
        <f t="shared" si="3"/>
        <v>-0.11343376659692019</v>
      </c>
      <c r="U24" s="486"/>
      <c r="V24" s="489"/>
      <c r="W24" s="489"/>
      <c r="X24" s="489"/>
      <c r="Y24" s="489"/>
      <c r="Z24" s="489"/>
      <c r="AA24" s="489"/>
      <c r="AB24" s="489"/>
      <c r="AC24" s="489"/>
      <c r="AD24" s="489"/>
    </row>
    <row r="25" spans="3:30">
      <c r="D25" s="43"/>
      <c r="E25" s="43"/>
      <c r="F25" s="43"/>
      <c r="H25" s="486"/>
      <c r="I25" s="488"/>
      <c r="J25" s="487"/>
      <c r="K25" s="487"/>
      <c r="L25" s="487"/>
      <c r="M25" s="486"/>
      <c r="N25" s="486"/>
      <c r="O25" s="486"/>
      <c r="P25" s="486"/>
      <c r="Q25" s="486"/>
      <c r="R25" s="486"/>
      <c r="S25" s="486"/>
      <c r="T25" s="486"/>
      <c r="U25" s="486"/>
      <c r="V25" s="489"/>
      <c r="W25" s="489"/>
      <c r="X25" s="489"/>
      <c r="Y25" s="489"/>
      <c r="Z25" s="489"/>
      <c r="AA25" s="489"/>
      <c r="AB25" s="489"/>
      <c r="AC25" s="489"/>
      <c r="AD25" s="489"/>
    </row>
    <row r="26" spans="3:30">
      <c r="D26" s="43"/>
      <c r="E26" s="43"/>
      <c r="F26" s="43"/>
      <c r="H26" s="486"/>
      <c r="I26" s="488"/>
      <c r="J26" s="487"/>
      <c r="K26" s="487"/>
      <c r="L26" s="487">
        <f>L27*Q28/100</f>
        <v>1.1493795408685586E-3</v>
      </c>
      <c r="M26" s="486"/>
      <c r="N26" s="486"/>
      <c r="O26" s="486"/>
      <c r="P26" s="486"/>
      <c r="Q26" s="486"/>
      <c r="R26" s="486"/>
      <c r="S26" s="486"/>
      <c r="T26" s="486"/>
      <c r="U26" s="486"/>
      <c r="V26" s="489"/>
      <c r="W26" s="489"/>
      <c r="X26" s="489"/>
      <c r="Y26" s="489"/>
      <c r="Z26" s="489"/>
      <c r="AA26" s="489"/>
      <c r="AB26" s="489"/>
      <c r="AC26" s="489"/>
      <c r="AD26" s="489"/>
    </row>
    <row r="27" spans="3:30">
      <c r="D27" s="43"/>
      <c r="E27" s="43"/>
      <c r="F27" s="43"/>
      <c r="H27" s="491" t="str">
        <f>Options!B12</f>
        <v>META US 04/17/26 C690</v>
      </c>
      <c r="I27" s="493">
        <f>Options!V12</f>
        <v>1.9105536171486244</v>
      </c>
      <c r="J27" s="492">
        <f>Options!AB12</f>
        <v>-6.8008374417505291E-2</v>
      </c>
      <c r="K27" s="492">
        <f>Options!AG12</f>
        <v>1.3367968736202756E-3</v>
      </c>
      <c r="L27" s="492">
        <f>Options!AH12</f>
        <v>1.8538379691428364E-3</v>
      </c>
      <c r="M27" s="486"/>
      <c r="N27" s="486" t="s">
        <v>1</v>
      </c>
      <c r="O27" s="486">
        <v>37</v>
      </c>
      <c r="P27" s="486">
        <v>32.5</v>
      </c>
      <c r="Q27" s="486">
        <v>32.5</v>
      </c>
      <c r="R27" s="486">
        <v>32.5</v>
      </c>
      <c r="S27" s="486">
        <v>32.5</v>
      </c>
      <c r="T27" s="486">
        <v>32.5</v>
      </c>
      <c r="U27" s="486"/>
      <c r="V27" s="489">
        <v>37.5</v>
      </c>
      <c r="W27" s="489">
        <v>33.200000000000003</v>
      </c>
      <c r="X27" s="489">
        <v>40.299999999999997</v>
      </c>
      <c r="Y27" s="489">
        <v>36.700000000000003</v>
      </c>
      <c r="Z27" s="489">
        <v>32</v>
      </c>
      <c r="AA27" s="489">
        <v>30</v>
      </c>
      <c r="AB27" s="489">
        <v>37.1</v>
      </c>
      <c r="AC27" s="489">
        <v>37.4</v>
      </c>
      <c r="AD27" s="489">
        <v>36.799999999999997</v>
      </c>
    </row>
    <row r="28" spans="3:30">
      <c r="D28" s="43"/>
      <c r="E28" s="43"/>
      <c r="F28" s="43"/>
      <c r="H28" s="486"/>
      <c r="I28" s="488"/>
      <c r="J28" s="487"/>
      <c r="K28" s="487"/>
      <c r="L28" s="487"/>
      <c r="M28" s="486"/>
      <c r="N28" s="486" t="s">
        <v>220</v>
      </c>
      <c r="O28" s="486">
        <v>48</v>
      </c>
      <c r="P28" s="486">
        <v>75</v>
      </c>
      <c r="Q28" s="486">
        <v>62</v>
      </c>
      <c r="R28" s="486">
        <v>48</v>
      </c>
      <c r="S28" s="486">
        <v>31</v>
      </c>
      <c r="T28" s="486">
        <v>21</v>
      </c>
      <c r="U28" s="486"/>
      <c r="V28" s="494"/>
      <c r="W28" s="494">
        <f>W27-V27</f>
        <v>-4.2999999999999972</v>
      </c>
      <c r="X28" s="494"/>
      <c r="Y28" s="494">
        <f>Y27-X27</f>
        <v>-3.5999999999999943</v>
      </c>
      <c r="Z28" s="494"/>
      <c r="AA28" s="494">
        <f>AA27-Z27</f>
        <v>-2</v>
      </c>
      <c r="AB28" s="494"/>
      <c r="AC28" s="494">
        <f>AC27-AB27</f>
        <v>0.29999999999999716</v>
      </c>
      <c r="AD28" s="494"/>
    </row>
    <row r="29" spans="3:30">
      <c r="D29" s="43"/>
      <c r="E29" s="43"/>
      <c r="F29" s="43"/>
      <c r="H29" s="486"/>
      <c r="I29" s="488"/>
      <c r="J29" s="487"/>
      <c r="K29" s="487"/>
      <c r="L29" s="487"/>
      <c r="M29" s="486"/>
      <c r="N29" s="486" t="s">
        <v>5</v>
      </c>
      <c r="O29" s="486">
        <v>40</v>
      </c>
      <c r="P29" s="486">
        <v>82.9</v>
      </c>
      <c r="Q29" s="486">
        <v>55</v>
      </c>
      <c r="R29" s="486">
        <v>34</v>
      </c>
      <c r="S29" s="486">
        <v>18</v>
      </c>
      <c r="T29" s="486">
        <v>10</v>
      </c>
      <c r="U29" s="486"/>
      <c r="V29" s="489"/>
      <c r="W29" s="489"/>
      <c r="X29" s="489"/>
      <c r="Y29" s="489"/>
      <c r="Z29" s="489"/>
      <c r="AA29" s="489"/>
      <c r="AB29" s="489"/>
      <c r="AC29" s="489"/>
      <c r="AD29" s="489"/>
    </row>
    <row r="30" spans="3:30">
      <c r="D30" s="43"/>
      <c r="E30" s="43"/>
      <c r="F30" s="43"/>
      <c r="H30" s="486"/>
      <c r="I30" s="488"/>
      <c r="J30" s="487"/>
      <c r="K30" s="487"/>
      <c r="L30" s="487"/>
      <c r="M30" s="486"/>
      <c r="N30" s="486" t="s">
        <v>103</v>
      </c>
      <c r="O30" s="486"/>
      <c r="P30" s="490">
        <f>P29/$O29-1</f>
        <v>1.0725000000000002</v>
      </c>
      <c r="Q30" s="490">
        <f t="shared" ref="Q30" si="4">Q29/$O29-1</f>
        <v>0.375</v>
      </c>
      <c r="R30" s="490">
        <f t="shared" ref="R30" si="5">R29/$O29-1</f>
        <v>-0.15000000000000002</v>
      </c>
      <c r="S30" s="490">
        <f t="shared" ref="S30" si="6">S29/$O29-1</f>
        <v>-0.55000000000000004</v>
      </c>
      <c r="T30" s="490">
        <f t="shared" ref="T30" si="7">T29/$O29-1</f>
        <v>-0.75</v>
      </c>
      <c r="U30" s="486"/>
      <c r="V30" s="489"/>
      <c r="W30" s="489"/>
      <c r="X30" s="489"/>
      <c r="Y30" s="489"/>
      <c r="Z30" s="489"/>
      <c r="AA30" s="489"/>
      <c r="AB30" s="489"/>
      <c r="AC30" s="489"/>
      <c r="AD30" s="489"/>
    </row>
    <row r="31" spans="3:30">
      <c r="D31" s="43"/>
      <c r="E31" s="43"/>
      <c r="F31" s="43"/>
      <c r="H31" s="486"/>
      <c r="I31" s="488"/>
      <c r="J31" s="487"/>
      <c r="K31" s="487"/>
      <c r="L31" s="487"/>
      <c r="M31" s="486"/>
      <c r="N31" s="486" t="s">
        <v>2335</v>
      </c>
      <c r="O31" s="486"/>
      <c r="P31" s="488">
        <f>$I$27*(1+P30)</f>
        <v>3.9596223715405245</v>
      </c>
      <c r="Q31" s="488">
        <f t="shared" ref="Q31:T31" si="8">$I$27*(1+Q30)</f>
        <v>2.6270112235793586</v>
      </c>
      <c r="R31" s="488">
        <f t="shared" si="8"/>
        <v>1.6239705745763306</v>
      </c>
      <c r="S31" s="488">
        <f t="shared" si="8"/>
        <v>0.85974912771688083</v>
      </c>
      <c r="T31" s="488">
        <f t="shared" si="8"/>
        <v>0.47763840428715609</v>
      </c>
      <c r="U31" s="486"/>
      <c r="V31" s="489"/>
      <c r="W31" s="489"/>
      <c r="X31" s="489"/>
      <c r="Y31" s="489"/>
      <c r="Z31" s="489"/>
      <c r="AA31" s="489"/>
      <c r="AB31" s="489"/>
      <c r="AC31" s="489"/>
      <c r="AD31" s="489"/>
    </row>
    <row r="32" spans="3:30">
      <c r="D32" s="43"/>
      <c r="E32" s="43"/>
      <c r="F32" s="43"/>
      <c r="H32" s="486"/>
      <c r="I32" s="488"/>
      <c r="J32" s="487"/>
      <c r="K32" s="487"/>
      <c r="L32" s="487"/>
      <c r="M32" s="486"/>
      <c r="N32" s="486" t="s">
        <v>2420</v>
      </c>
      <c r="O32" s="486"/>
      <c r="P32" s="488">
        <f>P31-$I$27</f>
        <v>2.0490687543919002</v>
      </c>
      <c r="Q32" s="488">
        <f t="shared" ref="Q32:T32" si="9">Q31-$I$27</f>
        <v>0.7164576064307342</v>
      </c>
      <c r="R32" s="488">
        <f t="shared" si="9"/>
        <v>-0.28658304257229372</v>
      </c>
      <c r="S32" s="488">
        <f t="shared" si="9"/>
        <v>-1.0508044894317434</v>
      </c>
      <c r="T32" s="488">
        <f t="shared" si="9"/>
        <v>-1.4329152128614684</v>
      </c>
      <c r="U32" s="486"/>
      <c r="V32" s="489"/>
      <c r="W32" s="489"/>
      <c r="X32" s="489"/>
      <c r="Y32" s="489"/>
      <c r="Z32" s="489"/>
      <c r="AA32" s="489"/>
      <c r="AB32" s="489"/>
      <c r="AC32" s="489"/>
      <c r="AD32" s="489"/>
    </row>
    <row r="33" spans="3:30" ht="15.75" thickBot="1">
      <c r="D33" s="43"/>
      <c r="E33" s="43"/>
      <c r="F33" s="43"/>
      <c r="H33" s="486"/>
      <c r="I33" s="488"/>
      <c r="J33" s="487"/>
      <c r="K33" s="487"/>
      <c r="L33" s="487"/>
      <c r="M33" s="486"/>
      <c r="N33" s="486"/>
      <c r="O33" s="486"/>
      <c r="P33" s="486"/>
      <c r="Q33" s="486"/>
      <c r="R33" s="486"/>
      <c r="S33" s="486"/>
      <c r="T33" s="486"/>
      <c r="U33" s="486"/>
      <c r="V33" s="489"/>
      <c r="W33" s="489"/>
      <c r="X33" s="489"/>
      <c r="Y33" s="489"/>
      <c r="Z33" s="489"/>
      <c r="AA33" s="489"/>
      <c r="AB33" s="489"/>
      <c r="AC33" s="489"/>
      <c r="AD33" s="489"/>
    </row>
    <row r="34" spans="3:30" ht="15.75" thickBot="1">
      <c r="D34" s="43"/>
      <c r="E34" s="43"/>
      <c r="F34" s="43"/>
      <c r="H34" s="514" t="s">
        <v>220</v>
      </c>
      <c r="I34" s="515">
        <f>K27*10000</f>
        <v>13.367968736202757</v>
      </c>
      <c r="J34" s="487"/>
      <c r="K34" s="487"/>
      <c r="L34" s="487"/>
      <c r="M34" s="486"/>
      <c r="N34" s="486"/>
      <c r="O34" s="486"/>
      <c r="P34" s="495">
        <f>P32/$I$34</f>
        <v>0.15328198283727804</v>
      </c>
      <c r="Q34" s="495">
        <f t="shared" ref="Q34:T34" si="10">Q32/$I$34</f>
        <v>5.3595098894153148E-2</v>
      </c>
      <c r="R34" s="495">
        <f t="shared" si="10"/>
        <v>-2.143803955766126E-2</v>
      </c>
      <c r="S34" s="495">
        <f t="shared" si="10"/>
        <v>-7.8606145044757936E-2</v>
      </c>
      <c r="T34" s="495">
        <f t="shared" si="10"/>
        <v>-0.1071901977883063</v>
      </c>
      <c r="U34" s="486"/>
      <c r="V34" s="489"/>
      <c r="W34" s="489"/>
      <c r="X34" s="489"/>
      <c r="Y34" s="489"/>
      <c r="Z34" s="489"/>
      <c r="AA34" s="489"/>
      <c r="AB34" s="489"/>
      <c r="AC34" s="489"/>
      <c r="AD34" s="489"/>
    </row>
    <row r="35" spans="3:30" ht="15.75" thickBot="1">
      <c r="D35" s="43"/>
      <c r="E35" s="43"/>
      <c r="F35" s="43"/>
      <c r="H35" s="486"/>
      <c r="I35" s="486"/>
      <c r="J35" s="486"/>
      <c r="K35" s="486"/>
      <c r="L35" s="486"/>
      <c r="M35" s="486"/>
      <c r="N35" s="486"/>
      <c r="O35" s="486"/>
      <c r="P35" s="486"/>
      <c r="Q35" s="486"/>
      <c r="R35" s="486"/>
      <c r="S35" s="486"/>
      <c r="T35" s="486"/>
      <c r="U35" s="486"/>
      <c r="V35" s="489"/>
      <c r="W35" s="489"/>
      <c r="X35" s="489"/>
      <c r="Y35" s="489"/>
      <c r="Z35" s="489"/>
      <c r="AA35" s="489"/>
      <c r="AB35" s="489"/>
      <c r="AC35" s="489"/>
      <c r="AD35" s="489"/>
    </row>
    <row r="36" spans="3:30" s="6" customFormat="1" ht="15.75" thickBot="1">
      <c r="D36" s="483"/>
      <c r="E36" s="483"/>
      <c r="F36" s="483"/>
      <c r="H36" s="491"/>
      <c r="I36" s="493"/>
      <c r="J36" s="492"/>
      <c r="K36" s="492"/>
      <c r="L36" s="492"/>
      <c r="M36" s="491"/>
      <c r="N36" s="518" t="s">
        <v>2422</v>
      </c>
      <c r="O36" s="519"/>
      <c r="P36" s="520">
        <f>P22+P32</f>
        <v>4.0295974932695202</v>
      </c>
      <c r="Q36" s="520">
        <f t="shared" ref="Q36:T36" si="11">Q22+Q32</f>
        <v>1.47094474505078</v>
      </c>
      <c r="R36" s="520">
        <f t="shared" si="11"/>
        <v>-0.56951571955481106</v>
      </c>
      <c r="S36" s="520">
        <f t="shared" si="11"/>
        <v>-2.2768460896893177</v>
      </c>
      <c r="T36" s="521">
        <f t="shared" si="11"/>
        <v>-3.1776667209203238</v>
      </c>
      <c r="U36" s="491"/>
      <c r="V36" s="494"/>
      <c r="W36" s="494"/>
      <c r="X36" s="494"/>
      <c r="Y36" s="494"/>
      <c r="Z36" s="494"/>
      <c r="AA36" s="494"/>
      <c r="AB36" s="494"/>
      <c r="AC36" s="494"/>
      <c r="AD36" s="494"/>
    </row>
    <row r="37" spans="3:30">
      <c r="D37" s="43"/>
      <c r="E37" s="43"/>
      <c r="F37" s="43"/>
      <c r="H37" s="486"/>
      <c r="I37" s="493"/>
      <c r="J37" s="492"/>
      <c r="K37" s="492"/>
      <c r="L37" s="492"/>
      <c r="M37" s="486"/>
      <c r="N37" s="486"/>
      <c r="O37" s="486"/>
      <c r="P37" s="486"/>
      <c r="Q37" s="486"/>
      <c r="R37" s="486"/>
      <c r="S37" s="486"/>
      <c r="T37" s="486"/>
      <c r="U37" s="486"/>
      <c r="V37" s="489"/>
      <c r="W37" s="489"/>
      <c r="X37" s="489"/>
      <c r="Y37" s="489"/>
      <c r="Z37" s="489"/>
      <c r="AA37" s="489"/>
      <c r="AB37" s="489"/>
      <c r="AC37" s="489"/>
      <c r="AD37" s="489"/>
    </row>
    <row r="38" spans="3:30">
      <c r="D38" s="43"/>
      <c r="E38" s="43"/>
      <c r="F38" s="43"/>
      <c r="I38" s="276"/>
      <c r="J38" s="43"/>
      <c r="K38" s="43"/>
      <c r="L38" s="43"/>
    </row>
    <row r="39" spans="3:30">
      <c r="D39" s="43"/>
      <c r="E39" s="43"/>
      <c r="F39" s="43"/>
      <c r="H39" s="59"/>
      <c r="I39" s="337"/>
      <c r="J39" s="522"/>
      <c r="K39" s="522"/>
      <c r="L39" s="522"/>
      <c r="M39" s="59"/>
      <c r="N39" s="59"/>
      <c r="O39" s="167">
        <v>481</v>
      </c>
      <c r="P39" s="167">
        <v>515</v>
      </c>
      <c r="Q39" s="167">
        <v>505</v>
      </c>
      <c r="R39" s="167">
        <v>481</v>
      </c>
      <c r="S39" s="167">
        <v>455</v>
      </c>
      <c r="T39" s="167">
        <v>445</v>
      </c>
      <c r="U39" s="59"/>
      <c r="V39" s="430"/>
      <c r="W39" s="430"/>
      <c r="X39" s="430"/>
      <c r="Y39" s="430"/>
      <c r="Z39" s="430"/>
      <c r="AA39" s="430"/>
      <c r="AB39" s="430"/>
      <c r="AC39" s="430"/>
      <c r="AD39" s="430"/>
    </row>
    <row r="40" spans="3:30">
      <c r="D40" s="43"/>
      <c r="E40" s="43"/>
      <c r="F40" s="43"/>
      <c r="H40" s="59"/>
      <c r="I40" s="337"/>
      <c r="J40" s="522"/>
      <c r="K40" s="522"/>
      <c r="L40" s="522"/>
      <c r="M40" s="59"/>
      <c r="N40" s="59"/>
      <c r="O40" s="93"/>
      <c r="P40" s="523">
        <f>P39/$O39-1</f>
        <v>7.0686070686070579E-2</v>
      </c>
      <c r="Q40" s="523">
        <f t="shared" ref="Q40:T40" si="12">Q39/$O39-1</f>
        <v>4.9896049896049899E-2</v>
      </c>
      <c r="R40" s="523">
        <f t="shared" si="12"/>
        <v>0</v>
      </c>
      <c r="S40" s="523">
        <f t="shared" si="12"/>
        <v>-5.4054054054054057E-2</v>
      </c>
      <c r="T40" s="523">
        <f t="shared" si="12"/>
        <v>-7.4844074844074848E-2</v>
      </c>
      <c r="U40" s="59"/>
      <c r="V40" s="430"/>
      <c r="W40" s="430"/>
      <c r="X40" s="430"/>
      <c r="Y40" s="430"/>
      <c r="Z40" s="430"/>
      <c r="AA40" s="430"/>
      <c r="AB40" s="430"/>
      <c r="AC40" s="430"/>
      <c r="AD40" s="430"/>
    </row>
    <row r="41" spans="3:30">
      <c r="D41" s="43"/>
      <c r="E41" s="43"/>
      <c r="F41" s="43"/>
      <c r="H41" s="59"/>
      <c r="I41" s="337"/>
      <c r="J41" s="522"/>
      <c r="K41" s="522"/>
      <c r="L41" s="522" t="e">
        <f>L42*T43/100</f>
        <v>#REF!</v>
      </c>
      <c r="M41" s="59"/>
      <c r="N41" s="59"/>
      <c r="O41" s="59"/>
      <c r="P41" s="59"/>
      <c r="Q41" s="59"/>
      <c r="R41" s="59"/>
      <c r="S41" s="59"/>
      <c r="T41" s="59"/>
      <c r="U41" s="59"/>
      <c r="V41" s="430"/>
      <c r="W41" s="430"/>
      <c r="X41" s="430"/>
      <c r="Y41" s="430"/>
      <c r="Z41" s="430"/>
      <c r="AA41" s="430"/>
      <c r="AB41" s="430"/>
      <c r="AC41" s="430"/>
      <c r="AD41" s="430"/>
    </row>
    <row r="42" spans="3:30">
      <c r="D42" s="43"/>
      <c r="E42" s="43"/>
      <c r="F42" s="43"/>
      <c r="H42" s="59" t="e">
        <f>Options!#REF!</f>
        <v>#REF!</v>
      </c>
      <c r="I42" s="337" t="e">
        <f>Options!#REF!</f>
        <v>#REF!</v>
      </c>
      <c r="J42" s="522" t="e">
        <f>Options!#REF!</f>
        <v>#REF!</v>
      </c>
      <c r="K42" s="522" t="e">
        <f>Options!#REF!</f>
        <v>#REF!</v>
      </c>
      <c r="L42" s="522" t="e">
        <f>Options!#REF!</f>
        <v>#REF!</v>
      </c>
      <c r="M42" s="59"/>
      <c r="N42" s="59" t="s">
        <v>1</v>
      </c>
      <c r="O42" s="59">
        <v>28</v>
      </c>
      <c r="P42" s="59">
        <v>25</v>
      </c>
      <c r="Q42" s="59">
        <v>25</v>
      </c>
      <c r="R42" s="59">
        <v>25</v>
      </c>
      <c r="S42" s="59">
        <v>25</v>
      </c>
      <c r="T42" s="59">
        <v>25</v>
      </c>
      <c r="U42" s="59"/>
      <c r="V42" s="430">
        <v>23.2</v>
      </c>
      <c r="W42" s="430">
        <v>22.9</v>
      </c>
      <c r="X42" s="430">
        <v>27.1</v>
      </c>
      <c r="Y42" s="430">
        <v>24.8</v>
      </c>
      <c r="Z42" s="430">
        <v>21.5</v>
      </c>
      <c r="AA42" s="430">
        <v>22</v>
      </c>
      <c r="AB42" s="430">
        <v>26.4</v>
      </c>
      <c r="AC42" s="430">
        <v>26.5</v>
      </c>
      <c r="AD42" s="430">
        <v>27.5</v>
      </c>
    </row>
    <row r="43" spans="3:30">
      <c r="D43" s="43"/>
      <c r="E43" s="43"/>
      <c r="F43" s="43"/>
      <c r="H43" s="59"/>
      <c r="I43" s="524"/>
      <c r="J43" s="525"/>
      <c r="K43" s="525"/>
      <c r="L43" s="525"/>
      <c r="M43" s="59"/>
      <c r="N43" s="59" t="s">
        <v>220</v>
      </c>
      <c r="O43" s="59">
        <v>48</v>
      </c>
      <c r="P43" s="59">
        <v>63</v>
      </c>
      <c r="Q43" s="59">
        <v>59</v>
      </c>
      <c r="R43" s="59">
        <v>47</v>
      </c>
      <c r="S43" s="59">
        <v>35</v>
      </c>
      <c r="T43" s="59">
        <v>30</v>
      </c>
      <c r="U43" s="59"/>
      <c r="V43" s="526"/>
      <c r="W43" s="526">
        <f>W42-V42</f>
        <v>-0.30000000000000071</v>
      </c>
      <c r="X43" s="526"/>
      <c r="Y43" s="526">
        <f>Y42-X42</f>
        <v>-2.3000000000000007</v>
      </c>
      <c r="Z43" s="526"/>
      <c r="AA43" s="526">
        <f>AA42-Z42</f>
        <v>0.5</v>
      </c>
      <c r="AB43" s="526"/>
      <c r="AC43" s="526">
        <f>AC42-AB42</f>
        <v>0.10000000000000142</v>
      </c>
      <c r="AD43" s="526"/>
    </row>
    <row r="44" spans="3:30">
      <c r="D44" s="43"/>
      <c r="E44" s="43"/>
      <c r="F44" s="43"/>
      <c r="H44" s="59"/>
      <c r="I44" s="337"/>
      <c r="J44" s="522"/>
      <c r="K44" s="522"/>
      <c r="L44" s="522"/>
      <c r="M44" s="59"/>
      <c r="N44" s="59" t="s">
        <v>5</v>
      </c>
      <c r="O44" s="59">
        <v>31</v>
      </c>
      <c r="P44" s="59">
        <v>46</v>
      </c>
      <c r="Q44" s="59">
        <v>40</v>
      </c>
      <c r="R44" s="59">
        <v>27</v>
      </c>
      <c r="S44" s="59">
        <v>16</v>
      </c>
      <c r="T44" s="59">
        <v>13</v>
      </c>
      <c r="U44" s="59"/>
      <c r="V44" s="430"/>
      <c r="W44" s="430"/>
      <c r="X44" s="430"/>
      <c r="Y44" s="430"/>
      <c r="Z44" s="430"/>
      <c r="AA44" s="430"/>
      <c r="AB44" s="430"/>
      <c r="AC44" s="430"/>
      <c r="AD44" s="430"/>
    </row>
    <row r="45" spans="3:30">
      <c r="D45" s="43"/>
      <c r="E45" s="43"/>
      <c r="F45" s="43"/>
      <c r="H45" s="59"/>
      <c r="I45" s="337"/>
      <c r="J45" s="522"/>
      <c r="K45" s="522"/>
      <c r="L45" s="522"/>
      <c r="M45" s="59"/>
      <c r="N45" s="59" t="s">
        <v>103</v>
      </c>
      <c r="O45" s="59"/>
      <c r="P45" s="425">
        <f>P44/$O44-1</f>
        <v>0.4838709677419355</v>
      </c>
      <c r="Q45" s="425">
        <f t="shared" ref="Q45" si="13">Q44/$O44-1</f>
        <v>0.29032258064516125</v>
      </c>
      <c r="R45" s="425">
        <f t="shared" ref="R45" si="14">R44/$O44-1</f>
        <v>-0.12903225806451613</v>
      </c>
      <c r="S45" s="425">
        <f t="shared" ref="S45" si="15">S44/$O44-1</f>
        <v>-0.4838709677419355</v>
      </c>
      <c r="T45" s="425">
        <f t="shared" ref="T45" si="16">T44/$O44-1</f>
        <v>-0.58064516129032251</v>
      </c>
      <c r="U45" s="59"/>
      <c r="V45" s="430"/>
      <c r="W45" s="430"/>
      <c r="X45" s="430"/>
      <c r="Y45" s="430"/>
      <c r="Z45" s="430"/>
      <c r="AA45" s="430"/>
      <c r="AB45" s="430"/>
      <c r="AC45" s="430"/>
      <c r="AD45" s="430"/>
    </row>
    <row r="46" spans="3:30">
      <c r="C46" t="s">
        <v>79</v>
      </c>
      <c r="D46" s="43"/>
      <c r="E46" s="43"/>
      <c r="F46" s="43"/>
      <c r="H46" s="59"/>
      <c r="I46" s="59"/>
      <c r="J46" s="59"/>
      <c r="K46" s="59"/>
      <c r="L46" s="59"/>
      <c r="M46" s="59"/>
      <c r="N46" s="59" t="s">
        <v>2335</v>
      </c>
      <c r="O46" s="59"/>
      <c r="P46" s="337" t="e">
        <f>$I$42*(1+P45)</f>
        <v>#REF!</v>
      </c>
      <c r="Q46" s="337" t="e">
        <f t="shared" ref="Q46:T46" si="17">$I$42*(1+Q45)</f>
        <v>#REF!</v>
      </c>
      <c r="R46" s="337" t="e">
        <f t="shared" si="17"/>
        <v>#REF!</v>
      </c>
      <c r="S46" s="337" t="e">
        <f t="shared" si="17"/>
        <v>#REF!</v>
      </c>
      <c r="T46" s="337" t="e">
        <f t="shared" si="17"/>
        <v>#REF!</v>
      </c>
      <c r="U46" s="59"/>
      <c r="V46" s="430"/>
      <c r="W46" s="430"/>
      <c r="X46" s="430"/>
      <c r="Y46" s="430"/>
      <c r="Z46" s="430"/>
      <c r="AA46" s="430"/>
      <c r="AB46" s="430"/>
      <c r="AC46" s="430"/>
      <c r="AD46" s="430"/>
    </row>
    <row r="47" spans="3:30">
      <c r="D47" s="43"/>
      <c r="E47" s="43"/>
      <c r="F47" s="43"/>
      <c r="H47" s="59"/>
      <c r="I47" s="59"/>
      <c r="J47" s="59"/>
      <c r="K47" s="59"/>
      <c r="L47" s="59"/>
      <c r="M47" s="59"/>
      <c r="N47" s="59" t="s">
        <v>2420</v>
      </c>
      <c r="O47" s="59"/>
      <c r="P47" s="337" t="e">
        <f>P46-$I$42</f>
        <v>#REF!</v>
      </c>
      <c r="Q47" s="337" t="e">
        <f t="shared" ref="Q47:T47" si="18">Q46-$I$42</f>
        <v>#REF!</v>
      </c>
      <c r="R47" s="337" t="e">
        <f t="shared" si="18"/>
        <v>#REF!</v>
      </c>
      <c r="S47" s="337" t="e">
        <f t="shared" si="18"/>
        <v>#REF!</v>
      </c>
      <c r="T47" s="337" t="e">
        <f t="shared" si="18"/>
        <v>#REF!</v>
      </c>
      <c r="U47" s="59"/>
      <c r="V47" s="430"/>
      <c r="W47" s="430"/>
      <c r="X47" s="430"/>
      <c r="Y47" s="430"/>
      <c r="Z47" s="430"/>
      <c r="AA47" s="430"/>
      <c r="AB47" s="430"/>
      <c r="AC47" s="430"/>
      <c r="AD47" s="430"/>
    </row>
    <row r="48" spans="3:30"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26"/>
      <c r="W48" s="526"/>
      <c r="X48" s="526"/>
      <c r="Y48" s="526"/>
      <c r="Z48" s="526"/>
      <c r="AA48" s="526"/>
      <c r="AB48" s="526"/>
      <c r="AC48" s="526"/>
      <c r="AD48" s="526"/>
    </row>
    <row r="49" spans="8:30">
      <c r="H49" s="59"/>
      <c r="I49" s="59"/>
      <c r="J49" s="59"/>
      <c r="K49" s="59"/>
      <c r="L49" s="59"/>
      <c r="M49" s="59"/>
      <c r="N49" s="59"/>
      <c r="O49" s="59"/>
      <c r="P49" s="423" t="e">
        <f>P47/$I$42</f>
        <v>#REF!</v>
      </c>
      <c r="Q49" s="423" t="e">
        <f t="shared" ref="Q49:T49" si="19">Q47/$I$42</f>
        <v>#REF!</v>
      </c>
      <c r="R49" s="423" t="e">
        <f t="shared" si="19"/>
        <v>#REF!</v>
      </c>
      <c r="S49" s="423" t="e">
        <f t="shared" si="19"/>
        <v>#REF!</v>
      </c>
      <c r="T49" s="423" t="e">
        <f t="shared" si="19"/>
        <v>#REF!</v>
      </c>
      <c r="U49" s="59"/>
      <c r="V49" s="430"/>
      <c r="W49" s="430"/>
      <c r="X49" s="430"/>
      <c r="Y49" s="430"/>
      <c r="Z49" s="430"/>
      <c r="AA49" s="430"/>
      <c r="AB49" s="430"/>
      <c r="AC49" s="430"/>
      <c r="AD49" s="430"/>
    </row>
    <row r="50" spans="8:30" ht="15.75" thickBot="1"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430"/>
      <c r="W50" s="430"/>
      <c r="X50" s="430"/>
      <c r="Y50" s="430"/>
      <c r="Z50" s="430"/>
      <c r="AA50" s="430"/>
      <c r="AB50" s="430"/>
      <c r="AC50" s="430"/>
      <c r="AD50" s="430"/>
    </row>
    <row r="51" spans="8:30" ht="15.75" thickBot="1">
      <c r="H51" s="59"/>
      <c r="I51" s="59"/>
      <c r="J51" s="59"/>
      <c r="K51" s="59"/>
      <c r="L51" s="59"/>
      <c r="M51" s="59"/>
      <c r="N51" s="527" t="s">
        <v>2422</v>
      </c>
      <c r="O51" s="528"/>
      <c r="P51" s="529" t="e">
        <f>P47</f>
        <v>#REF!</v>
      </c>
      <c r="Q51" s="529" t="e">
        <f t="shared" ref="Q51:T51" si="20">Q47</f>
        <v>#REF!</v>
      </c>
      <c r="R51" s="529" t="e">
        <f t="shared" si="20"/>
        <v>#REF!</v>
      </c>
      <c r="S51" s="529" t="e">
        <f t="shared" si="20"/>
        <v>#REF!</v>
      </c>
      <c r="T51" s="529" t="e">
        <f t="shared" si="20"/>
        <v>#REF!</v>
      </c>
      <c r="U51" s="59"/>
      <c r="V51" s="430"/>
      <c r="W51" s="430"/>
      <c r="X51" s="430"/>
      <c r="Y51" s="430"/>
      <c r="Z51" s="430"/>
      <c r="AA51" s="430"/>
      <c r="AB51" s="430"/>
      <c r="AC51" s="430"/>
      <c r="AD51" s="430"/>
    </row>
    <row r="63" spans="8:30">
      <c r="H63" t="str">
        <f>Options!B5</f>
        <v>AVGO US 06/18/26 C350</v>
      </c>
      <c r="I63" s="276">
        <f>Options!V5</f>
        <v>1.7693278976110325</v>
      </c>
      <c r="J63" s="43">
        <f>Options!AB5</f>
        <v>5.7337925200894313E-2</v>
      </c>
      <c r="K63" s="43">
        <f>Options!AG5</f>
        <v>8.4390193919253861E-4</v>
      </c>
      <c r="L63" s="43">
        <f>Options!AH5</f>
        <v>1.6577495631678574E-3</v>
      </c>
    </row>
    <row r="64" spans="8:30">
      <c r="H64" t="str">
        <f>Options!B6</f>
        <v>NVDA US 05/15/26 C200</v>
      </c>
      <c r="I64" s="276">
        <f>Options!V6</f>
        <v>0.97343082394040337</v>
      </c>
      <c r="J64" s="43">
        <f>Options!AB6</f>
        <v>3.8610339365928503E-2</v>
      </c>
      <c r="K64" s="43">
        <f>Options!AG6</f>
        <v>6.0309417824710217E-4</v>
      </c>
      <c r="L64" s="43">
        <f>Options!AH6</f>
        <v>1.2054579203349439E-3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3" spans="2:9">
      <c r="B33" t="s">
        <v>423</v>
      </c>
      <c r="C33" t="s">
        <v>424</v>
      </c>
      <c r="D33" t="s">
        <v>425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4"/>
      <c r="H36" s="64"/>
    </row>
    <row r="37" spans="2:9">
      <c r="F37" s="64"/>
      <c r="H37" s="64"/>
    </row>
    <row r="38" spans="2:9">
      <c r="B38">
        <v>1</v>
      </c>
      <c r="C38" s="3">
        <f>B38/B36*C36</f>
        <v>18867.92452830189</v>
      </c>
      <c r="D38" s="18">
        <f>C38/C34*D34</f>
        <v>44856451.952437632</v>
      </c>
      <c r="F38" s="64"/>
      <c r="H38" s="64"/>
      <c r="I38" s="79"/>
    </row>
    <row r="40" spans="2:9">
      <c r="B40" s="59" t="s">
        <v>423</v>
      </c>
      <c r="C40" s="59" t="s">
        <v>424</v>
      </c>
      <c r="D40" s="59" t="s">
        <v>425</v>
      </c>
      <c r="E40" s="59" t="s">
        <v>2372</v>
      </c>
    </row>
    <row r="41" spans="2:9">
      <c r="B41" s="59">
        <v>1</v>
      </c>
      <c r="C41" s="14">
        <v>4510</v>
      </c>
      <c r="D41" s="8">
        <v>10000000</v>
      </c>
      <c r="E41" s="276">
        <v>0.25</v>
      </c>
      <c r="F41" s="32">
        <f>E41/10000</f>
        <v>2.5000000000000001E-5</v>
      </c>
    </row>
    <row r="42" spans="2:9">
      <c r="B42" s="59"/>
      <c r="C42" s="59"/>
      <c r="D42" s="59"/>
      <c r="F42" s="64"/>
    </row>
    <row r="43" spans="2:9">
      <c r="B43" s="59">
        <v>10</v>
      </c>
      <c r="C43" s="8">
        <f>E41*2400000000/10000</f>
        <v>60000</v>
      </c>
      <c r="D43" s="59"/>
      <c r="F43" s="64"/>
      <c r="G43" s="79"/>
    </row>
    <row r="44" spans="2:9">
      <c r="B44" s="59"/>
      <c r="C44" s="59"/>
      <c r="D44" s="59"/>
    </row>
    <row r="45" spans="2:9">
      <c r="B45" s="59">
        <v>1</v>
      </c>
      <c r="C45" s="8">
        <f>B45/B43*C43</f>
        <v>6000</v>
      </c>
      <c r="D45" s="467">
        <f>C45/C41*D41</f>
        <v>13303769.401330376</v>
      </c>
    </row>
    <row r="50" spans="1:10">
      <c r="I50" s="93" cm="1">
        <f t="array" ref="I50">_xll.BDP("cny Curncy","LAST_PRICE")</f>
        <v>6.9523999999999999</v>
      </c>
    </row>
    <row r="51" spans="1:10">
      <c r="F51" s="80" t="s">
        <v>2362</v>
      </c>
      <c r="G51" s="80" t="s">
        <v>2363</v>
      </c>
      <c r="H51" s="80" t="str">
        <f>F51</f>
        <v>YEST</v>
      </c>
      <c r="I51" s="80" t="str">
        <f>G51</f>
        <v>TODAY</v>
      </c>
      <c r="J51" t="s">
        <v>2334</v>
      </c>
    </row>
    <row r="52" spans="1:10">
      <c r="A52" s="441" t="s">
        <v>1930</v>
      </c>
      <c r="B52" s="442">
        <v>46101</v>
      </c>
      <c r="C52" s="441">
        <v>276451</v>
      </c>
      <c r="D52" s="441" t="s">
        <v>1932</v>
      </c>
      <c r="E52" s="441" t="s">
        <v>2149</v>
      </c>
      <c r="F52" s="449">
        <f>Precificação!N2</f>
        <v>10.68</v>
      </c>
      <c r="G52" s="276">
        <v>10.45</v>
      </c>
      <c r="H52" s="267">
        <f>$C52*F52/$I$50</f>
        <v>424673.01651228347</v>
      </c>
      <c r="I52" s="267">
        <f>$C52*G52/$I$50</f>
        <v>415527.43656866689</v>
      </c>
      <c r="J52" s="267">
        <f>I52-H52</f>
        <v>-9145.5799436165835</v>
      </c>
    </row>
    <row r="53" spans="1:10">
      <c r="A53" s="441" t="s">
        <v>1930</v>
      </c>
      <c r="B53" s="442">
        <v>46101</v>
      </c>
      <c r="C53" s="441">
        <v>276451</v>
      </c>
      <c r="D53" s="441" t="s">
        <v>1932</v>
      </c>
      <c r="E53" s="441" t="s">
        <v>2150</v>
      </c>
      <c r="F53" s="449">
        <f>Precificação!N3</f>
        <v>2.66</v>
      </c>
      <c r="G53" s="276">
        <v>2.35</v>
      </c>
      <c r="H53" s="267">
        <f>$C53*F53/$I$50</f>
        <v>105770.62021747886</v>
      </c>
      <c r="I53" s="267">
        <f>$C53*G53/$I$50</f>
        <v>93443.96898912605</v>
      </c>
      <c r="J53" s="267">
        <f>I53-H53</f>
        <v>-12326.651228352814</v>
      </c>
    </row>
    <row r="54" spans="1:10">
      <c r="E54" s="276">
        <f>E53-E52</f>
        <v>15</v>
      </c>
      <c r="F54" s="276">
        <f>F52-F53</f>
        <v>8.02</v>
      </c>
      <c r="G54" s="276">
        <f>G52-G53</f>
        <v>8.1</v>
      </c>
      <c r="H54" s="408">
        <f>H52-H53</f>
        <v>318902.39629480464</v>
      </c>
      <c r="I54" s="408">
        <f>I52-I53</f>
        <v>322083.46757954085</v>
      </c>
      <c r="J54" s="408">
        <f>J52-J53</f>
        <v>3181.0712847362302</v>
      </c>
    </row>
    <row r="55" spans="1:10">
      <c r="I55" t="s">
        <v>2335</v>
      </c>
      <c r="J55" s="276">
        <f>J54/'Master P&amp;L'!AD7*10000</f>
        <v>1.3275682065225921E-2</v>
      </c>
    </row>
    <row r="58" spans="1:10">
      <c r="B58" s="5"/>
      <c r="D58" s="5"/>
    </row>
    <row r="61" spans="1:10">
      <c r="B61" t="s">
        <v>2375</v>
      </c>
    </row>
    <row r="62" spans="1:10">
      <c r="C62" t="s">
        <v>209</v>
      </c>
      <c r="D62" t="s">
        <v>210</v>
      </c>
    </row>
    <row r="63" spans="1:10">
      <c r="B63" t="s">
        <v>2377</v>
      </c>
      <c r="C63">
        <v>99.21</v>
      </c>
      <c r="D63">
        <v>99.06</v>
      </c>
    </row>
    <row r="64" spans="1:10">
      <c r="B64" t="s">
        <v>2379</v>
      </c>
      <c r="C64" s="43">
        <v>0.05</v>
      </c>
      <c r="D64" s="43">
        <v>4.9799999999999997E-2</v>
      </c>
    </row>
    <row r="65" spans="2:6">
      <c r="B65" t="s">
        <v>2378</v>
      </c>
      <c r="C65" s="43">
        <v>4.2299999999999997E-2</v>
      </c>
      <c r="D65" s="43">
        <v>4.2299999999999997E-2</v>
      </c>
    </row>
    <row r="66" spans="2:6">
      <c r="B66" t="s">
        <v>2376</v>
      </c>
      <c r="C66">
        <v>77</v>
      </c>
      <c r="D66">
        <v>75</v>
      </c>
    </row>
    <row r="67" spans="2:6">
      <c r="B67" t="s">
        <v>2385</v>
      </c>
      <c r="C67" s="267">
        <f>(C66/10000)*C70</f>
        <v>77000</v>
      </c>
      <c r="F67" s="276">
        <f>C67/'Master P&amp;L'!$AD$7*10000</f>
        <v>0.32134693866414177</v>
      </c>
    </row>
    <row r="69" spans="2:6">
      <c r="B69" t="s">
        <v>2380</v>
      </c>
    </row>
    <row r="70" spans="2:6">
      <c r="B70" t="s">
        <v>425</v>
      </c>
      <c r="C70" s="267">
        <v>10000000</v>
      </c>
    </row>
    <row r="71" spans="2:6">
      <c r="B71" t="s">
        <v>424</v>
      </c>
      <c r="C71" s="267">
        <v>7630</v>
      </c>
      <c r="F71" t="s">
        <v>2335</v>
      </c>
    </row>
    <row r="72" spans="2:6">
      <c r="B72" t="s">
        <v>2376</v>
      </c>
      <c r="C72" s="267">
        <f>(D72-$C$66)*$C$71</f>
        <v>-53410</v>
      </c>
      <c r="D72">
        <v>70</v>
      </c>
      <c r="E72" t="s">
        <v>2383</v>
      </c>
      <c r="F72" s="276">
        <f>C72/'Master P&amp;L'!$AD$7*10000</f>
        <v>-0.22289792200067285</v>
      </c>
    </row>
    <row r="73" spans="2:6">
      <c r="B73" t="s">
        <v>2376</v>
      </c>
      <c r="C73" s="267">
        <f>(D73-$C$66)*$C$71</f>
        <v>61040</v>
      </c>
      <c r="D73">
        <v>85</v>
      </c>
      <c r="E73" t="s">
        <v>2384</v>
      </c>
      <c r="F73" s="276">
        <f>C73/'Master P&amp;L'!$AD$7*10000</f>
        <v>0.25474048228648327</v>
      </c>
    </row>
    <row r="76" spans="2:6">
      <c r="B76" t="s">
        <v>2381</v>
      </c>
    </row>
    <row r="77" spans="2:6">
      <c r="B77" t="s">
        <v>2382</v>
      </c>
    </row>
  </sheetData>
  <conditionalFormatting sqref="F52:F53">
    <cfRule type="cellIs" dxfId="45" priority="1" operator="equal">
      <formula>0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E16" sqref="E16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IF(B5="","",IF(LEN(B5)&gt;9,SUMIFS(Options!$H$3:$H$25,Options!$B$3:$B$25,Check!B5),SUMIFS('Master P&amp;L'!$H$11:$H$101,'Master P&amp;L'!$B$11:$B$101,Check!B5)))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2360</v>
      </c>
      <c r="P5" s="217">
        <f>IF(O5="","",IF(OR(LEFT(O5,4)="Cash",LEFT(O5,4)="Prov"),0,SUMIFS(Input_APM!N:N,Input_APM!L:L,Check!O5)))</f>
        <v>0</v>
      </c>
      <c r="Q5" s="22">
        <f>IF(O5="","",IF(LEN(O5)&gt;9,SUMIFS(Options!$H$3:$H$25,Options!$B$3:$B$25,Check!O5),SUMIFS('Master P&amp;L'!$H$11:$H$101,'Master P&amp;L'!$B$11:$B$101,Check!O5)))</f>
        <v>0</v>
      </c>
      <c r="R5" s="217">
        <f>IF(O5="","",P5-Q5)</f>
        <v>0</v>
      </c>
      <c r="S5" s="361" t="str">
        <f>IF(O5="","",IF((P5+Q5)=0,"Ok",IF(OR(P5=0,Q5=0),"Erro",P5/Q5)))</f>
        <v>Ok</v>
      </c>
      <c r="V5" s="13"/>
    </row>
    <row r="6" spans="2:22">
      <c r="B6" t="s">
        <v>461</v>
      </c>
      <c r="C6" s="233">
        <f>IF(B6="","",IF(LEN(B6)&gt;9,SUMIFS(Options!$H$3:$H$25,Options!$B$3:$B$25,Check!B6),SUMIFS('Master P&amp;L'!$H$11:$H$101,'Master P&amp;L'!$B$11:$B$101,Check!B6)))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2265</v>
      </c>
      <c r="P6" s="217">
        <f>IF(O6="","",IF(OR(LEFT(O6,4)="Cash",LEFT(O6,4)="Prov"),0,SUMIFS(Input_APM!N:N,Input_APM!L:L,Check!O6)))</f>
        <v>0</v>
      </c>
      <c r="Q6" s="22">
        <f>IF(O6="","",IF(LEN(O6)&gt;9,SUMIFS(Options!$H$3:$H$25,Options!$B$3:$B$25,Check!O6),SUMIFS('Master P&amp;L'!$H$11:$H$101,'Master P&amp;L'!$B$11:$B$101,Check!O6)))</f>
        <v>0</v>
      </c>
      <c r="R6" s="217">
        <f t="shared" ref="R6:R69" si="1">IF(O6="","",P6-Q6)</f>
        <v>0</v>
      </c>
      <c r="S6" s="361" t="str">
        <f t="shared" ref="S6:S69" si="2">IF(O6="","",IF((P6+Q6)=0,"Ok",IF(OR(P6=0,Q6=0),"Erro",P6/Q6)))</f>
        <v>Ok</v>
      </c>
      <c r="V6" s="13"/>
    </row>
    <row r="7" spans="2:22">
      <c r="B7" t="s">
        <v>2141</v>
      </c>
      <c r="C7" s="233">
        <f>IF(B7="","",IF(LEN(B7)&gt;9,SUMIFS(Options!$H$3:$H$25,Options!$B$3:$B$25,Check!B7),SUMIFS('Master P&amp;L'!$H$11:$H$101,'Master P&amp;L'!$B$11:$B$101,Check!B7)))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79</v>
      </c>
      <c r="P7" s="217">
        <f>IF(O7="","",IF(OR(LEFT(O7,4)="Cash",LEFT(O7,4)="Prov"),0,SUMIFS(Input_APM!N:N,Input_APM!L:L,Check!O7)))</f>
        <v>10133</v>
      </c>
      <c r="Q7" s="22">
        <f>IF(O7="","",IF(LEN(O7)&gt;9,SUMIFS(Options!$H$3:$H$25,Options!$B$3:$B$25,Check!O7),SUMIFS('Master P&amp;L'!$H$11:$H$101,'Master P&amp;L'!$B$11:$B$101,Check!O7)))</f>
        <v>0</v>
      </c>
      <c r="R7" s="217">
        <f t="shared" si="1"/>
        <v>10133</v>
      </c>
      <c r="S7" s="361" t="str">
        <f t="shared" si="2"/>
        <v>Erro</v>
      </c>
      <c r="V7" s="13"/>
    </row>
    <row r="8" spans="2:22">
      <c r="B8" t="s">
        <v>38</v>
      </c>
      <c r="C8" s="233">
        <f>IF(B8="","",IF(LEN(B8)&gt;9,SUMIFS(Options!$H$3:$H$25,Options!$B$3:$B$25,Check!B8),SUMIFS('Master P&amp;L'!$H$11:$H$101,'Master P&amp;L'!$B$11:$B$101,Check!B8)))</f>
        <v>21000</v>
      </c>
      <c r="D8" s="233">
        <f>IF(B8="","",SUMIFS(Input_APM!N:N,Input_APM!L:L,Check!B8,Input_APM!M:M,Check!$F$1))</f>
        <v>19706</v>
      </c>
      <c r="E8" s="219">
        <f>IF(B8="","",C8-M8)</f>
        <v>0</v>
      </c>
      <c r="F8" s="233">
        <f>IF(B8="","",SUMIFS(Input_APM!N:N,Input_APM!M:M,Check!$F$1,Input_APM!L:L,Check!B8))</f>
        <v>19706</v>
      </c>
      <c r="G8" s="233">
        <f>IF(B8="","",SUMIFS(Input_APM!N:N,Input_APM!M:M,Check!$G$1,Input_APM!L:L,Check!B8))</f>
        <v>0</v>
      </c>
      <c r="H8" s="217">
        <f t="shared" si="0"/>
        <v>19706</v>
      </c>
      <c r="I8" s="217">
        <f>SUMIFS(Input_APM!N:N,Input_APM!L:L,Check!B8)</f>
        <v>19706</v>
      </c>
      <c r="J8" s="219">
        <f t="shared" si="3"/>
        <v>0</v>
      </c>
      <c r="K8" s="22">
        <f>IF(B8="","",SUMIFS('Input_APM (Zenith)'!N:N,'Input_APM (Zenith)'!L:L,Check!B8,'Input_APM (Zenith)'!M:M,Check!$F$1))</f>
        <v>1294</v>
      </c>
      <c r="L8" s="22">
        <f>IF(B8="","",SUMIFS('Input_APM (Zenith)'!N:N,'Input_APM (Zenith)'!L:L,Check!B8,'Input_APM (Zenith)'!M:M,Check!$G$1))</f>
        <v>0</v>
      </c>
      <c r="M8" s="240">
        <f t="shared" si="4"/>
        <v>21000</v>
      </c>
      <c r="O8" t="s">
        <v>448</v>
      </c>
      <c r="P8" s="217">
        <f>IF(O8="","",IF(OR(LEFT(O8,4)="Cash",LEFT(O8,4)="Prov"),0,SUMIFS(Input_APM!N:N,Input_APM!L:L,Check!O8)))</f>
        <v>0</v>
      </c>
      <c r="Q8" s="22">
        <f>IF(O8="","",IF(LEN(O8)&gt;9,SUMIFS(Options!$H$3:$H$25,Options!$B$3:$B$25,Check!O8),SUMIFS('Master P&amp;L'!$H$11:$H$101,'Master P&amp;L'!$B$11:$B$101,Check!O8)))</f>
        <v>0</v>
      </c>
      <c r="R8" s="217">
        <f t="shared" si="1"/>
        <v>0</v>
      </c>
      <c r="S8" s="361" t="str">
        <f t="shared" si="2"/>
        <v>Ok</v>
      </c>
      <c r="V8" s="13"/>
    </row>
    <row r="9" spans="2:22">
      <c r="B9" t="s">
        <v>3</v>
      </c>
      <c r="C9" s="233">
        <f>IF(B9="","",IF(LEN(B9)&gt;9,SUMIFS(Options!$H$3:$H$25,Options!$B$3:$B$25,Check!B9),SUMIFS('Master P&amp;L'!$H$11:$H$101,'Master P&amp;L'!$B$11:$B$101,Check!B9)))</f>
        <v>-22900</v>
      </c>
      <c r="D9" s="233">
        <f>IF(B9="","",SUMIFS(Input_APM!N:N,Input_APM!L:L,Check!B9,Input_APM!M:M,Check!$F$1))</f>
        <v>-12201</v>
      </c>
      <c r="E9" s="219">
        <f>IF(B9="","",C9-M9)</f>
        <v>-9900</v>
      </c>
      <c r="F9" s="233">
        <f>IF(B9="","",SUMIFS(Input_APM!N:N,Input_APM!M:M,Check!$F$1,Input_APM!L:L,Check!B9))</f>
        <v>-12201</v>
      </c>
      <c r="G9" s="233">
        <f>IF(B9="","",SUMIFS(Input_APM!N:N,Input_APM!M:M,Check!$G$1,Input_APM!L:L,Check!B9))</f>
        <v>0</v>
      </c>
      <c r="H9" s="217">
        <f t="shared" si="0"/>
        <v>-12201</v>
      </c>
      <c r="I9" s="217">
        <f>SUMIFS(Input_APM!N:N,Input_APM!L:L,Check!B9)</f>
        <v>-12201</v>
      </c>
      <c r="J9" s="219">
        <f t="shared" si="3"/>
        <v>0</v>
      </c>
      <c r="K9" s="22">
        <f>IF(B9="","",SUMIFS('Input_APM (Zenith)'!N:N,'Input_APM (Zenith)'!L:L,Check!B9,'Input_APM (Zenith)'!M:M,Check!$F$1))</f>
        <v>-799</v>
      </c>
      <c r="L9" s="22">
        <f>IF(B9="","",SUMIFS('Input_APM (Zenith)'!N:N,'Input_APM (Zenith)'!L:L,Check!B9,'Input_APM (Zenith)'!M:M,Check!$G$1))</f>
        <v>0</v>
      </c>
      <c r="M9" s="240">
        <f t="shared" si="4"/>
        <v>-13000</v>
      </c>
      <c r="O9" t="s">
        <v>399</v>
      </c>
      <c r="P9" s="217">
        <f>IF(O9="","",IF(OR(LEFT(O9,4)="Cash",LEFT(O9,4)="Prov"),0,SUMIFS(Input_APM!N:N,Input_APM!L:L,Check!O9)))</f>
        <v>16997</v>
      </c>
      <c r="Q9" s="22">
        <f>IF(O9="","",IF(LEN(O9)&gt;9,SUMIFS(Options!$H$3:$H$25,Options!$B$3:$B$25,Check!O9),SUMIFS('Master P&amp;L'!$H$11:$H$101,'Master P&amp;L'!$B$11:$B$101,Check!O9)))</f>
        <v>15000</v>
      </c>
      <c r="R9" s="217">
        <f t="shared" si="1"/>
        <v>1997</v>
      </c>
      <c r="S9" s="361">
        <f t="shared" si="2"/>
        <v>1.1331333333333333</v>
      </c>
      <c r="V9" s="13"/>
    </row>
    <row r="10" spans="2:22">
      <c r="B10" t="s">
        <v>131</v>
      </c>
      <c r="C10" s="233">
        <f>IF(B10="","",IF(LEN(B10)&gt;9,SUMIFS(Options!$H$3:$H$25,Options!$B$3:$B$25,Check!B10),SUMIFS('Master P&amp;L'!$H$11:$H$101,'Master P&amp;L'!$B$11:$B$101,Check!B10)))</f>
        <v>29855</v>
      </c>
      <c r="D10" s="233">
        <f>IF(B10="","",SUMIFS(Input_APM!N:N,Input_APM!L:L,Check!B10,Input_APM!M:M,Check!$F$1))</f>
        <v>0</v>
      </c>
      <c r="E10" s="217">
        <f t="shared" ref="E10:E65" si="5">IF(B10="","",C10-M10)</f>
        <v>29855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2297</v>
      </c>
      <c r="P10" s="217">
        <f>IF(O10="","",IF(OR(LEFT(O10,4)="Cash",LEFT(O10,4)="Prov"),0,SUMIFS(Input_APM!N:N,Input_APM!L:L,Check!O10)))</f>
        <v>0</v>
      </c>
      <c r="Q10" s="22">
        <f>IF(O10="","",IF(LEN(O10)&gt;9,SUMIFS(Options!$H$3:$H$25,Options!$B$3:$B$25,Check!O10),SUMIFS('Master P&amp;L'!$H$11:$H$101,'Master P&amp;L'!$B$11:$B$101,Check!O10)))</f>
        <v>0</v>
      </c>
      <c r="R10" s="217">
        <f t="shared" si="1"/>
        <v>0</v>
      </c>
      <c r="S10" s="361" t="str">
        <f t="shared" si="2"/>
        <v>Ok</v>
      </c>
      <c r="V10" s="13"/>
    </row>
    <row r="11" spans="2:22">
      <c r="B11" t="s">
        <v>2148</v>
      </c>
      <c r="C11" s="233">
        <f>IF(B11="","",IF(LEN(B11)&gt;9,SUMIFS(Options!$H$3:$H$25,Options!$B$3:$B$25,Check!B11),SUMIFS('Master P&amp;L'!$H$11:$H$101,'Master P&amp;L'!$B$11:$B$101,Check!B11)))</f>
        <v>14500</v>
      </c>
      <c r="D11" s="233">
        <f>IF(B11="","",SUMIFS(Input_APM!N:N,Input_APM!L:L,Check!B11,Input_APM!M:M,Check!$F$1))</f>
        <v>8194</v>
      </c>
      <c r="E11" s="217">
        <f t="shared" si="5"/>
        <v>5750</v>
      </c>
      <c r="F11" s="233">
        <f>IF(B11="","",SUMIFS(Input_APM!N:N,Input_APM!M:M,Check!$F$1,Input_APM!L:L,Check!B11))</f>
        <v>8194</v>
      </c>
      <c r="G11" s="233">
        <f>IF(B11="","",SUMIFS(Input_APM!N:N,Input_APM!M:M,Check!$G$1,Input_APM!L:L,Check!B11))</f>
        <v>0</v>
      </c>
      <c r="H11" s="217">
        <f t="shared" si="0"/>
        <v>8194</v>
      </c>
      <c r="I11" s="217">
        <f>SUMIFS(Input_APM!N:N,Input_APM!L:L,Check!B11)</f>
        <v>8194</v>
      </c>
      <c r="J11" s="219">
        <f t="shared" si="3"/>
        <v>0</v>
      </c>
      <c r="K11" s="22">
        <f>IF(B11="","",SUMIFS('Input_APM (Zenith)'!N:N,'Input_APM (Zenith)'!L:L,Check!B11,'Input_APM (Zenith)'!M:M,Check!$F$1))</f>
        <v>556</v>
      </c>
      <c r="L11" s="22">
        <f>IF(B11="","",SUMIFS('Input_APM (Zenith)'!N:N,'Input_APM (Zenith)'!L:L,Check!B11,'Input_APM (Zenith)'!M:M,Check!$G$1))</f>
        <v>0</v>
      </c>
      <c r="M11" s="240">
        <f t="shared" si="4"/>
        <v>8750</v>
      </c>
      <c r="O11" t="s">
        <v>2227</v>
      </c>
      <c r="P11" s="217">
        <f>IF(O11="","",IF(OR(LEFT(O11,4)="Cash",LEFT(O11,4)="Prov"),0,SUMIFS(Input_APM!N:N,Input_APM!L:L,Check!O11)))</f>
        <v>935</v>
      </c>
      <c r="Q11" s="22">
        <f>IF(O11="","",IF(LEN(O11)&gt;9,SUMIFS(Options!$H$3:$H$25,Options!$B$3:$B$25,Check!O11),SUMIFS('Master P&amp;L'!$H$11:$H$101,'Master P&amp;L'!$B$11:$B$101,Check!O11)))</f>
        <v>1000</v>
      </c>
      <c r="R11" s="217">
        <f t="shared" si="1"/>
        <v>-65</v>
      </c>
      <c r="S11" s="361">
        <f t="shared" si="2"/>
        <v>0.93500000000000005</v>
      </c>
      <c r="V11" s="13"/>
    </row>
    <row r="12" spans="2:22">
      <c r="B12" t="s">
        <v>79</v>
      </c>
      <c r="C12" s="233">
        <f>IF(B12="","",IF(LEN(B12)&gt;9,SUMIFS(Options!$H$3:$H$25,Options!$B$3:$B$25,Check!B12),SUMIFS('Master P&amp;L'!$H$11:$H$101,'Master P&amp;L'!$B$11:$B$101,Check!B12)))</f>
        <v>0</v>
      </c>
      <c r="D12" s="233">
        <f>IF(B12="","",SUMIFS(Input_APM!N:N,Input_APM!L:L,Check!B12,Input_APM!M:M,Check!$F$1))</f>
        <v>10133</v>
      </c>
      <c r="E12" s="217">
        <f t="shared" si="5"/>
        <v>-10800</v>
      </c>
      <c r="F12" s="233">
        <f>IF(B12="","",SUMIFS(Input_APM!N:N,Input_APM!M:M,Check!$F$1,Input_APM!L:L,Check!B12))</f>
        <v>10133</v>
      </c>
      <c r="G12" s="233">
        <f>IF(B12="","",SUMIFS(Input_APM!N:N,Input_APM!M:M,Check!$G$1,Input_APM!L:L,Check!B12))</f>
        <v>0</v>
      </c>
      <c r="H12" s="217">
        <f t="shared" si="0"/>
        <v>10133</v>
      </c>
      <c r="I12" s="217">
        <f>SUMIFS(Input_APM!N:N,Input_APM!L:L,Check!B12)</f>
        <v>10133</v>
      </c>
      <c r="J12" s="219">
        <f t="shared" si="3"/>
        <v>0</v>
      </c>
      <c r="K12" s="22">
        <f>IF(B12="","",SUMIFS('Input_APM (Zenith)'!N:N,'Input_APM (Zenith)'!L:L,Check!B12,'Input_APM (Zenith)'!M:M,Check!$F$1))</f>
        <v>667</v>
      </c>
      <c r="L12" s="22">
        <f>IF(B12="","",SUMIFS('Input_APM (Zenith)'!N:N,'Input_APM (Zenith)'!L:L,Check!B12,'Input_APM (Zenith)'!M:M,Check!$G$1))</f>
        <v>0</v>
      </c>
      <c r="M12" s="240">
        <f t="shared" si="4"/>
        <v>10800</v>
      </c>
      <c r="O12" t="s">
        <v>137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IF(O12="","",IF(LEN(O12)&gt;9,SUMIFS(Options!$H$3:$H$25,Options!$B$3:$B$25,Check!O12),SUMIFS('Master P&amp;L'!$H$11:$H$101,'Master P&amp;L'!$B$11:$B$101,Check!O12)))</f>
        <v>1500</v>
      </c>
      <c r="R12" s="217">
        <f t="shared" si="1"/>
        <v>-1500</v>
      </c>
      <c r="S12" s="361" t="str">
        <f t="shared" si="2"/>
        <v>Erro</v>
      </c>
      <c r="V12" s="13"/>
    </row>
    <row r="13" spans="2:22">
      <c r="B13" t="s">
        <v>399</v>
      </c>
      <c r="C13" s="233">
        <f>IF(B13="","",IF(LEN(B13)&gt;9,SUMIFS(Options!$H$3:$H$25,Options!$B$3:$B$25,Check!B13),SUMIFS('Master P&amp;L'!$H$11:$H$101,'Master P&amp;L'!$B$11:$B$101,Check!B13)))</f>
        <v>15000</v>
      </c>
      <c r="D13" s="233">
        <f>IF(B13="","",SUMIFS(Input_APM!N:N,Input_APM!L:L,Check!B13,Input_APM!M:M,Check!$F$1))</f>
        <v>16997</v>
      </c>
      <c r="E13" s="219">
        <f t="shared" si="5"/>
        <v>-3135</v>
      </c>
      <c r="F13" s="233">
        <f>IF(B13="","",SUMIFS(Input_APM!N:N,Input_APM!M:M,Check!$F$1,Input_APM!L:L,Check!B13))</f>
        <v>16997</v>
      </c>
      <c r="G13" s="233">
        <f>IF(B13="","",SUMIFS(Input_APM!N:N,Input_APM!M:M,Check!$G$1,Input_APM!L:L,Check!B13))</f>
        <v>0</v>
      </c>
      <c r="H13" s="217">
        <f t="shared" si="0"/>
        <v>16997</v>
      </c>
      <c r="I13" s="217">
        <f>SUMIFS(Input_APM!N:N,Input_APM!L:L,Check!B13)</f>
        <v>16997</v>
      </c>
      <c r="J13" s="219">
        <f t="shared" si="3"/>
        <v>0</v>
      </c>
      <c r="K13" s="22">
        <f>IF(B13="","",SUMIFS('Input_APM (Zenith)'!N:N,'Input_APM (Zenith)'!L:L,Check!B13,'Input_APM (Zenith)'!M:M,Check!$F$1))</f>
        <v>1138</v>
      </c>
      <c r="L13" s="22">
        <f>IF(B13="","",SUMIFS('Input_APM (Zenith)'!N:N,'Input_APM (Zenith)'!L:L,Check!B13,'Input_APM (Zenith)'!M:M,Check!$G$1))</f>
        <v>0</v>
      </c>
      <c r="M13" s="240">
        <f t="shared" si="4"/>
        <v>18135</v>
      </c>
      <c r="O13" t="s">
        <v>2105</v>
      </c>
      <c r="P13" s="217">
        <f>IF(O13="","",IF(OR(LEFT(O13,4)="Cash",LEFT(O13,4)="Prov"),0,SUMIFS(Input_APM!N:N,Input_APM!L:L,Check!O13)))</f>
        <v>114</v>
      </c>
      <c r="Q13" s="22">
        <f>IF(O13="","",IF(LEN(O13)&gt;9,SUMIFS(Options!$H$3:$H$25,Options!$B$3:$B$25,Check!O13),SUMIFS('Master P&amp;L'!$H$11:$H$101,'Master P&amp;L'!$B$11:$B$101,Check!O13)))</f>
        <v>120</v>
      </c>
      <c r="R13" s="217">
        <f t="shared" si="1"/>
        <v>-6</v>
      </c>
      <c r="S13" s="361">
        <f t="shared" si="2"/>
        <v>0.95</v>
      </c>
      <c r="V13" s="13"/>
    </row>
    <row r="14" spans="2:22">
      <c r="B14" t="s">
        <v>81</v>
      </c>
      <c r="C14" s="233">
        <f>IF(B14="","",IF(LEN(B14)&gt;9,SUMIFS(Options!$H$3:$H$25,Options!$B$3:$B$25,Check!B14),SUMIFS('Master P&amp;L'!$H$11:$H$101,'Master P&amp;L'!$B$11:$B$101,Check!B14)))</f>
        <v>4000</v>
      </c>
      <c r="D14" s="233">
        <f>IF(B14="","",SUMIFS(Input_APM!N:N,Input_APM!L:L,Check!B14,Input_APM!M:M,Check!$F$1))</f>
        <v>3055</v>
      </c>
      <c r="E14" s="217">
        <f t="shared" si="5"/>
        <v>750</v>
      </c>
      <c r="F14" s="233">
        <f>IF(B14="","",SUMIFS(Input_APM!N:N,Input_APM!M:M,Check!$F$1,Input_APM!L:L,Check!B14))</f>
        <v>3055</v>
      </c>
      <c r="G14" s="233">
        <f>IF(B14="","",SUMIFS(Input_APM!N:N,Input_APM!M:M,Check!$G$1,Input_APM!L:L,Check!B14))</f>
        <v>0</v>
      </c>
      <c r="H14" s="217">
        <f t="shared" si="0"/>
        <v>3055</v>
      </c>
      <c r="I14" s="217">
        <f>SUMIFS(Input_APM!N:N,Input_APM!L:L,Check!B14)</f>
        <v>3055</v>
      </c>
      <c r="J14" s="219">
        <f t="shared" si="3"/>
        <v>0</v>
      </c>
      <c r="K14" s="22">
        <f>IF(B14="","",SUMIFS('Input_APM (Zenith)'!N:N,'Input_APM (Zenith)'!L:L,Check!B14,'Input_APM (Zenith)'!M:M,Check!$F$1))</f>
        <v>195</v>
      </c>
      <c r="L14" s="22">
        <f>IF(B14="","",SUMIFS('Input_APM (Zenith)'!N:N,'Input_APM (Zenith)'!L:L,Check!B14,'Input_APM (Zenith)'!M:M,Check!$G$1))</f>
        <v>0</v>
      </c>
      <c r="M14" s="240">
        <f t="shared" si="4"/>
        <v>3250</v>
      </c>
      <c r="O14" t="s">
        <v>461</v>
      </c>
      <c r="P14" s="217">
        <f>IF(O14="","",IF(OR(LEFT(O14,4)="Cash",LEFT(O14,4)="Prov"),0,SUMIFS(Input_APM!N:N,Input_APM!L:L,Check!O14)))</f>
        <v>3163</v>
      </c>
      <c r="Q14" s="22">
        <f>IF(O14="","",IF(LEN(O14)&gt;9,SUMIFS(Options!$H$3:$H$25,Options!$B$3:$B$25,Check!O14),SUMIFS('Master P&amp;L'!$H$11:$H$101,'Master P&amp;L'!$B$11:$B$101,Check!O14)))</f>
        <v>3378</v>
      </c>
      <c r="R14" s="217">
        <f t="shared" si="1"/>
        <v>-215</v>
      </c>
      <c r="S14" s="361">
        <f t="shared" si="2"/>
        <v>0.9363528715216104</v>
      </c>
      <c r="V14" s="13"/>
    </row>
    <row r="15" spans="2:22">
      <c r="B15" t="s">
        <v>90</v>
      </c>
      <c r="C15" s="233">
        <f>IF(B15="","",IF(LEN(B15)&gt;9,SUMIFS(Options!$H$3:$H$25,Options!$B$3:$B$25,Check!B15),SUMIFS('Master P&amp;L'!$H$11:$H$101,'Master P&amp;L'!$B$11:$B$101,Check!B15)))</f>
        <v>0</v>
      </c>
      <c r="D15" s="233">
        <f>IF(B15="","",SUMIFS(Input_APM!N:N,Input_APM!L:L,Check!B15,Input_APM!M:M,Check!$F$1))</f>
        <v>-955</v>
      </c>
      <c r="E15" s="219">
        <f t="shared" si="5"/>
        <v>1000</v>
      </c>
      <c r="F15" s="233">
        <f>IF(B15="","",SUMIFS(Input_APM!N:N,Input_APM!M:M,Check!$F$1,Input_APM!L:L,Check!B15))</f>
        <v>-955</v>
      </c>
      <c r="G15" s="233">
        <f>IF(B15="","",SUMIFS(Input_APM!N:N,Input_APM!M:M,Check!$G$1,Input_APM!L:L,Check!B15))</f>
        <v>0</v>
      </c>
      <c r="H15" s="217">
        <f t="shared" si="0"/>
        <v>-955</v>
      </c>
      <c r="I15" s="217">
        <f>SUMIFS(Input_APM!N:N,Input_APM!L:L,Check!B15)</f>
        <v>-955</v>
      </c>
      <c r="J15" s="219">
        <f t="shared" si="3"/>
        <v>0</v>
      </c>
      <c r="K15" s="22">
        <f>IF(B15="","",SUMIFS('Input_APM (Zenith)'!N:N,'Input_APM (Zenith)'!L:L,Check!B15,'Input_APM (Zenith)'!M:M,Check!$F$1))</f>
        <v>-45</v>
      </c>
      <c r="L15" s="22">
        <f>IF(B15="","",SUMIFS('Input_APM (Zenith)'!N:N,'Input_APM (Zenith)'!L:L,Check!B15,'Input_APM (Zenith)'!M:M,Check!$G$1))</f>
        <v>0</v>
      </c>
      <c r="M15" s="240">
        <f t="shared" si="4"/>
        <v>-1000</v>
      </c>
      <c r="O15" t="s">
        <v>2141</v>
      </c>
      <c r="P15" s="217">
        <f>IF(O15="","",IF(OR(LEFT(O15,4)="Cash",LEFT(O15,4)="Prov"),0,SUMIFS(Input_APM!N:N,Input_APM!L:L,Check!O15)))</f>
        <v>3285</v>
      </c>
      <c r="Q15" s="22">
        <f>IF(O15="","",IF(LEN(O15)&gt;9,SUMIFS(Options!$H$3:$H$25,Options!$B$3:$B$25,Check!O15),SUMIFS('Master P&amp;L'!$H$11:$H$101,'Master P&amp;L'!$B$11:$B$101,Check!O15)))</f>
        <v>3510</v>
      </c>
      <c r="R15" s="217">
        <f t="shared" si="1"/>
        <v>-225</v>
      </c>
      <c r="S15" s="361">
        <f t="shared" si="2"/>
        <v>0.9358974358974359</v>
      </c>
      <c r="V15" s="13"/>
    </row>
    <row r="16" spans="2:22">
      <c r="B16" t="s">
        <v>2276</v>
      </c>
      <c r="C16" s="233">
        <f>IF(B16="","",IF(LEN(B16)&gt;9,SUMIFS(Options!$H$3:$H$25,Options!$B$3:$B$25,Check!B16),SUMIFS('Master P&amp;L'!$H$11:$H$101,'Master P&amp;L'!$B$11:$B$101,Check!B16)))</f>
        <v>2186</v>
      </c>
      <c r="D16" s="233">
        <f>IF(B16="","",SUMIFS(Input_APM!N:N,Input_APM!L:L,Check!B16,Input_APM!M:M,Check!$F$1))</f>
        <v>0</v>
      </c>
      <c r="E16" s="217">
        <f t="shared" si="5"/>
        <v>2186</v>
      </c>
      <c r="F16" s="233">
        <f>IF(B16="","",SUMIFS(Input_APM!N:N,Input_APM!M:M,Check!$F$1,Input_APM!L:L,Check!B16))</f>
        <v>0</v>
      </c>
      <c r="G16" s="233">
        <f>IF(B16="","",SUMIFS(Input_APM!N:N,Input_APM!M:M,Check!$G$1,Input_APM!L:L,Check!B16))</f>
        <v>0</v>
      </c>
      <c r="H16" s="217">
        <f t="shared" si="0"/>
        <v>0</v>
      </c>
      <c r="I16" s="217">
        <f>SUMIFS(Input_APM!N:N,Input_APM!L:L,Check!B16)</f>
        <v>0</v>
      </c>
      <c r="J16" s="219">
        <f t="shared" si="3"/>
        <v>0</v>
      </c>
      <c r="K16" s="22">
        <f>IF(B16="","",SUMIFS('Input_APM (Zenith)'!N:N,'Input_APM (Zenith)'!L:L,Check!B16,'Input_APM (Zenith)'!M:M,Check!$F$1))</f>
        <v>0</v>
      </c>
      <c r="L16" s="22">
        <f>IF(B16="","",SUMIFS('Input_APM (Zenith)'!N:N,'Input_APM (Zenith)'!L:L,Check!B16,'Input_APM (Zenith)'!M:M,Check!$G$1))</f>
        <v>0</v>
      </c>
      <c r="M16" s="240">
        <f t="shared" si="4"/>
        <v>0</v>
      </c>
      <c r="O16" t="s">
        <v>295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IF(O16="","",IF(LEN(O16)&gt;9,SUMIFS(Options!$H$3:$H$25,Options!$B$3:$B$25,Check!O16),SUMIFS('Master P&amp;L'!$H$11:$H$101,'Master P&amp;L'!$B$11:$B$101,Check!O16)))</f>
        <v>0</v>
      </c>
      <c r="R16" s="217">
        <f t="shared" si="1"/>
        <v>0</v>
      </c>
      <c r="S16" s="361" t="str">
        <f t="shared" si="2"/>
        <v>Ok</v>
      </c>
      <c r="V16" s="13"/>
    </row>
    <row r="17" spans="2:22">
      <c r="B17" t="s">
        <v>1754</v>
      </c>
      <c r="C17" s="233">
        <f>IF(B17="","",IF(LEN(B17)&gt;9,SUMIFS(Options!$H$3:$H$25,Options!$B$3:$B$25,Check!B17),SUMIFS('Master P&amp;L'!$H$11:$H$101,'Master P&amp;L'!$B$11:$B$101,Check!B17)))</f>
        <v>39716</v>
      </c>
      <c r="D17" s="233">
        <f>IF(B17="","",SUMIFS(Input_APM!N:N,Input_APM!L:L,Check!B17,Input_APM!M:M,Check!$F$1))</f>
        <v>41862</v>
      </c>
      <c r="E17" s="219">
        <f t="shared" si="5"/>
        <v>-5000</v>
      </c>
      <c r="F17" s="233">
        <f>IF(B17="","",SUMIFS(Input_APM!N:N,Input_APM!M:M,Check!$F$1,Input_APM!L:L,Check!B17))</f>
        <v>41862</v>
      </c>
      <c r="G17" s="233">
        <f>IF(B17="","",SUMIFS(Input_APM!N:N,Input_APM!M:M,Check!$G$1,Input_APM!L:L,Check!B17))</f>
        <v>0</v>
      </c>
      <c r="H17" s="217">
        <f t="shared" si="0"/>
        <v>41862</v>
      </c>
      <c r="I17" s="217">
        <f>SUMIFS(Input_APM!N:N,Input_APM!L:L,Check!B17)</f>
        <v>41862</v>
      </c>
      <c r="J17" s="219">
        <f t="shared" si="3"/>
        <v>0</v>
      </c>
      <c r="K17" s="22">
        <f>IF(B17="","",SUMIFS('Input_APM (Zenith)'!N:N,'Input_APM (Zenith)'!L:L,Check!B17,'Input_APM (Zenith)'!M:M,Check!$F$1))</f>
        <v>2854</v>
      </c>
      <c r="L17" s="22">
        <f>IF(B17="","",SUMIFS('Input_APM (Zenith)'!N:N,'Input_APM (Zenith)'!L:L,Check!B17,'Input_APM (Zenith)'!M:M,Check!$G$1))</f>
        <v>0</v>
      </c>
      <c r="M17" s="240">
        <f t="shared" si="4"/>
        <v>44716</v>
      </c>
      <c r="O17" t="s">
        <v>296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IF(O17="","",IF(LEN(O17)&gt;9,SUMIFS(Options!$H$3:$H$25,Options!$B$3:$B$25,Check!O17),SUMIFS('Master P&amp;L'!$H$11:$H$101,'Master P&amp;L'!$B$11:$B$101,Check!O17)))</f>
        <v>0</v>
      </c>
      <c r="R17" s="217">
        <f t="shared" si="1"/>
        <v>0</v>
      </c>
      <c r="S17" s="361" t="str">
        <f t="shared" si="2"/>
        <v>Ok</v>
      </c>
      <c r="V17" s="13"/>
    </row>
    <row r="18" spans="2:22">
      <c r="B18" t="s">
        <v>2063</v>
      </c>
      <c r="C18" s="233">
        <f>IF(B18="","",IF(LEN(B18)&gt;9,SUMIFS(Options!$H$3:$H$25,Options!$B$3:$B$25,Check!B18),SUMIFS('Master P&amp;L'!$H$11:$H$101,'Master P&amp;L'!$B$11:$B$101,Check!B18)))</f>
        <v>900</v>
      </c>
      <c r="D18" s="233">
        <f>IF(B18="","",SUMIFS(Input_APM!N:N,Input_APM!L:L,Check!B18,Input_APM!M:M,Check!$F$1))</f>
        <v>841</v>
      </c>
      <c r="E18" s="219">
        <f t="shared" si="5"/>
        <v>0</v>
      </c>
      <c r="F18" s="233">
        <f>IF(B18="","",SUMIFS(Input_APM!N:N,Input_APM!M:M,Check!$F$1,Input_APM!L:L,Check!B18))</f>
        <v>841</v>
      </c>
      <c r="G18" s="233">
        <f>IF(B18="","",SUMIFS(Input_APM!N:N,Input_APM!M:M,Check!$G$1,Input_APM!L:L,Check!B18))</f>
        <v>0</v>
      </c>
      <c r="H18" s="217">
        <f t="shared" si="0"/>
        <v>841</v>
      </c>
      <c r="I18" s="217">
        <f>SUMIFS(Input_APM!N:N,Input_APM!L:L,Check!B18)</f>
        <v>841</v>
      </c>
      <c r="J18" s="219">
        <f t="shared" si="3"/>
        <v>0</v>
      </c>
      <c r="K18" s="22">
        <f>IF(B18="","",SUMIFS('Input_APM (Zenith)'!N:N,'Input_APM (Zenith)'!L:L,Check!B18,'Input_APM (Zenith)'!M:M,Check!$F$1))</f>
        <v>59</v>
      </c>
      <c r="L18" s="22">
        <f>IF(B18="","",SUMIFS('Input_APM (Zenith)'!N:N,'Input_APM (Zenith)'!L:L,Check!B18,'Input_APM (Zenith)'!M:M,Check!$G$1))</f>
        <v>0</v>
      </c>
      <c r="M18" s="240">
        <f t="shared" si="4"/>
        <v>900</v>
      </c>
      <c r="O18" t="s">
        <v>297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IF(O18="","",IF(LEN(O18)&gt;9,SUMIFS(Options!$H$3:$H$25,Options!$B$3:$B$25,Check!O18),SUMIFS('Master P&amp;L'!$H$11:$H$101,'Master P&amp;L'!$B$11:$B$101,Check!O18)))</f>
        <v>0</v>
      </c>
      <c r="R18" s="217">
        <f t="shared" si="1"/>
        <v>0</v>
      </c>
      <c r="S18" s="361" t="str">
        <f t="shared" si="2"/>
        <v>Ok</v>
      </c>
      <c r="V18" s="13"/>
    </row>
    <row r="19" spans="2:22">
      <c r="B19" t="s">
        <v>2361</v>
      </c>
      <c r="C19" s="233">
        <f>IF(B19="","",IF(LEN(B19)&gt;9,SUMIFS(Options!$H$3:$H$25,Options!$B$3:$B$25,Check!B19),SUMIFS('Master P&amp;L'!$H$11:$H$101,'Master P&amp;L'!$B$11:$B$101,Check!B19)))</f>
        <v>30410</v>
      </c>
      <c r="D19" s="233">
        <f>IF(B19="","",SUMIFS(Input_APM!N:N,Input_APM!L:L,Check!B19,Input_APM!M:M,Check!$F$1))</f>
        <v>28536</v>
      </c>
      <c r="E19" s="219">
        <f t="shared" si="5"/>
        <v>0</v>
      </c>
      <c r="F19" s="233">
        <f>IF(B19="","",SUMIFS(Input_APM!N:N,Input_APM!M:M,Check!$F$1,Input_APM!L:L,Check!B19))</f>
        <v>28536</v>
      </c>
      <c r="G19" s="233">
        <f>IF(B19="","",SUMIFS(Input_APM!N:N,Input_APM!M:M,Check!$G$1,Input_APM!L:L,Check!B19))</f>
        <v>0</v>
      </c>
      <c r="H19" s="217">
        <f t="shared" si="0"/>
        <v>28536</v>
      </c>
      <c r="I19" s="217">
        <f>SUMIFS(Input_APM!N:N,Input_APM!L:L,Check!B19)</f>
        <v>28536</v>
      </c>
      <c r="J19" s="219">
        <f t="shared" si="3"/>
        <v>0</v>
      </c>
      <c r="K19" s="22">
        <f>IF(B19="","",SUMIFS('Input_APM (Zenith)'!N:N,'Input_APM (Zenith)'!L:L,Check!B19,'Input_APM (Zenith)'!M:M,Check!$F$1))</f>
        <v>1874</v>
      </c>
      <c r="L19" s="22">
        <f>IF(B19="","",SUMIFS('Input_APM (Zenith)'!N:N,'Input_APM (Zenith)'!L:L,Check!B19,'Input_APM (Zenith)'!M:M,Check!$G$1))</f>
        <v>0</v>
      </c>
      <c r="M19" s="240">
        <f t="shared" si="4"/>
        <v>30410</v>
      </c>
      <c r="O19" t="s">
        <v>2126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IF(O19="","",IF(LEN(O19)&gt;9,SUMIFS(Options!$H$3:$H$25,Options!$B$3:$B$25,Check!O19),SUMIFS('Master P&amp;L'!$H$11:$H$101,'Master P&amp;L'!$B$11:$B$101,Check!O19)))</f>
        <v>0</v>
      </c>
      <c r="R19" s="217">
        <f t="shared" si="1"/>
        <v>0</v>
      </c>
      <c r="S19" s="361" t="str">
        <f t="shared" si="2"/>
        <v>Ok</v>
      </c>
      <c r="V19" s="13"/>
    </row>
    <row r="20" spans="2:22">
      <c r="B20" t="s">
        <v>137</v>
      </c>
      <c r="C20" s="233">
        <f>IF(B20="","",IF(LEN(B20)&gt;9,SUMIFS(Options!$H$3:$H$25,Options!$B$3:$B$25,Check!B20),SUMIFS('Master P&amp;L'!$H$11:$H$101,'Master P&amp;L'!$B$11:$B$101,Check!B20)))</f>
        <v>1500</v>
      </c>
      <c r="D20" s="233">
        <f>IF(B20="","",SUMIFS(Input_APM!N:N,Input_APM!L:L,Check!B20,Input_APM!M:M,Check!$F$1))</f>
        <v>0</v>
      </c>
      <c r="E20" s="219">
        <f>IF(B20="","",C20-M20)</f>
        <v>1500</v>
      </c>
      <c r="F20" s="233">
        <f>IF(B20="","",SUMIFS(Input_APM!N:N,Input_APM!M:M,Check!$F$1,Input_APM!L:L,Check!B20))</f>
        <v>0</v>
      </c>
      <c r="G20" s="233">
        <f>IF(B20="","",SUMIFS(Input_APM!N:N,Input_APM!M:M,Check!$G$1,Input_APM!L:L,Check!B20))</f>
        <v>0</v>
      </c>
      <c r="H20" s="217">
        <f t="shared" si="0"/>
        <v>0</v>
      </c>
      <c r="I20" s="217">
        <f>SUMIFS(Input_APM!N:N,Input_APM!L:L,Check!B20)</f>
        <v>0</v>
      </c>
      <c r="J20" s="219">
        <f t="shared" si="3"/>
        <v>0</v>
      </c>
      <c r="K20" s="22">
        <f>IF(B20="","",SUMIFS('Input_APM (Zenith)'!N:N,'Input_APM (Zenith)'!L:L,Check!B20,'Input_APM (Zenith)'!M:M,Check!$F$1))</f>
        <v>0</v>
      </c>
      <c r="L20" s="22">
        <f>IF(B20="","",SUMIFS('Input_APM (Zenith)'!N:N,'Input_APM (Zenith)'!L:L,Check!B20,'Input_APM (Zenith)'!M:M,Check!$G$1))</f>
        <v>0</v>
      </c>
      <c r="M20" s="240">
        <f t="shared" si="4"/>
        <v>0</v>
      </c>
      <c r="O20" t="s">
        <v>298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IF(O20="","",IF(LEN(O20)&gt;9,SUMIFS(Options!$H$3:$H$25,Options!$B$3:$B$25,Check!O20),SUMIFS('Master P&amp;L'!$H$11:$H$101,'Master P&amp;L'!$B$11:$B$101,Check!O20)))</f>
        <v>0</v>
      </c>
      <c r="R20" s="217">
        <f t="shared" si="1"/>
        <v>0</v>
      </c>
      <c r="S20" s="361" t="str">
        <f t="shared" si="2"/>
        <v>Ok</v>
      </c>
      <c r="V20" s="13"/>
    </row>
    <row r="21" spans="2:22">
      <c r="B21" t="s">
        <v>96</v>
      </c>
      <c r="C21" s="233">
        <f>IF(B21="","",IF(LEN(B21)&gt;9,SUMIFS(Options!$H$3:$H$25,Options!$B$3:$B$25,Check!B21),SUMIFS('Master P&amp;L'!$H$11:$H$101,'Master P&amp;L'!$B$11:$B$101,Check!B21)))</f>
        <v>5198</v>
      </c>
      <c r="D21" s="233">
        <f>IF(B21="","",SUMIFS(Input_APM!N:N,Input_APM!L:L,Check!B21,Input_APM!M:M,Check!$F$1))</f>
        <v>2490</v>
      </c>
      <c r="E21" s="217">
        <f t="shared" si="5"/>
        <v>2500</v>
      </c>
      <c r="F21" s="233">
        <f>IF(B21="","",SUMIFS(Input_APM!N:N,Input_APM!M:M,Check!$F$1,Input_APM!L:L,Check!B21))</f>
        <v>2490</v>
      </c>
      <c r="G21" s="233">
        <f>IF(B21="","",SUMIFS(Input_APM!N:N,Input_APM!M:M,Check!$G$1,Input_APM!L:L,Check!B21))</f>
        <v>0</v>
      </c>
      <c r="H21" s="217">
        <f t="shared" si="0"/>
        <v>2490</v>
      </c>
      <c r="I21" s="217">
        <f>SUMIFS(Input_APM!N:N,Input_APM!L:L,Check!B21)</f>
        <v>2490</v>
      </c>
      <c r="J21" s="219">
        <f t="shared" si="3"/>
        <v>0</v>
      </c>
      <c r="K21" s="22">
        <f>IF(B21="","",SUMIFS('Input_APM (Zenith)'!N:N,'Input_APM (Zenith)'!L:L,Check!B21,'Input_APM (Zenith)'!M:M,Check!$F$1))</f>
        <v>208</v>
      </c>
      <c r="L21" s="22">
        <f>IF(B21="","",SUMIFS('Input_APM (Zenith)'!N:N,'Input_APM (Zenith)'!L:L,Check!B21,'Input_APM (Zenith)'!M:M,Check!$G$1))</f>
        <v>0</v>
      </c>
      <c r="M21" s="240">
        <f t="shared" si="4"/>
        <v>2698</v>
      </c>
      <c r="O21" t="s">
        <v>299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IF(O21="","",IF(LEN(O21)&gt;9,SUMIFS(Options!$H$3:$H$25,Options!$B$3:$B$25,Check!O21),SUMIFS('Master P&amp;L'!$H$11:$H$101,'Master P&amp;L'!$B$11:$B$101,Check!O21)))</f>
        <v>0</v>
      </c>
      <c r="R21" s="217">
        <f t="shared" si="1"/>
        <v>0</v>
      </c>
      <c r="S21" s="361" t="str">
        <f t="shared" si="2"/>
        <v>Ok</v>
      </c>
      <c r="V21" s="13"/>
    </row>
    <row r="22" spans="2:22">
      <c r="B22" t="s">
        <v>708</v>
      </c>
      <c r="C22" s="233">
        <f>IF(B22="","",IF(LEN(B22)&gt;9,SUMIFS(Options!$H$3:$H$25,Options!$B$3:$B$25,Check!B22),SUMIFS('Master P&amp;L'!$H$11:$H$101,'Master P&amp;L'!$B$11:$B$101,Check!B22)))</f>
        <v>0</v>
      </c>
      <c r="D22" s="233">
        <f>IF(B22="","",SUMIFS(Input_APM!N:N,Input_APM!L:L,Check!B22,Input_APM!M:M,Check!$F$1))</f>
        <v>3282</v>
      </c>
      <c r="E22" s="217">
        <f t="shared" si="5"/>
        <v>-3500</v>
      </c>
      <c r="F22" s="233">
        <f>IF(B22="","",SUMIFS(Input_APM!N:N,Input_APM!M:M,Check!$F$1,Input_APM!L:L,Check!B22))</f>
        <v>3282</v>
      </c>
      <c r="G22" s="233">
        <f>IF(B22="","",SUMIFS(Input_APM!N:N,Input_APM!M:M,Check!$G$1,Input_APM!L:L,Check!B22))</f>
        <v>0</v>
      </c>
      <c r="H22" s="217">
        <f t="shared" si="0"/>
        <v>3282</v>
      </c>
      <c r="I22" s="217">
        <f>SUMIFS(Input_APM!N:N,Input_APM!L:L,Check!B22)</f>
        <v>3282</v>
      </c>
      <c r="J22" s="219">
        <f t="shared" si="3"/>
        <v>0</v>
      </c>
      <c r="K22" s="22">
        <f>IF(B22="","",SUMIFS('Input_APM (Zenith)'!N:N,'Input_APM (Zenith)'!L:L,Check!B22,'Input_APM (Zenith)'!M:M,Check!$F$1))</f>
        <v>218</v>
      </c>
      <c r="L22" s="22">
        <f>IF(B22="","",SUMIFS('Input_APM (Zenith)'!N:N,'Input_APM (Zenith)'!L:L,Check!B22,'Input_APM (Zenith)'!M:M,Check!$G$1))</f>
        <v>0</v>
      </c>
      <c r="M22" s="240">
        <f t="shared" si="4"/>
        <v>3500</v>
      </c>
      <c r="O22" t="s">
        <v>300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IF(O22="","",IF(LEN(O22)&gt;9,SUMIFS(Options!$H$3:$H$25,Options!$B$3:$B$25,Check!O22),SUMIFS('Master P&amp;L'!$H$11:$H$101,'Master P&amp;L'!$B$11:$B$101,Check!O22)))</f>
        <v>0</v>
      </c>
      <c r="R22" s="217">
        <f t="shared" si="1"/>
        <v>0</v>
      </c>
      <c r="S22" s="361" t="str">
        <f t="shared" si="2"/>
        <v>Ok</v>
      </c>
      <c r="V22" s="13"/>
    </row>
    <row r="23" spans="2:22">
      <c r="B23" t="s">
        <v>448</v>
      </c>
      <c r="C23" s="233">
        <f>IF(B23="","",IF(LEN(B23)&gt;9,SUMIFS(Options!$H$3:$H$25,Options!$B$3:$B$25,Check!B23),SUMIFS('Master P&amp;L'!$H$11:$H$101,'Master P&amp;L'!$B$11:$B$101,Check!B23)))</f>
        <v>0</v>
      </c>
      <c r="D23" s="233">
        <f>IF(B23="","",SUMIFS(Input_APM!N:N,Input_APM!L:L,Check!B23,Input_APM!M:M,Check!$F$1))</f>
        <v>0</v>
      </c>
      <c r="E23" s="217">
        <f t="shared" si="5"/>
        <v>0</v>
      </c>
      <c r="F23" s="233">
        <f>IF(B23="","",SUMIFS(Input_APM!N:N,Input_APM!M:M,Check!$F$1,Input_APM!L:L,Check!B23))</f>
        <v>0</v>
      </c>
      <c r="G23" s="233">
        <f>IF(B23="","",SUMIFS(Input_APM!N:N,Input_APM!M:M,Check!$G$1,Input_APM!L:L,Check!B23))</f>
        <v>0</v>
      </c>
      <c r="H23" s="217">
        <f t="shared" si="0"/>
        <v>0</v>
      </c>
      <c r="I23" s="217">
        <f>SUMIFS(Input_APM!N:N,Input_APM!L:L,Check!B23)</f>
        <v>0</v>
      </c>
      <c r="J23" s="219">
        <f t="shared" si="3"/>
        <v>0</v>
      </c>
      <c r="K23" s="22">
        <f>IF(B23="","",SUMIFS('Input_APM (Zenith)'!N:N,'Input_APM (Zenith)'!L:L,Check!B23,'Input_APM (Zenith)'!M:M,Check!$F$1))</f>
        <v>0</v>
      </c>
      <c r="L23" s="22">
        <f>IF(B23="","",SUMIFS('Input_APM (Zenith)'!N:N,'Input_APM (Zenith)'!L:L,Check!B23,'Input_APM (Zenith)'!M:M,Check!$G$1))</f>
        <v>0</v>
      </c>
      <c r="M23" s="240">
        <f t="shared" si="4"/>
        <v>0</v>
      </c>
      <c r="O23" t="s">
        <v>301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IF(O23="","",IF(LEN(O23)&gt;9,SUMIFS(Options!$H$3:$H$25,Options!$B$3:$B$25,Check!O23),SUMIFS('Master P&amp;L'!$H$11:$H$101,'Master P&amp;L'!$B$11:$B$101,Check!O23)))</f>
        <v>0</v>
      </c>
      <c r="R23" s="217">
        <f t="shared" si="1"/>
        <v>0</v>
      </c>
      <c r="S23" s="361" t="str">
        <f t="shared" si="2"/>
        <v>Ok</v>
      </c>
      <c r="V23" s="13"/>
    </row>
    <row r="24" spans="2:22">
      <c r="B24" t="s">
        <v>94</v>
      </c>
      <c r="C24" s="233">
        <f>IF(B24="","",IF(LEN(B24)&gt;9,SUMIFS(Options!$H$3:$H$25,Options!$B$3:$B$25,Check!B24),SUMIFS('Master P&amp;L'!$H$11:$H$101,'Master P&amp;L'!$B$11:$B$101,Check!B24)))</f>
        <v>13508</v>
      </c>
      <c r="D24" s="233">
        <f>IF(B24="","",SUMIFS(Input_APM!N:N,Input_APM!L:L,Check!B24,Input_APM!M:M,Check!$F$1))</f>
        <v>12598</v>
      </c>
      <c r="E24" s="217">
        <f t="shared" si="5"/>
        <v>0</v>
      </c>
      <c r="F24" s="233">
        <f>IF(B24="","",SUMIFS(Input_APM!N:N,Input_APM!M:M,Check!$F$1,Input_APM!L:L,Check!B24))</f>
        <v>12598</v>
      </c>
      <c r="G24" s="233">
        <f>IF(B24="","",SUMIFS(Input_APM!N:N,Input_APM!M:M,Check!$G$1,Input_APM!L:L,Check!B24))</f>
        <v>0</v>
      </c>
      <c r="H24" s="217">
        <f t="shared" si="0"/>
        <v>12598</v>
      </c>
      <c r="I24" s="217">
        <f>SUMIFS(Input_APM!N:N,Input_APM!L:L,Check!B24)</f>
        <v>12598</v>
      </c>
      <c r="J24" s="219">
        <f t="shared" si="3"/>
        <v>0</v>
      </c>
      <c r="K24" s="22">
        <f>IF(B24="","",SUMIFS('Input_APM (Zenith)'!N:N,'Input_APM (Zenith)'!L:L,Check!B24,'Input_APM (Zenith)'!M:M,Check!$F$1))</f>
        <v>910</v>
      </c>
      <c r="L24" s="22">
        <f>IF(B24="","",SUMIFS('Input_APM (Zenith)'!N:N,'Input_APM (Zenith)'!L:L,Check!B24,'Input_APM (Zenith)'!M:M,Check!$G$1))</f>
        <v>0</v>
      </c>
      <c r="M24" s="240">
        <f t="shared" si="4"/>
        <v>13508</v>
      </c>
      <c r="O24" t="s">
        <v>302</v>
      </c>
      <c r="P24" s="217">
        <f>IF(O24="","",IF(OR(LEFT(O24,4)="Cash",LEFT(O24,4)="Prov"),0,SUMIFS(Input_APM!N:N,Input_APM!L:L,Check!O24)))</f>
        <v>0</v>
      </c>
      <c r="Q24" s="22">
        <f>IF(O24="","",IF(LEN(O24)&gt;9,SUMIFS(Options!$H$3:$H$25,Options!$B$3:$B$25,Check!O24),SUMIFS('Master P&amp;L'!$H$11:$H$101,'Master P&amp;L'!$B$11:$B$101,Check!O24)))</f>
        <v>0</v>
      </c>
      <c r="R24" s="217">
        <f t="shared" si="1"/>
        <v>0</v>
      </c>
      <c r="S24" s="361" t="str">
        <f t="shared" si="2"/>
        <v>Ok</v>
      </c>
      <c r="V24" s="13"/>
    </row>
    <row r="25" spans="2:22">
      <c r="B25" t="s">
        <v>138</v>
      </c>
      <c r="C25" s="233">
        <f>IF(B25="","",IF(LEN(B25)&gt;9,SUMIFS(Options!$H$3:$H$25,Options!$B$3:$B$25,Check!B25),SUMIFS('Master P&amp;L'!$H$11:$H$101,'Master P&amp;L'!$B$11:$B$101,Check!B25)))</f>
        <v>-49</v>
      </c>
      <c r="D25" s="233">
        <f>IF(B25="","",SUMIFS(Input_APM!N:N,Input_APM!L:L,Check!B25,Input_APM!M:M,Check!$F$1))</f>
        <v>-46</v>
      </c>
      <c r="E25" s="217">
        <f t="shared" si="5"/>
        <v>0</v>
      </c>
      <c r="F25" s="233">
        <f>IF(B25="","",SUMIFS(Input_APM!N:N,Input_APM!M:M,Check!$F$1,Input_APM!L:L,Check!B25))</f>
        <v>-46</v>
      </c>
      <c r="G25" s="233">
        <f>IF(B25="","",SUMIFS(Input_APM!N:N,Input_APM!M:M,Check!$G$1,Input_APM!L:L,Check!B25))</f>
        <v>0</v>
      </c>
      <c r="H25" s="217">
        <f t="shared" si="0"/>
        <v>-46</v>
      </c>
      <c r="I25" s="217">
        <f>SUMIFS(Input_APM!N:N,Input_APM!L:L,Check!B25)</f>
        <v>-46</v>
      </c>
      <c r="J25" s="219">
        <f t="shared" si="3"/>
        <v>0</v>
      </c>
      <c r="K25" s="22">
        <f>IF(B25="","",SUMIFS('Input_APM (Zenith)'!N:N,'Input_APM (Zenith)'!L:L,Check!B25,'Input_APM (Zenith)'!M:M,Check!$F$1))</f>
        <v>-3</v>
      </c>
      <c r="L25" s="22">
        <f>IF(B25="","",SUMIFS('Input_APM (Zenith)'!N:N,'Input_APM (Zenith)'!L:L,Check!B25,'Input_APM (Zenith)'!M:M,Check!$G$1))</f>
        <v>0</v>
      </c>
      <c r="M25" s="240">
        <f t="shared" si="4"/>
        <v>-49</v>
      </c>
      <c r="O25" t="s">
        <v>1906</v>
      </c>
      <c r="P25" s="217">
        <f>IF(O25="","",IF(OR(LEFT(O25,4)="Cash",LEFT(O25,4)="Prov"),0,SUMIFS(Input_APM!N:N,Input_APM!L:L,Check!O25)))</f>
        <v>4625000</v>
      </c>
      <c r="Q25" s="22">
        <f>IF(O25="","",IF(LEN(O25)&gt;9,SUMIFS(Options!$H$3:$H$25,Options!$B$3:$B$25,Check!O25),SUMIFS('Master P&amp;L'!$H$11:$H$101,'Master P&amp;L'!$B$11:$B$101,Check!O25)))</f>
        <v>0</v>
      </c>
      <c r="R25" s="217">
        <f t="shared" si="1"/>
        <v>4625000</v>
      </c>
      <c r="S25" s="361" t="str">
        <f t="shared" si="2"/>
        <v>Erro</v>
      </c>
      <c r="V25" s="13"/>
    </row>
    <row r="26" spans="2:22">
      <c r="B26" t="s">
        <v>2131</v>
      </c>
      <c r="C26" s="233">
        <f>IF(B26="","",IF(LEN(B26)&gt;9,SUMIFS(Options!$H$3:$H$25,Options!$B$3:$B$25,Check!B26),SUMIFS('Master P&amp;L'!$H$11:$H$101,'Master P&amp;L'!$B$11:$B$101,Check!B26)))</f>
        <v>31600</v>
      </c>
      <c r="D26" s="233">
        <f>IF(B26="","",SUMIFS(Input_APM!N:N,Input_APM!L:L,Check!B26,Input_APM!M:M,Check!$F$1))</f>
        <v>29572</v>
      </c>
      <c r="E26" s="219">
        <f>IF(B26="","",C26-M26)</f>
        <v>0</v>
      </c>
      <c r="F26" s="233">
        <f>IF(B26="","",SUMIFS(Input_APM!N:N,Input_APM!M:M,Check!$F$1,Input_APM!L:L,Check!B26))</f>
        <v>29572</v>
      </c>
      <c r="G26" s="233">
        <f>IF(B26="","",SUMIFS(Input_APM!N:N,Input_APM!M:M,Check!$G$1,Input_APM!L:L,Check!B26))</f>
        <v>0</v>
      </c>
      <c r="H26" s="217">
        <f t="shared" si="0"/>
        <v>29572</v>
      </c>
      <c r="I26" s="217">
        <f>SUMIFS(Input_APM!N:N,Input_APM!L:L,Check!B26)</f>
        <v>29572</v>
      </c>
      <c r="J26" s="219">
        <f t="shared" si="3"/>
        <v>0</v>
      </c>
      <c r="K26" s="22">
        <f>IF(B26="","",SUMIFS('Input_APM (Zenith)'!N:N,'Input_APM (Zenith)'!L:L,Check!B26,'Input_APM (Zenith)'!M:M,Check!$F$1))</f>
        <v>2028</v>
      </c>
      <c r="L26" s="22">
        <f>IF(B26="","",SUMIFS('Input_APM (Zenith)'!N:N,'Input_APM (Zenith)'!L:L,Check!B26,'Input_APM (Zenith)'!M:M,Check!$G$1))</f>
        <v>0</v>
      </c>
      <c r="M26" s="240">
        <f t="shared" si="4"/>
        <v>31600</v>
      </c>
      <c r="O26" t="s">
        <v>2361</v>
      </c>
      <c r="P26" s="217">
        <f>IF(O26="","",IF(OR(LEFT(O26,4)="Cash",LEFT(O26,4)="Prov"),0,SUMIFS(Input_APM!N:N,Input_APM!L:L,Check!O26)))</f>
        <v>28536</v>
      </c>
      <c r="Q26" s="22">
        <f>IF(O26="","",IF(LEN(O26)&gt;9,SUMIFS(Options!$H$3:$H$25,Options!$B$3:$B$25,Check!O26),SUMIFS('Master P&amp;L'!$H$11:$H$101,'Master P&amp;L'!$B$11:$B$101,Check!O26)))</f>
        <v>30410</v>
      </c>
      <c r="R26" s="217">
        <f t="shared" si="1"/>
        <v>-1874</v>
      </c>
      <c r="S26" s="361">
        <f t="shared" si="2"/>
        <v>0.93837553436369614</v>
      </c>
      <c r="V26" s="13"/>
    </row>
    <row r="27" spans="2:22">
      <c r="B27" t="s">
        <v>88</v>
      </c>
      <c r="C27" s="233">
        <f>IF(B27="","",IF(LEN(B27)&gt;9,SUMIFS(Options!$H$3:$H$25,Options!$B$3:$B$25,Check!B27),SUMIFS('Master P&amp;L'!$H$11:$H$101,'Master P&amp;L'!$B$11:$B$101,Check!B27)))</f>
        <v>45750</v>
      </c>
      <c r="D27" s="233">
        <f>IF(B27="","",SUMIFS(Input_APM!N:N,Input_APM!L:L,Check!B27,Input_APM!M:M,Check!$F$1))</f>
        <v>42865</v>
      </c>
      <c r="E27" s="219">
        <f t="shared" si="5"/>
        <v>0</v>
      </c>
      <c r="F27" s="233">
        <f>IF(B27="","",SUMIFS(Input_APM!N:N,Input_APM!M:M,Check!$F$1,Input_APM!L:L,Check!B27))</f>
        <v>42865</v>
      </c>
      <c r="G27" s="233">
        <f>IF(B27="","",SUMIFS(Input_APM!N:N,Input_APM!M:M,Check!$G$1,Input_APM!L:L,Check!B27))</f>
        <v>0</v>
      </c>
      <c r="H27" s="217">
        <f t="shared" si="0"/>
        <v>42865</v>
      </c>
      <c r="I27" s="217">
        <f>SUMIFS(Input_APM!N:N,Input_APM!L:L,Check!B27)</f>
        <v>42865</v>
      </c>
      <c r="J27" s="219">
        <f t="shared" si="3"/>
        <v>0</v>
      </c>
      <c r="K27" s="22">
        <f>IF(B27="","",SUMIFS('Input_APM (Zenith)'!N:N,'Input_APM (Zenith)'!L:L,Check!B27,'Input_APM (Zenith)'!M:M,Check!$F$1))</f>
        <v>2885</v>
      </c>
      <c r="L27" s="22">
        <f>IF(B27="","",SUMIFS('Input_APM (Zenith)'!N:N,'Input_APM (Zenith)'!L:L,Check!B27,'Input_APM (Zenith)'!M:M,Check!$G$1))</f>
        <v>0</v>
      </c>
      <c r="M27" s="240">
        <f t="shared" si="4"/>
        <v>45750</v>
      </c>
      <c r="O27" t="s">
        <v>1754</v>
      </c>
      <c r="P27" s="217">
        <f>IF(O27="","",IF(OR(LEFT(O27,4)="Cash",LEFT(O27,4)="Prov"),0,SUMIFS(Input_APM!N:N,Input_APM!L:L,Check!O27)))</f>
        <v>41862</v>
      </c>
      <c r="Q27" s="22">
        <f>IF(O27="","",IF(LEN(O27)&gt;9,SUMIFS(Options!$H$3:$H$25,Options!$B$3:$B$25,Check!O27),SUMIFS('Master P&amp;L'!$H$11:$H$101,'Master P&amp;L'!$B$11:$B$101,Check!O27)))</f>
        <v>39716</v>
      </c>
      <c r="R27" s="217">
        <f t="shared" si="1"/>
        <v>2146</v>
      </c>
      <c r="S27" s="361">
        <f t="shared" si="2"/>
        <v>1.0540336388357336</v>
      </c>
      <c r="V27" s="13"/>
    </row>
    <row r="28" spans="2:22">
      <c r="B28" t="s">
        <v>2268</v>
      </c>
      <c r="C28" s="233">
        <f>IF(B28="","",IF(LEN(B28)&gt;9,SUMIFS(Options!$H$3:$H$25,Options!$B$3:$B$25,Check!B28),SUMIFS('Master P&amp;L'!$H$11:$H$101,'Master P&amp;L'!$B$11:$B$101,Check!B28)))</f>
        <v>-11500</v>
      </c>
      <c r="D28" s="233">
        <f>IF(B28="","",SUMIFS(Input_APM!N:N,Input_APM!L:L,Check!B28,Input_APM!M:M,Check!$F$1))</f>
        <v>-10782</v>
      </c>
      <c r="E28" s="219">
        <f>IF(B28="","",C28-M28)</f>
        <v>0</v>
      </c>
      <c r="F28" s="233">
        <f>IF(B28="","",SUMIFS(Input_APM!N:N,Input_APM!M:M,Check!$F$1,Input_APM!L:L,Check!B28))</f>
        <v>-10782</v>
      </c>
      <c r="G28" s="233">
        <f>IF(B28="","",SUMIFS(Input_APM!N:N,Input_APM!M:M,Check!$G$1,Input_APM!L:L,Check!B28))</f>
        <v>0</v>
      </c>
      <c r="H28" s="217">
        <f t="shared" si="0"/>
        <v>-10782</v>
      </c>
      <c r="I28" s="217">
        <f>SUMIFS(Input_APM!N:N,Input_APM!L:L,Check!B28)</f>
        <v>-10782</v>
      </c>
      <c r="J28" s="219">
        <f t="shared" si="3"/>
        <v>0</v>
      </c>
      <c r="K28" s="22">
        <f>IF(B28="","",SUMIFS('Input_APM (Zenith)'!N:N,'Input_APM (Zenith)'!L:L,Check!B28,'Input_APM (Zenith)'!M:M,Check!$F$1))</f>
        <v>-718</v>
      </c>
      <c r="L28" s="22">
        <f>IF(B28="","",SUMIFS('Input_APM (Zenith)'!N:N,'Input_APM (Zenith)'!L:L,Check!B28,'Input_APM (Zenith)'!M:M,Check!$G$1))</f>
        <v>0</v>
      </c>
      <c r="M28" s="240">
        <f t="shared" si="4"/>
        <v>-11500</v>
      </c>
      <c r="O28" t="s">
        <v>2139</v>
      </c>
      <c r="P28" s="217">
        <f>IF(O28="","",IF(OR(LEFT(O28,4)="Cash",LEFT(O28,4)="Prov"),0,SUMIFS(Input_APM!N:N,Input_APM!L:L,Check!O28)))</f>
        <v>22494</v>
      </c>
      <c r="Q28" s="22">
        <f>IF(O28="","",IF(LEN(O28)&gt;9,SUMIFS(Options!$H$3:$H$25,Options!$B$3:$B$25,Check!O28),SUMIFS('Master P&amp;L'!$H$11:$H$101,'Master P&amp;L'!$B$11:$B$101,Check!O28)))</f>
        <v>0</v>
      </c>
      <c r="R28" s="217">
        <f t="shared" si="1"/>
        <v>22494</v>
      </c>
      <c r="S28" s="361" t="str">
        <f t="shared" si="2"/>
        <v>Erro</v>
      </c>
      <c r="V28" s="13"/>
    </row>
    <row r="29" spans="2:22">
      <c r="B29" t="s">
        <v>4</v>
      </c>
      <c r="C29" s="233">
        <f>IF(B29="","",IF(LEN(B29)&gt;9,SUMIFS(Options!$H$3:$H$25,Options!$B$3:$B$25,Check!B29),SUMIFS('Master P&amp;L'!$H$11:$H$101,'Master P&amp;L'!$B$11:$B$101,Check!B29)))</f>
        <v>-27500</v>
      </c>
      <c r="D29" s="233">
        <f>IF(B29="","",SUMIFS(Input_APM!N:N,Input_APM!L:L,Check!B29,Input_APM!M:M,Check!$F$1))</f>
        <v>-25765</v>
      </c>
      <c r="E29" s="219">
        <f t="shared" si="5"/>
        <v>0</v>
      </c>
      <c r="F29" s="233">
        <f>IF(B29="","",SUMIFS(Input_APM!N:N,Input_APM!M:M,Check!$F$1,Input_APM!L:L,Check!B29))</f>
        <v>-25765</v>
      </c>
      <c r="G29" s="233">
        <f>IF(B29="","",SUMIFS(Input_APM!N:N,Input_APM!M:M,Check!$G$1,Input_APM!L:L,Check!B29))</f>
        <v>0</v>
      </c>
      <c r="H29" s="217">
        <f t="shared" si="0"/>
        <v>-25765</v>
      </c>
      <c r="I29" s="217">
        <f>SUMIFS(Input_APM!N:N,Input_APM!L:L,Check!B29)</f>
        <v>-25765</v>
      </c>
      <c r="J29" s="219">
        <f t="shared" si="3"/>
        <v>0</v>
      </c>
      <c r="K29" s="22">
        <f>IF(B29="","",SUMIFS('Input_APM (Zenith)'!N:N,'Input_APM (Zenith)'!L:L,Check!B29,'Input_APM (Zenith)'!M:M,Check!$F$1))</f>
        <v>-1735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-27500</v>
      </c>
      <c r="O29" t="s">
        <v>2266</v>
      </c>
      <c r="P29" s="217">
        <f>IF(O29="","",IF(OR(LEFT(O29,4)="Cash",LEFT(O29,4)="Prov"),0,SUMIFS(Input_APM!N:N,Input_APM!L:L,Check!O29)))</f>
        <v>1031</v>
      </c>
      <c r="Q29" s="22">
        <f>IF(O29="","",IF(LEN(O29)&gt;9,SUMIFS(Options!$H$3:$H$25,Options!$B$3:$B$25,Check!O29),SUMIFS('Master P&amp;L'!$H$11:$H$101,'Master P&amp;L'!$B$11:$B$101,Check!O29)))</f>
        <v>1100</v>
      </c>
      <c r="R29" s="217">
        <f t="shared" si="1"/>
        <v>-69</v>
      </c>
      <c r="S29" s="361">
        <f t="shared" si="2"/>
        <v>0.93727272727272726</v>
      </c>
      <c r="V29" s="13"/>
    </row>
    <row r="30" spans="2:22">
      <c r="B30" t="s">
        <v>2297</v>
      </c>
      <c r="C30" s="233">
        <f>IF(B30="","",IF(LEN(B30)&gt;9,SUMIFS(Options!$H$3:$H$25,Options!$B$3:$B$25,Check!B30),SUMIFS('Master P&amp;L'!$H$11:$H$101,'Master P&amp;L'!$B$11:$B$101,Check!B30)))</f>
        <v>0</v>
      </c>
      <c r="D30" s="233">
        <f>IF(B30="","",SUMIFS(Input_APM!N:N,Input_APM!L:L,Check!B30,Input_APM!M:M,Check!$F$1))</f>
        <v>0</v>
      </c>
      <c r="E30" s="219">
        <f t="shared" si="5"/>
        <v>0</v>
      </c>
      <c r="F30" s="233">
        <f>IF(B30="","",SUMIFS(Input_APM!N:N,Input_APM!M:M,Check!$F$1,Input_APM!L:L,Check!B30))</f>
        <v>0</v>
      </c>
      <c r="G30" s="233">
        <f>IF(B30="","",SUMIFS(Input_APM!N:N,Input_APM!M:M,Check!$G$1,Input_APM!L:L,Check!B30))</f>
        <v>0</v>
      </c>
      <c r="H30" s="217">
        <f t="shared" si="0"/>
        <v>0</v>
      </c>
      <c r="I30" s="217">
        <f>SUMIFS(Input_APM!N:N,Input_APM!L:L,Check!B30)</f>
        <v>0</v>
      </c>
      <c r="J30" s="219">
        <f t="shared" si="3"/>
        <v>0</v>
      </c>
      <c r="K30" s="22">
        <f>IF(B30="","",SUMIFS('Input_APM (Zenith)'!N:N,'Input_APM (Zenith)'!L:L,Check!B30,'Input_APM (Zenith)'!M:M,Check!$F$1))</f>
        <v>0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0</v>
      </c>
      <c r="O30" t="s">
        <v>2267</v>
      </c>
      <c r="P30" s="217">
        <f>IF(O30="","",IF(OR(LEFT(O30,4)="Cash",LEFT(O30,4)="Prov"),0,SUMIFS(Input_APM!N:N,Input_APM!L:L,Check!O30)))</f>
        <v>-1031</v>
      </c>
      <c r="Q30" s="22">
        <f>IF(O30="","",IF(LEN(O30)&gt;9,SUMIFS(Options!$H$3:$H$25,Options!$B$3:$B$25,Check!O30),SUMIFS('Master P&amp;L'!$H$11:$H$101,'Master P&amp;L'!$B$11:$B$101,Check!O30)))</f>
        <v>-1100</v>
      </c>
      <c r="R30" s="217">
        <f t="shared" si="1"/>
        <v>69</v>
      </c>
      <c r="S30" s="361">
        <f t="shared" si="2"/>
        <v>0.93727272727272726</v>
      </c>
      <c r="V30" s="13"/>
    </row>
    <row r="31" spans="2:22">
      <c r="B31" t="s">
        <v>2227</v>
      </c>
      <c r="C31" s="233">
        <f>IF(B31="","",IF(LEN(B31)&gt;9,SUMIFS(Options!$H$3:$H$25,Options!$B$3:$B$25,Check!B31),SUMIFS('Master P&amp;L'!$H$11:$H$101,'Master P&amp;L'!$B$11:$B$101,Check!B31)))</f>
        <v>1000</v>
      </c>
      <c r="D31" s="233">
        <f>IF(B31="","",SUMIFS(Input_APM!N:N,Input_APM!L:L,Check!B31,Input_APM!M:M,Check!$F$1))</f>
        <v>935</v>
      </c>
      <c r="E31" s="219">
        <f>IF(B31="","",C31-M31)</f>
        <v>0</v>
      </c>
      <c r="F31" s="233">
        <f>IF(B31="","",SUMIFS(Input_APM!N:N,Input_APM!M:M,Check!$F$1,Input_APM!L:L,Check!B31))</f>
        <v>935</v>
      </c>
      <c r="G31" s="233">
        <f>IF(B31="","",SUMIFS(Input_APM!N:N,Input_APM!M:M,Check!$G$1,Input_APM!L:L,Check!B31))</f>
        <v>0</v>
      </c>
      <c r="H31" s="217">
        <f t="shared" si="0"/>
        <v>935</v>
      </c>
      <c r="I31" s="217">
        <f>SUMIFS(Input_APM!N:N,Input_APM!L:L,Check!B31)</f>
        <v>935</v>
      </c>
      <c r="J31" s="219">
        <f t="shared" si="3"/>
        <v>0</v>
      </c>
      <c r="K31" s="22">
        <f>IF(B31="","",SUMIFS('Input_APM (Zenith)'!N:N,'Input_APM (Zenith)'!L:L,Check!B31,'Input_APM (Zenith)'!M:M,Check!$F$1))</f>
        <v>65</v>
      </c>
      <c r="L31" s="22">
        <f>IF(B31="","",SUMIFS('Input_APM (Zenith)'!N:N,'Input_APM (Zenith)'!L:L,Check!B31,'Input_APM (Zenith)'!M:M,Check!$G$1))</f>
        <v>0</v>
      </c>
      <c r="M31" s="240">
        <f t="shared" si="4"/>
        <v>1000</v>
      </c>
      <c r="O31" t="s">
        <v>2148</v>
      </c>
      <c r="P31" s="217">
        <f>IF(O31="","",IF(OR(LEFT(O31,4)="Cash",LEFT(O31,4)="Prov"),0,SUMIFS(Input_APM!N:N,Input_APM!L:L,Check!O31)))</f>
        <v>8194</v>
      </c>
      <c r="Q31" s="22">
        <f>IF(O31="","",IF(LEN(O31)&gt;9,SUMIFS(Options!$H$3:$H$25,Options!$B$3:$B$25,Check!O31),SUMIFS('Master P&amp;L'!$H$11:$H$101,'Master P&amp;L'!$B$11:$B$101,Check!O31)))</f>
        <v>14500</v>
      </c>
      <c r="R31" s="217">
        <f t="shared" si="1"/>
        <v>-6306</v>
      </c>
      <c r="S31" s="361">
        <f t="shared" si="2"/>
        <v>0.56510344827586212</v>
      </c>
      <c r="V31" s="13"/>
    </row>
    <row r="32" spans="2:22">
      <c r="B32" t="s">
        <v>2105</v>
      </c>
      <c r="C32" s="233">
        <f>IF(B32="","",IF(LEN(B32)&gt;9,SUMIFS(Options!$H$3:$H$25,Options!$B$3:$B$25,Check!B32),SUMIFS('Master P&amp;L'!$H$11:$H$101,'Master P&amp;L'!$B$11:$B$101,Check!B32)))</f>
        <v>120</v>
      </c>
      <c r="D32" s="233">
        <f>IF(B32="","",SUMIFS(Input_APM!N:N,Input_APM!L:L,Check!B32,Input_APM!M:M,Check!$F$1))</f>
        <v>114</v>
      </c>
      <c r="E32" s="219">
        <f t="shared" si="5"/>
        <v>0</v>
      </c>
      <c r="F32" s="233">
        <f>IF(B32="","",SUMIFS(Input_APM!N:N,Input_APM!M:M,Check!$F$1,Input_APM!L:L,Check!B32))</f>
        <v>114</v>
      </c>
      <c r="G32" s="233">
        <f>IF(B32="","",SUMIFS(Input_APM!N:N,Input_APM!M:M,Check!$G$1,Input_APM!L:L,Check!B32))</f>
        <v>0</v>
      </c>
      <c r="H32" s="217">
        <f t="shared" si="0"/>
        <v>114</v>
      </c>
      <c r="I32" s="217">
        <f>SUMIFS(Input_APM!N:N,Input_APM!L:L,Check!B32)</f>
        <v>114</v>
      </c>
      <c r="J32" s="219">
        <f t="shared" si="3"/>
        <v>0</v>
      </c>
      <c r="K32" s="22">
        <f>IF(B32="","",SUMIFS('Input_APM (Zenith)'!N:N,'Input_APM (Zenith)'!L:L,Check!B32,'Input_APM (Zenith)'!M:M,Check!$F$1))</f>
        <v>6</v>
      </c>
      <c r="L32" s="22">
        <f>IF(B32="","",SUMIFS('Input_APM (Zenith)'!N:N,'Input_APM (Zenith)'!L:L,Check!B32,'Input_APM (Zenith)'!M:M,Check!$G$1))</f>
        <v>0</v>
      </c>
      <c r="M32" s="240">
        <f t="shared" si="4"/>
        <v>120</v>
      </c>
      <c r="O32" t="s">
        <v>1896</v>
      </c>
      <c r="P32" s="217">
        <f>IF(O32="","",IF(OR(LEFT(O32,4)="Cash",LEFT(O32,4)="Prov"),0,SUMIFS(Input_APM!N:N,Input_APM!L:L,Check!O32)))</f>
        <v>276451</v>
      </c>
      <c r="Q32" s="22">
        <f>IF(O32="","",IF(LEN(O32)&gt;9,SUMIFS(Options!$H$3:$H$25,Options!$B$3:$B$25,Check!O32),SUMIFS('Master P&amp;L'!$H$11:$H$101,'Master P&amp;L'!$B$11:$B$101,Check!O32)))</f>
        <v>0</v>
      </c>
      <c r="R32" s="217">
        <f t="shared" si="1"/>
        <v>276451</v>
      </c>
      <c r="S32" s="361" t="str">
        <f t="shared" si="2"/>
        <v>Erro</v>
      </c>
      <c r="V32" s="13"/>
    </row>
    <row r="33" spans="1:22">
      <c r="B33" t="s">
        <v>2266</v>
      </c>
      <c r="C33" s="233">
        <f>IF(B33="","",IF(LEN(B33)&gt;9,SUMIFS(Options!$H$3:$H$25,Options!$B$3:$B$25,Check!B33),SUMIFS('Master P&amp;L'!$H$11:$H$101,'Master P&amp;L'!$B$11:$B$101,Check!B33)))</f>
        <v>1100</v>
      </c>
      <c r="D33" s="233">
        <f>IF(B33="","",SUMIFS(Input_APM!N:N,Input_APM!L:L,Check!B33,Input_APM!M:M,Check!$F$1))</f>
        <v>1031</v>
      </c>
      <c r="E33" s="217">
        <f t="shared" si="5"/>
        <v>0</v>
      </c>
      <c r="F33" s="233">
        <f>IF(B33="","",SUMIFS(Input_APM!N:N,Input_APM!M:M,Check!$F$1,Input_APM!L:L,Check!B33))</f>
        <v>1031</v>
      </c>
      <c r="G33" s="233">
        <f>IF(B33="","",SUMIFS(Input_APM!N:N,Input_APM!M:M,Check!$G$1,Input_APM!L:L,Check!B33))</f>
        <v>0</v>
      </c>
      <c r="H33" s="217">
        <f t="shared" si="0"/>
        <v>1031</v>
      </c>
      <c r="I33" s="217">
        <f>SUMIFS(Input_APM!N:N,Input_APM!L:L,Check!B33)</f>
        <v>1031</v>
      </c>
      <c r="J33" s="219">
        <f t="shared" si="3"/>
        <v>0</v>
      </c>
      <c r="K33" s="22">
        <f>IF(B33="","",SUMIFS('Input_APM (Zenith)'!N:N,'Input_APM (Zenith)'!L:L,Check!B33,'Input_APM (Zenith)'!M:M,Check!$F$1))</f>
        <v>69</v>
      </c>
      <c r="L33" s="22">
        <f>IF(B33="","",SUMIFS('Input_APM (Zenith)'!N:N,'Input_APM (Zenith)'!L:L,Check!B33,'Input_APM (Zenith)'!M:M,Check!$G$1))</f>
        <v>0</v>
      </c>
      <c r="M33" s="240">
        <f t="shared" si="4"/>
        <v>1100</v>
      </c>
      <c r="O33" t="s">
        <v>1897</v>
      </c>
      <c r="P33" s="217">
        <f>IF(O33="","",IF(OR(LEFT(O33,4)="Cash",LEFT(O33,4)="Prov"),0,SUMIFS(Input_APM!N:N,Input_APM!L:L,Check!O33)))</f>
        <v>-276451</v>
      </c>
      <c r="Q33" s="22">
        <f>IF(O33="","",IF(LEN(O33)&gt;9,SUMIFS(Options!$H$3:$H$25,Options!$B$3:$B$25,Check!O33),SUMIFS('Master P&amp;L'!$H$11:$H$101,'Master P&amp;L'!$B$11:$B$101,Check!O33)))</f>
        <v>0</v>
      </c>
      <c r="R33" s="217">
        <f t="shared" si="1"/>
        <v>-276451</v>
      </c>
      <c r="S33" s="361" t="str">
        <f t="shared" si="2"/>
        <v>Erro</v>
      </c>
      <c r="V33" s="13"/>
    </row>
    <row r="34" spans="1:22">
      <c r="B34" t="s">
        <v>2267</v>
      </c>
      <c r="C34" s="233">
        <f>IF(B34="","",IF(LEN(B34)&gt;9,SUMIFS(Options!$H$3:$H$25,Options!$B$3:$B$25,Check!B34),SUMIFS('Master P&amp;L'!$H$11:$H$101,'Master P&amp;L'!$B$11:$B$101,Check!B34)))</f>
        <v>-1100</v>
      </c>
      <c r="D34" s="233">
        <f>IF(B34="","",SUMIFS(Input_APM!N:N,Input_APM!L:L,Check!B34,Input_APM!M:M,Check!$F$1))</f>
        <v>-1031</v>
      </c>
      <c r="E34" s="217">
        <f t="shared" si="5"/>
        <v>0</v>
      </c>
      <c r="F34" s="233">
        <f>IF(B34="","",SUMIFS(Input_APM!N:N,Input_APM!M:M,Check!$F$1,Input_APM!L:L,Check!B34))</f>
        <v>-1031</v>
      </c>
      <c r="G34" s="233">
        <f>IF(B34="","",SUMIFS(Input_APM!N:N,Input_APM!M:M,Check!$G$1,Input_APM!L:L,Check!B34))</f>
        <v>0</v>
      </c>
      <c r="H34" s="217">
        <f t="shared" si="0"/>
        <v>-1031</v>
      </c>
      <c r="I34" s="217">
        <f>SUMIFS(Input_APM!N:N,Input_APM!L:L,Check!B34)</f>
        <v>-1031</v>
      </c>
      <c r="J34" s="219">
        <f t="shared" si="3"/>
        <v>0</v>
      </c>
      <c r="K34" s="22">
        <f>IF(B34="","",SUMIFS('Input_APM (Zenith)'!N:N,'Input_APM (Zenith)'!L:L,Check!B34,'Input_APM (Zenith)'!M:M,Check!$F$1))</f>
        <v>-69</v>
      </c>
      <c r="L34" s="22">
        <f>IF(B34="","",SUMIFS('Input_APM (Zenith)'!N:N,'Input_APM (Zenith)'!L:L,Check!B34,'Input_APM (Zenith)'!M:M,Check!$G$1))</f>
        <v>0</v>
      </c>
      <c r="M34" s="240">
        <f t="shared" si="4"/>
        <v>-1100</v>
      </c>
      <c r="O34" t="s">
        <v>2340</v>
      </c>
      <c r="P34" s="217">
        <f>IF(O34="","",IF(OR(LEFT(O34,4)="Cash",LEFT(O34,4)="Prov"),0,SUMIFS(Input_APM!N:N,Input_APM!L:L,Check!O34)))</f>
        <v>237</v>
      </c>
      <c r="Q34" s="22">
        <f>IF(O34="","",IF(LEN(O34)&gt;9,SUMIFS(Options!$H$3:$H$25,Options!$B$3:$B$25,Check!O34),SUMIFS('Master P&amp;L'!$H$11:$H$101,'Master P&amp;L'!$B$11:$B$101,Check!O34)))</f>
        <v>250</v>
      </c>
      <c r="R34" s="217">
        <f t="shared" si="1"/>
        <v>-13</v>
      </c>
      <c r="S34" s="361">
        <f t="shared" si="2"/>
        <v>0.94799999999999995</v>
      </c>
      <c r="V34" s="13"/>
    </row>
    <row r="35" spans="1:22">
      <c r="B35" t="s">
        <v>2295</v>
      </c>
      <c r="C35" s="233">
        <f>IF(B35="","",IF(LEN(B35)&gt;9,SUMIFS(Options!$H$3:$H$25,Options!$B$3:$B$25,Check!B35),SUMIFS('Master P&amp;L'!$H$11:$H$101,'Master P&amp;L'!$B$11:$B$101,Check!B35)))</f>
        <v>60</v>
      </c>
      <c r="D35" s="233">
        <f>IF(B35="","",SUMIFS(Input_APM!N:N,Input_APM!L:L,Check!B35,Input_APM!M:M,Check!$F$1))</f>
        <v>56</v>
      </c>
      <c r="E35" s="219">
        <f t="shared" si="5"/>
        <v>0</v>
      </c>
      <c r="F35" s="233">
        <f>IF(B35="","",SUMIFS(Input_APM!N:N,Input_APM!M:M,Check!$F$1,Input_APM!L:L,Check!B35))</f>
        <v>56</v>
      </c>
      <c r="G35" s="233">
        <f>IF(B35="","",SUMIFS(Input_APM!N:N,Input_APM!M:M,Check!$G$1,Input_APM!L:L,Check!B35))</f>
        <v>0</v>
      </c>
      <c r="H35" s="217">
        <f t="shared" si="0"/>
        <v>56</v>
      </c>
      <c r="I35" s="217">
        <f>SUMIFS(Input_APM!N:N,Input_APM!L:L,Check!B35)</f>
        <v>56</v>
      </c>
      <c r="J35" s="219">
        <f t="shared" si="3"/>
        <v>0</v>
      </c>
      <c r="K35" s="22">
        <f>IF(B35="","",SUMIFS('Input_APM (Zenith)'!N:N,'Input_APM (Zenith)'!L:L,Check!B35,'Input_APM (Zenith)'!M:M,Check!$F$1))</f>
        <v>4</v>
      </c>
      <c r="L35" s="22">
        <f>IF(B35="","",SUMIFS('Input_APM (Zenith)'!N:N,'Input_APM (Zenith)'!L:L,Check!B35,'Input_APM (Zenith)'!M:M,Check!$G$1))</f>
        <v>0</v>
      </c>
      <c r="M35" s="240">
        <f t="shared" si="4"/>
        <v>60</v>
      </c>
      <c r="O35" t="s">
        <v>2341</v>
      </c>
      <c r="P35" s="217">
        <f>IF(O35="","",IF(OR(LEFT(O35,4)="Cash",LEFT(O35,4)="Prov"),0,SUMIFS(Input_APM!N:N,Input_APM!L:L,Check!O35)))</f>
        <v>-141</v>
      </c>
      <c r="Q35" s="22">
        <f>IF(O35="","",IF(LEN(O35)&gt;9,SUMIFS(Options!$H$3:$H$25,Options!$B$3:$B$25,Check!O35),SUMIFS('Master P&amp;L'!$H$11:$H$101,'Master P&amp;L'!$B$11:$B$101,Check!O35)))</f>
        <v>-150</v>
      </c>
      <c r="R35" s="217">
        <f t="shared" si="1"/>
        <v>9</v>
      </c>
      <c r="S35" s="361">
        <f t="shared" si="2"/>
        <v>0.94</v>
      </c>
      <c r="V35" s="13"/>
    </row>
    <row r="36" spans="1:22">
      <c r="B36" t="s">
        <v>2068</v>
      </c>
      <c r="C36" s="233">
        <f>IF(B36="","",IF(LEN(B36)&gt;9,SUMIFS(Options!$H$3:$H$25,Options!$B$3:$B$25,Check!B36),SUMIFS('Master P&amp;L'!$H$11:$H$101,'Master P&amp;L'!$B$11:$B$101,Check!B36)))</f>
        <v>60</v>
      </c>
      <c r="D36" s="233">
        <f>IF(B36="","",SUMIFS(Input_APM!N:N,Input_APM!L:L,Check!B36,Input_APM!M:M,Check!$F$1))</f>
        <v>57</v>
      </c>
      <c r="E36" s="219">
        <f>IF(B36="","",C36-M36)</f>
        <v>0</v>
      </c>
      <c r="F36" s="233">
        <f>IF(B36="","",SUMIFS(Input_APM!N:N,Input_APM!M:M,Check!$F$1,Input_APM!L:L,Check!B36))</f>
        <v>57</v>
      </c>
      <c r="G36" s="233">
        <f>IF(B36="","",SUMIFS(Input_APM!N:N,Input_APM!M:M,Check!$G$1,Input_APM!L:L,Check!B36))</f>
        <v>0</v>
      </c>
      <c r="H36" s="217">
        <f t="shared" si="0"/>
        <v>57</v>
      </c>
      <c r="I36" s="217">
        <f>SUMIFS(Input_APM!N:N,Input_APM!L:L,Check!B36)</f>
        <v>57</v>
      </c>
      <c r="J36" s="219">
        <f t="shared" si="3"/>
        <v>0</v>
      </c>
      <c r="K36" s="22">
        <f>IF(B36="","",SUMIFS('Input_APM (Zenith)'!N:N,'Input_APM (Zenith)'!L:L,Check!B36,'Input_APM (Zenith)'!M:M,Check!$F$1))</f>
        <v>3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60</v>
      </c>
      <c r="O36" t="s">
        <v>2339</v>
      </c>
      <c r="P36" s="217">
        <f>IF(O36="","",IF(OR(LEFT(O36,4)="Cash",LEFT(O36,4)="Prov"),0,SUMIFS(Input_APM!N:N,Input_APM!L:L,Check!O36)))</f>
        <v>-141</v>
      </c>
      <c r="Q36" s="22">
        <f>IF(O36="","",IF(LEN(O36)&gt;9,SUMIFS(Options!$H$3:$H$25,Options!$B$3:$B$25,Check!O36),SUMIFS('Master P&amp;L'!$H$11:$H$101,'Master P&amp;L'!$B$11:$B$101,Check!O36)))</f>
        <v>-150</v>
      </c>
      <c r="R36" s="217">
        <f t="shared" si="1"/>
        <v>9</v>
      </c>
      <c r="S36" s="361">
        <f t="shared" si="2"/>
        <v>0.94</v>
      </c>
      <c r="V36" s="13"/>
    </row>
    <row r="37" spans="1:22">
      <c r="B37" t="s">
        <v>2298</v>
      </c>
      <c r="C37" s="233">
        <f>IF(B37="","",IF(LEN(B37)&gt;9,SUMIFS(Options!$H$3:$H$25,Options!$B$3:$B$25,Check!B37),SUMIFS('Master P&amp;L'!$H$11:$H$101,'Master P&amp;L'!$B$11:$B$101,Check!B37)))</f>
        <v>0</v>
      </c>
      <c r="D37" s="233">
        <f>IF(B37="","",SUMIFS(Input_APM!N:N,Input_APM!L:L,Check!B37,Input_APM!M:M,Check!$F$1))</f>
        <v>0</v>
      </c>
      <c r="E37" s="219">
        <f>IF(B37="","",C37-M37)</f>
        <v>0</v>
      </c>
      <c r="F37" s="233">
        <f>IF(B37="","",SUMIFS(Input_APM!N:N,Input_APM!M:M,Check!$F$1,Input_APM!L:L,Check!B37))</f>
        <v>0</v>
      </c>
      <c r="G37" s="233">
        <f>IF(B37="","",SUMIFS(Input_APM!N:N,Input_APM!M:M,Check!$G$1,Input_APM!L:L,Check!B37))</f>
        <v>0</v>
      </c>
      <c r="H37" s="217">
        <f t="shared" si="0"/>
        <v>0</v>
      </c>
      <c r="I37" s="217">
        <f>SUMIFS(Input_APM!N:N,Input_APM!L:L,Check!B37)</f>
        <v>0</v>
      </c>
      <c r="J37" s="219">
        <f t="shared" si="3"/>
        <v>0</v>
      </c>
      <c r="K37" s="22">
        <f>IF(B37="","",SUMIFS('Input_APM (Zenith)'!N:N,'Input_APM (Zenith)'!L:L,Check!B37,'Input_APM (Zenith)'!M:M,Check!$F$1))</f>
        <v>0</v>
      </c>
      <c r="L37" s="22">
        <f>IF(B37="","",SUMIFS('Input_APM (Zenith)'!N:N,'Input_APM (Zenith)'!L:L,Check!B37,'Input_APM (Zenith)'!M:M,Check!$G$1))</f>
        <v>0</v>
      </c>
      <c r="M37" s="240">
        <f t="shared" si="4"/>
        <v>0</v>
      </c>
      <c r="O37" t="s">
        <v>2268</v>
      </c>
      <c r="P37" s="217">
        <f>IF(O37="","",IF(OR(LEFT(O37,4)="Cash",LEFT(O37,4)="Prov"),0,SUMIFS(Input_APM!N:N,Input_APM!L:L,Check!O37)))</f>
        <v>-10782</v>
      </c>
      <c r="Q37" s="22">
        <f>IF(O37="","",IF(LEN(O37)&gt;9,SUMIFS(Options!$H$3:$H$25,Options!$B$3:$B$25,Check!O37),SUMIFS('Master P&amp;L'!$H$11:$H$101,'Master P&amp;L'!$B$11:$B$101,Check!O37)))</f>
        <v>-11500</v>
      </c>
      <c r="R37" s="217">
        <f t="shared" si="1"/>
        <v>718</v>
      </c>
      <c r="S37" s="361">
        <f t="shared" si="2"/>
        <v>0.93756521739130438</v>
      </c>
      <c r="V37" s="13"/>
    </row>
    <row r="38" spans="1:22">
      <c r="B38" t="s">
        <v>2097</v>
      </c>
      <c r="C38" s="233">
        <f>IF(B38="","",IF(LEN(B38)&gt;9,SUMIFS(Options!$H$3:$H$25,Options!$B$3:$B$25,Check!B38),SUMIFS('Master P&amp;L'!$H$11:$H$101,'Master P&amp;L'!$B$11:$B$101,Check!B38)))</f>
        <v>200</v>
      </c>
      <c r="D38" s="233">
        <f>IF(B38="","",SUMIFS(Input_APM!N:N,Input_APM!L:L,Check!B38,Input_APM!M:M,Check!$F$1))</f>
        <v>186</v>
      </c>
      <c r="E38" s="217">
        <f t="shared" si="5"/>
        <v>0</v>
      </c>
      <c r="F38" s="233">
        <f>IF(B38="","",SUMIFS(Input_APM!N:N,Input_APM!M:M,Check!$F$1,Input_APM!L:L,Check!B38))</f>
        <v>186</v>
      </c>
      <c r="G38" s="233">
        <f>IF(B38="","",SUMIFS(Input_APM!N:N,Input_APM!M:M,Check!$G$1,Input_APM!L:L,Check!B38))</f>
        <v>0</v>
      </c>
      <c r="H38" s="217">
        <f t="shared" si="0"/>
        <v>186</v>
      </c>
      <c r="I38" s="217">
        <f>SUMIFS(Input_APM!N:N,Input_APM!L:L,Check!B38)</f>
        <v>186</v>
      </c>
      <c r="J38" s="219">
        <f t="shared" si="3"/>
        <v>0</v>
      </c>
      <c r="K38" s="22">
        <f>IF(B38="","",SUMIFS('Input_APM (Zenith)'!N:N,'Input_APM (Zenith)'!L:L,Check!B38,'Input_APM (Zenith)'!M:M,Check!$F$1))</f>
        <v>14</v>
      </c>
      <c r="L38" s="22">
        <f>IF(B38="","",SUMIFS('Input_APM (Zenith)'!N:N,'Input_APM (Zenith)'!L:L,Check!B38,'Input_APM (Zenith)'!M:M,Check!$G$1))</f>
        <v>0</v>
      </c>
      <c r="M38" s="240">
        <f t="shared" si="4"/>
        <v>200</v>
      </c>
      <c r="O38" t="s">
        <v>2313</v>
      </c>
      <c r="P38" s="217">
        <f>IF(O38="","",IF(OR(LEFT(O38,4)="Cash",LEFT(O38,4)="Prov"),0,SUMIFS(Input_APM!N:N,Input_APM!L:L,Check!O38)))</f>
        <v>10349446</v>
      </c>
      <c r="Q38" s="22">
        <f>IF(O38="","",IF(LEN(O38)&gt;9,SUMIFS(Options!$H$3:$H$25,Options!$B$3:$B$25,Check!O38),SUMIFS('Master P&amp;L'!$H$11:$H$101,'Master P&amp;L'!$B$11:$B$101,Check!O38)))</f>
        <v>0</v>
      </c>
      <c r="R38" s="217">
        <f t="shared" si="1"/>
        <v>10349446</v>
      </c>
      <c r="S38" s="361" t="str">
        <f t="shared" si="2"/>
        <v>Erro</v>
      </c>
      <c r="V38" s="13"/>
    </row>
    <row r="39" spans="1:22">
      <c r="B39" t="s">
        <v>2098</v>
      </c>
      <c r="C39" s="233">
        <f>IF(B39="","",IF(LEN(B39)&gt;9,SUMIFS(Options!$H$3:$H$25,Options!$B$3:$B$25,Check!B39),SUMIFS('Master P&amp;L'!$H$11:$H$101,'Master P&amp;L'!$B$11:$B$101,Check!B39)))</f>
        <v>-200</v>
      </c>
      <c r="D39" s="233">
        <f>IF(B39="","",SUMIFS(Input_APM!N:N,Input_APM!L:L,Check!B39,Input_APM!M:M,Check!$F$1))</f>
        <v>-188</v>
      </c>
      <c r="E39" s="217">
        <f t="shared" si="5"/>
        <v>0</v>
      </c>
      <c r="F39" s="233">
        <f>IF(B39="","",SUMIFS(Input_APM!N:N,Input_APM!M:M,Check!$F$1,Input_APM!L:L,Check!B39))</f>
        <v>-188</v>
      </c>
      <c r="G39" s="233">
        <f>IF(B39="","",SUMIFS(Input_APM!N:N,Input_APM!M:M,Check!$G$1,Input_APM!L:L,Check!B39))</f>
        <v>0</v>
      </c>
      <c r="H39" s="217">
        <f t="shared" si="0"/>
        <v>-188</v>
      </c>
      <c r="I39" s="217">
        <f>SUMIFS(Input_APM!N:N,Input_APM!L:L,Check!B39)</f>
        <v>-188</v>
      </c>
      <c r="J39" s="219">
        <f t="shared" si="3"/>
        <v>0</v>
      </c>
      <c r="K39" s="22">
        <f>IF(B39="","",SUMIFS('Input_APM (Zenith)'!N:N,'Input_APM (Zenith)'!L:L,Check!B39,'Input_APM (Zenith)'!M:M,Check!$F$1))</f>
        <v>-12</v>
      </c>
      <c r="L39" s="22">
        <f>IF(B39="","",SUMIFS('Input_APM (Zenith)'!N:N,'Input_APM (Zenith)'!L:L,Check!B39,'Input_APM (Zenith)'!M:M,Check!$G$1))</f>
        <v>0</v>
      </c>
      <c r="M39" s="240">
        <f t="shared" si="4"/>
        <v>-200</v>
      </c>
      <c r="O39" t="s">
        <v>2063</v>
      </c>
      <c r="P39" s="217">
        <f>IF(O39="","",IF(OR(LEFT(O39,4)="Cash",LEFT(O39,4)="Prov"),0,SUMIFS(Input_APM!N:N,Input_APM!L:L,Check!O39)))</f>
        <v>841</v>
      </c>
      <c r="Q39" s="22">
        <f>IF(O39="","",IF(LEN(O39)&gt;9,SUMIFS(Options!$H$3:$H$25,Options!$B$3:$B$25,Check!O39),SUMIFS('Master P&amp;L'!$H$11:$H$101,'Master P&amp;L'!$B$11:$B$101,Check!O39)))</f>
        <v>900</v>
      </c>
      <c r="R39" s="217">
        <f t="shared" si="1"/>
        <v>-59</v>
      </c>
      <c r="S39" s="361">
        <f t="shared" si="2"/>
        <v>0.93444444444444441</v>
      </c>
      <c r="V39" s="13"/>
    </row>
    <row r="40" spans="1:22">
      <c r="B40" t="s">
        <v>2058</v>
      </c>
      <c r="C40" s="233">
        <f>IF(B40="","",IF(LEN(B40)&gt;9,SUMIFS(Options!$H$3:$H$25,Options!$B$3:$B$25,Check!B40),SUMIFS('Master P&amp;L'!$H$11:$H$101,'Master P&amp;L'!$B$11:$B$101,Check!B40)))</f>
        <v>150</v>
      </c>
      <c r="D40" s="233">
        <f>IF(B40="","",SUMIFS(Input_APM!N:N,Input_APM!L:L,Check!B40,Input_APM!M:M,Check!$F$1))</f>
        <v>141</v>
      </c>
      <c r="E40" s="219">
        <f t="shared" si="5"/>
        <v>0</v>
      </c>
      <c r="F40" s="233">
        <f>IF(B40="","",SUMIFS(Input_APM!N:N,Input_APM!M:M,Check!$F$1,Input_APM!L:L,Check!B40))</f>
        <v>141</v>
      </c>
      <c r="G40" s="233">
        <f>IF(B40="","",SUMIFS(Input_APM!N:N,Input_APM!M:M,Check!$G$1,Input_APM!L:L,Check!B40))</f>
        <v>0</v>
      </c>
      <c r="H40" s="217">
        <f t="shared" si="0"/>
        <v>141</v>
      </c>
      <c r="I40" s="217">
        <f>SUMIFS(Input_APM!N:N,Input_APM!L:L,Check!B40)</f>
        <v>141</v>
      </c>
      <c r="J40" s="219">
        <f t="shared" si="3"/>
        <v>0</v>
      </c>
      <c r="K40" s="22">
        <f>IF(B40="","",SUMIFS('Input_APM (Zenith)'!N:N,'Input_APM (Zenith)'!L:L,Check!B40,'Input_APM (Zenith)'!M:M,Check!$F$1))</f>
        <v>9</v>
      </c>
      <c r="L40" s="22">
        <f>IF(B40="","",SUMIFS('Input_APM (Zenith)'!N:N,'Input_APM (Zenith)'!L:L,Check!B40,'Input_APM (Zenith)'!M:M,Check!$G$1))</f>
        <v>0</v>
      </c>
      <c r="M40" s="240">
        <f t="shared" si="4"/>
        <v>150</v>
      </c>
      <c r="O40" t="s">
        <v>2295</v>
      </c>
      <c r="P40" s="217">
        <f>IF(O40="","",IF(OR(LEFT(O40,4)="Cash",LEFT(O40,4)="Prov"),0,SUMIFS(Input_APM!N:N,Input_APM!L:L,Check!O40)))</f>
        <v>56</v>
      </c>
      <c r="Q40" s="22">
        <f>IF(O40="","",IF(LEN(O40)&gt;9,SUMIFS(Options!$H$3:$H$25,Options!$B$3:$B$25,Check!O40),SUMIFS('Master P&amp;L'!$H$11:$H$101,'Master P&amp;L'!$B$11:$B$101,Check!O40)))</f>
        <v>60</v>
      </c>
      <c r="R40" s="217">
        <f t="shared" si="1"/>
        <v>-4</v>
      </c>
      <c r="S40" s="361">
        <f t="shared" si="2"/>
        <v>0.93333333333333335</v>
      </c>
      <c r="V40" s="13"/>
    </row>
    <row r="41" spans="1:22">
      <c r="B41" t="s">
        <v>2278</v>
      </c>
      <c r="C41" s="233">
        <f>IF(B41="","",IF(LEN(B41)&gt;9,SUMIFS(Options!$H$3:$H$25,Options!$B$3:$B$25,Check!B41),SUMIFS('Master P&amp;L'!$H$11:$H$101,'Master P&amp;L'!$B$11:$B$101,Check!B41)))</f>
        <v>-150</v>
      </c>
      <c r="D41" s="233">
        <f>IF(B41="","",SUMIFS(Input_APM!N:N,Input_APM!L:L,Check!B41,Input_APM!M:M,Check!$F$1))</f>
        <v>-141</v>
      </c>
      <c r="E41" s="217">
        <f t="shared" si="5"/>
        <v>0</v>
      </c>
      <c r="F41" s="233">
        <f>IF(B41="","",SUMIFS(Input_APM!N:N,Input_APM!M:M,Check!$F$1,Input_APM!L:L,Check!B41))</f>
        <v>-141</v>
      </c>
      <c r="G41" s="233">
        <f>IF(B41="","",SUMIFS(Input_APM!N:N,Input_APM!M:M,Check!$G$1,Input_APM!L:L,Check!B41))</f>
        <v>0</v>
      </c>
      <c r="H41" s="217">
        <f t="shared" si="0"/>
        <v>-141</v>
      </c>
      <c r="I41" s="217">
        <f>SUMIFS(Input_APM!N:N,Input_APM!L:L,Check!B41)</f>
        <v>-141</v>
      </c>
      <c r="J41" s="219">
        <f t="shared" si="3"/>
        <v>0</v>
      </c>
      <c r="K41" s="22">
        <f>IF(B41="","",SUMIFS('Input_APM (Zenith)'!N:N,'Input_APM (Zenith)'!L:L,Check!B41,'Input_APM (Zenith)'!M:M,Check!$F$1))</f>
        <v>-9</v>
      </c>
      <c r="L41" s="22">
        <f>IF(B41="","",SUMIFS('Input_APM (Zenith)'!N:N,'Input_APM (Zenith)'!L:L,Check!B41,'Input_APM (Zenith)'!M:M,Check!$G$1))</f>
        <v>0</v>
      </c>
      <c r="M41" s="240">
        <f t="shared" si="4"/>
        <v>-150</v>
      </c>
      <c r="O41" t="s">
        <v>81</v>
      </c>
      <c r="P41" s="217">
        <f>IF(O41="","",IF(OR(LEFT(O41,4)="Cash",LEFT(O41,4)="Prov"),0,SUMIFS(Input_APM!N:N,Input_APM!L:L,Check!O41)))</f>
        <v>3055</v>
      </c>
      <c r="Q41" s="22">
        <f>IF(O41="","",IF(LEN(O41)&gt;9,SUMIFS(Options!$H$3:$H$25,Options!$B$3:$B$25,Check!O41),SUMIFS('Master P&amp;L'!$H$11:$H$101,'Master P&amp;L'!$B$11:$B$101,Check!O41)))</f>
        <v>4000</v>
      </c>
      <c r="R41" s="217">
        <f t="shared" si="1"/>
        <v>-945</v>
      </c>
      <c r="S41" s="361">
        <f t="shared" si="2"/>
        <v>0.76375000000000004</v>
      </c>
      <c r="V41" s="13"/>
    </row>
    <row r="42" spans="1:22">
      <c r="B42" t="s">
        <v>2342</v>
      </c>
      <c r="C42" s="233">
        <f>IF(B42="","",IF(LEN(B42)&gt;9,SUMIFS(Options!$H$3:$H$25,Options!$B$3:$B$25,Check!B42),SUMIFS('Master P&amp;L'!$H$11:$H$101,'Master P&amp;L'!$B$11:$B$101,Check!B42)))</f>
        <v>0</v>
      </c>
      <c r="D42" s="233">
        <f>IF(B42="","",SUMIFS(Input_APM!N:N,Input_APM!L:L,Check!B42,Input_APM!M:M,Check!$F$1))</f>
        <v>0</v>
      </c>
      <c r="E42" s="219">
        <f t="shared" si="5"/>
        <v>0</v>
      </c>
      <c r="F42" s="233">
        <f>IF(B42="","",SUMIFS(Input_APM!N:N,Input_APM!M:M,Check!$F$1,Input_APM!L:L,Check!B42))</f>
        <v>0</v>
      </c>
      <c r="G42" s="233">
        <f>IF(B42="","",SUMIFS(Input_APM!N:N,Input_APM!M:M,Check!$G$1,Input_APM!L:L,Check!B42))</f>
        <v>0</v>
      </c>
      <c r="H42" s="217">
        <f t="shared" si="0"/>
        <v>0</v>
      </c>
      <c r="I42" s="217">
        <f>SUMIFS(Input_APM!N:N,Input_APM!L:L,Check!B42)</f>
        <v>0</v>
      </c>
      <c r="J42" s="219">
        <f t="shared" si="3"/>
        <v>0</v>
      </c>
      <c r="K42" s="22">
        <f>IF(B42="","",SUMIFS('Input_APM (Zenith)'!N:N,'Input_APM (Zenith)'!L:L,Check!B42,'Input_APM (Zenith)'!M:M,Check!$F$1))</f>
        <v>0</v>
      </c>
      <c r="L42" s="22">
        <f>IF(B42="","",SUMIFS('Input_APM (Zenith)'!N:N,'Input_APM (Zenith)'!L:L,Check!B42,'Input_APM (Zenith)'!M:M,Check!$G$1))</f>
        <v>0</v>
      </c>
      <c r="M42" s="240">
        <f t="shared" si="4"/>
        <v>0</v>
      </c>
      <c r="O42" t="s">
        <v>2068</v>
      </c>
      <c r="P42" s="217">
        <f>IF(O42="","",IF(OR(LEFT(O42,4)="Cash",LEFT(O42,4)="Prov"),0,SUMIFS(Input_APM!N:N,Input_APM!L:L,Check!O42)))</f>
        <v>57</v>
      </c>
      <c r="Q42" s="22">
        <f>IF(O42="","",IF(LEN(O42)&gt;9,SUMIFS(Options!$H$3:$H$25,Options!$B$3:$B$25,Check!O42),SUMIFS('Master P&amp;L'!$H$11:$H$101,'Master P&amp;L'!$B$11:$B$101,Check!O42)))</f>
        <v>60</v>
      </c>
      <c r="R42" s="217">
        <f t="shared" si="1"/>
        <v>-3</v>
      </c>
      <c r="S42" s="361">
        <f t="shared" si="2"/>
        <v>0.95</v>
      </c>
      <c r="V42" s="13"/>
    </row>
    <row r="43" spans="1:22">
      <c r="A43" t="s">
        <v>1770</v>
      </c>
      <c r="B43" t="s">
        <v>2049</v>
      </c>
      <c r="C43" s="233">
        <f>IF(B43="","",IF(LEN(B43)&gt;9,SUMIFS(Options!$H$3:$H$25,Options!$B$3:$B$25,Check!B43),SUMIFS('Master P&amp;L'!$H$11:$H$101,'Master P&amp;L'!$B$11:$B$101,Check!B43)))</f>
        <v>0</v>
      </c>
      <c r="D43" s="233">
        <f>IF(B43="","",SUMIFS(Input_APM!N:N,Input_APM!L:L,Check!B43,Input_APM!M:M,Check!$F$1))</f>
        <v>0</v>
      </c>
      <c r="E43" s="217">
        <f t="shared" si="5"/>
        <v>0</v>
      </c>
      <c r="F43" s="233">
        <f>IF(B43="","",SUMIFS(Input_APM!N:N,Input_APM!M:M,Check!$F$1,Input_APM!L:L,Check!B43))</f>
        <v>0</v>
      </c>
      <c r="G43" s="233">
        <f>IF(B43="","",SUMIFS(Input_APM!N:N,Input_APM!M:M,Check!$G$1,Input_APM!L:L,Check!B43))</f>
        <v>0</v>
      </c>
      <c r="H43" s="217">
        <f t="shared" si="0"/>
        <v>0</v>
      </c>
      <c r="I43" s="217">
        <f>SUMIFS(Input_APM!N:N,Input_APM!L:L,Check!B43)</f>
        <v>0</v>
      </c>
      <c r="J43" s="219">
        <f t="shared" si="3"/>
        <v>0</v>
      </c>
      <c r="K43" s="22">
        <f>IF(B43="","",SUMIFS('Input_APM (Zenith)'!N:N,'Input_APM (Zenith)'!L:L,Check!B43,'Input_APM (Zenith)'!M:M,Check!$F$1))</f>
        <v>0</v>
      </c>
      <c r="L43" s="22">
        <f>IF(B43="","",SUMIFS('Input_APM (Zenith)'!N:N,'Input_APM (Zenith)'!L:L,Check!B43,'Input_APM (Zenith)'!M:M,Check!$G$1))</f>
        <v>0</v>
      </c>
      <c r="M43" s="217">
        <f t="shared" si="4"/>
        <v>0</v>
      </c>
      <c r="O43" t="s">
        <v>2298</v>
      </c>
      <c r="P43" s="217">
        <f>IF(O43="","",IF(OR(LEFT(O43,4)="Cash",LEFT(O43,4)="Prov"),0,SUMIFS(Input_APM!N:N,Input_APM!L:L,Check!O43)))</f>
        <v>0</v>
      </c>
      <c r="Q43" s="22">
        <f>IF(O43="","",IF(LEN(O43)&gt;9,SUMIFS(Options!$H$3:$H$25,Options!$B$3:$B$25,Check!O43),SUMIFS('Master P&amp;L'!$H$11:$H$101,'Master P&amp;L'!$B$11:$B$101,Check!O43)))</f>
        <v>0</v>
      </c>
      <c r="R43" s="217">
        <f t="shared" si="1"/>
        <v>0</v>
      </c>
      <c r="S43" s="361" t="str">
        <f t="shared" si="2"/>
        <v>Ok</v>
      </c>
      <c r="V43" s="13"/>
    </row>
    <row r="44" spans="1:22">
      <c r="B44" t="s">
        <v>2341</v>
      </c>
      <c r="C44" s="233">
        <f>IF(B44="","",IF(LEN(B44)&gt;9,SUMIFS(Options!$H$3:$H$25,Options!$B$3:$B$25,Check!B44),SUMIFS('Master P&amp;L'!$H$11:$H$101,'Master P&amp;L'!$B$11:$B$101,Check!B44)))</f>
        <v>-150</v>
      </c>
      <c r="D44" s="233">
        <f>IF(B44="","",SUMIFS(Input_APM!N:N,Input_APM!L:L,Check!B44,Input_APM!M:M,Check!$F$1))</f>
        <v>-141</v>
      </c>
      <c r="E44" s="217">
        <f>IF(B44="","",C44-M44)</f>
        <v>0</v>
      </c>
      <c r="F44" s="233">
        <f>IF(B44="","",SUMIFS(Input_APM!N:N,Input_APM!M:M,Check!$F$1,Input_APM!L:L,Check!B44))</f>
        <v>-141</v>
      </c>
      <c r="G44" s="233">
        <f>IF(B44="","",SUMIFS(Input_APM!N:N,Input_APM!M:M,Check!$G$1,Input_APM!L:L,Check!B44))</f>
        <v>0</v>
      </c>
      <c r="H44" s="217">
        <f t="shared" si="0"/>
        <v>-141</v>
      </c>
      <c r="I44" s="217">
        <f>SUMIFS(Input_APM!N:N,Input_APM!L:L,Check!B44)</f>
        <v>-141</v>
      </c>
      <c r="J44" s="219">
        <f t="shared" si="3"/>
        <v>0</v>
      </c>
      <c r="K44" s="22">
        <f>IF(B44="","",SUMIFS('Input_APM (Zenith)'!N:N,'Input_APM (Zenith)'!L:L,Check!B44,'Input_APM (Zenith)'!M:M,Check!$F$1))</f>
        <v>-9</v>
      </c>
      <c r="L44" s="22">
        <f>IF(B44="","",SUMIFS('Input_APM (Zenith)'!N:N,'Input_APM (Zenith)'!L:L,Check!B44,'Input_APM (Zenith)'!M:M,Check!$G$1))</f>
        <v>0</v>
      </c>
      <c r="M44" s="217">
        <f t="shared" si="4"/>
        <v>-150</v>
      </c>
      <c r="O44" t="s">
        <v>138</v>
      </c>
      <c r="P44" s="217">
        <f>IF(O44="","",IF(OR(LEFT(O44,4)="Cash",LEFT(O44,4)="Prov"),0,SUMIFS(Input_APM!N:N,Input_APM!L:L,Check!O44)))</f>
        <v>-46</v>
      </c>
      <c r="Q44" s="22">
        <f>IF(O44="","",IF(LEN(O44)&gt;9,SUMIFS(Options!$H$3:$H$25,Options!$B$3:$B$25,Check!O44),SUMIFS('Master P&amp;L'!$H$11:$H$101,'Master P&amp;L'!$B$11:$B$101,Check!O44)))</f>
        <v>-49</v>
      </c>
      <c r="R44" s="217">
        <f t="shared" si="1"/>
        <v>3</v>
      </c>
      <c r="S44" s="361">
        <f t="shared" si="2"/>
        <v>0.93877551020408168</v>
      </c>
      <c r="V44" s="13"/>
    </row>
    <row r="45" spans="1:22">
      <c r="B45" t="s">
        <v>2340</v>
      </c>
      <c r="C45" s="233">
        <f>IF(B45="","",IF(LEN(B45)&gt;9,SUMIFS(Options!$H$3:$H$25,Options!$B$3:$B$25,Check!B45),SUMIFS('Master P&amp;L'!$H$11:$H$101,'Master P&amp;L'!$B$11:$B$101,Check!B45)))</f>
        <v>250</v>
      </c>
      <c r="D45" s="233">
        <f>IF(B45="","",SUMIFS(Input_APM!N:N,Input_APM!L:L,Check!B45,Input_APM!M:M,Check!$F$1))</f>
        <v>237</v>
      </c>
      <c r="E45" s="217">
        <f t="shared" si="5"/>
        <v>0</v>
      </c>
      <c r="F45" s="233">
        <f>IF(B45="","",SUMIFS(Input_APM!N:N,Input_APM!M:M,Check!$F$1,Input_APM!L:L,Check!B45))</f>
        <v>237</v>
      </c>
      <c r="G45" s="233">
        <f>IF(B45="","",SUMIFS(Input_APM!N:N,Input_APM!M:M,Check!$G$1,Input_APM!L:L,Check!B45))</f>
        <v>0</v>
      </c>
      <c r="H45" s="217">
        <f t="shared" si="0"/>
        <v>237</v>
      </c>
      <c r="I45" s="217">
        <f>SUMIFS(Input_APM!N:N,Input_APM!L:L,Check!B45)</f>
        <v>237</v>
      </c>
      <c r="J45" s="219">
        <f t="shared" si="3"/>
        <v>0</v>
      </c>
      <c r="K45" s="22">
        <f>IF(B45="","",SUMIFS('Input_APM (Zenith)'!N:N,'Input_APM (Zenith)'!L:L,Check!B45,'Input_APM (Zenith)'!M:M,Check!$F$1))</f>
        <v>13</v>
      </c>
      <c r="L45" s="22">
        <f>IF(B45="","",SUMIFS('Input_APM (Zenith)'!N:N,'Input_APM (Zenith)'!L:L,Check!B45,'Input_APM (Zenith)'!M:M,Check!$G$1))</f>
        <v>0</v>
      </c>
      <c r="M45" s="217">
        <f t="shared" si="4"/>
        <v>250</v>
      </c>
      <c r="O45" t="s">
        <v>2278</v>
      </c>
      <c r="P45" s="217">
        <f>IF(O45="","",IF(OR(LEFT(O45,4)="Cash",LEFT(O45,4)="Prov"),0,SUMIFS(Input_APM!N:N,Input_APM!L:L,Check!O45)))</f>
        <v>-141</v>
      </c>
      <c r="Q45" s="22">
        <f>IF(O45="","",IF(LEN(O45)&gt;9,SUMIFS(Options!$H$3:$H$25,Options!$B$3:$B$25,Check!O45),SUMIFS('Master P&amp;L'!$H$11:$H$101,'Master P&amp;L'!$B$11:$B$101,Check!O45)))</f>
        <v>-150</v>
      </c>
      <c r="R45" s="217">
        <f t="shared" si="1"/>
        <v>9</v>
      </c>
      <c r="S45" s="361">
        <f t="shared" si="2"/>
        <v>0.94</v>
      </c>
      <c r="V45" s="13"/>
    </row>
    <row r="46" spans="1:22">
      <c r="B46" t="s">
        <v>2339</v>
      </c>
      <c r="C46" s="233">
        <f>IF(B46="","",IF(LEN(B46)&gt;9,SUMIFS(Options!$H$3:$H$25,Options!$B$3:$B$25,Check!B46),SUMIFS('Master P&amp;L'!$H$11:$H$101,'Master P&amp;L'!$B$11:$B$101,Check!B46)))</f>
        <v>-150</v>
      </c>
      <c r="D46" s="233">
        <f>IF(B46="","",SUMIFS(Input_APM!N:N,Input_APM!L:L,Check!B46,Input_APM!M:M,Check!$F$1))</f>
        <v>-141</v>
      </c>
      <c r="E46" s="219">
        <f t="shared" si="5"/>
        <v>0</v>
      </c>
      <c r="F46" s="233">
        <f>IF(B46="","",SUMIFS(Input_APM!N:N,Input_APM!M:M,Check!$F$1,Input_APM!L:L,Check!B46))</f>
        <v>-141</v>
      </c>
      <c r="G46" s="233">
        <f>IF(B46="","",SUMIFS(Input_APM!N:N,Input_APM!M:M,Check!$G$1,Input_APM!L:L,Check!B46))</f>
        <v>0</v>
      </c>
      <c r="H46" s="217">
        <f t="shared" si="0"/>
        <v>-141</v>
      </c>
      <c r="I46" s="217">
        <f>SUMIFS(Input_APM!N:N,Input_APM!L:L,Check!B46)</f>
        <v>-141</v>
      </c>
      <c r="J46" s="219">
        <f t="shared" si="3"/>
        <v>0</v>
      </c>
      <c r="K46" s="22">
        <f>IF(B46="","",SUMIFS('Input_APM (Zenith)'!N:N,'Input_APM (Zenith)'!L:L,Check!B46,'Input_APM (Zenith)'!M:M,Check!$F$1))</f>
        <v>-9</v>
      </c>
      <c r="L46" s="22">
        <f>IF(B46="","",SUMIFS('Input_APM (Zenith)'!N:N,'Input_APM (Zenith)'!L:L,Check!B46,'Input_APM (Zenith)'!M:M,Check!$G$1))</f>
        <v>0</v>
      </c>
      <c r="M46" s="217">
        <f t="shared" si="4"/>
        <v>-150</v>
      </c>
      <c r="O46" t="s">
        <v>2098</v>
      </c>
      <c r="P46" s="217">
        <f>IF(O46="","",IF(OR(LEFT(O46,4)="Cash",LEFT(O46,4)="Prov"),0,SUMIFS(Input_APM!N:N,Input_APM!L:L,Check!O46)))</f>
        <v>-188</v>
      </c>
      <c r="Q46" s="22">
        <f>IF(O46="","",IF(LEN(O46)&gt;9,SUMIFS(Options!$H$3:$H$25,Options!$B$3:$B$25,Check!O46),SUMIFS('Master P&amp;L'!$H$11:$H$101,'Master P&amp;L'!$B$11:$B$101,Check!O46)))</f>
        <v>-200</v>
      </c>
      <c r="R46" s="217">
        <f t="shared" si="1"/>
        <v>12</v>
      </c>
      <c r="S46" s="361">
        <f t="shared" si="2"/>
        <v>0.94</v>
      </c>
      <c r="V46" s="13"/>
    </row>
    <row r="47" spans="1:22">
      <c r="B47" t="s">
        <v>2228</v>
      </c>
      <c r="C47" s="233">
        <f>IF(B47="","",IF(LEN(B47)&gt;9,SUMIFS(Options!$H$3:$H$25,Options!$B$3:$B$25,Check!B47),SUMIFS('Master P&amp;L'!$H$11:$H$101,'Master P&amp;L'!$B$11:$B$101,Check!B47)))</f>
        <v>1550</v>
      </c>
      <c r="D47" s="233">
        <f>IF(B47="","",SUMIFS(Input_APM!N:N,Input_APM!L:L,Check!B47,Input_APM!M:M,Check!$F$1))</f>
        <v>1453</v>
      </c>
      <c r="E47" s="219">
        <f t="shared" si="5"/>
        <v>0</v>
      </c>
      <c r="F47" s="233">
        <f>IF(B47="","",SUMIFS(Input_APM!N:N,Input_APM!M:M,Check!$F$1,Input_APM!L:L,Check!B47))</f>
        <v>1453</v>
      </c>
      <c r="G47" s="233">
        <f>IF(B47="","",SUMIFS(Input_APM!N:N,Input_APM!M:M,Check!$G$1,Input_APM!L:L,Check!B47))</f>
        <v>0</v>
      </c>
      <c r="H47" s="217">
        <f t="shared" si="0"/>
        <v>1453</v>
      </c>
      <c r="I47" s="217">
        <f>SUMIFS(Input_APM!N:N,Input_APM!L:L,Check!B47)</f>
        <v>1453</v>
      </c>
      <c r="J47" s="219">
        <f t="shared" si="3"/>
        <v>0</v>
      </c>
      <c r="K47" s="22">
        <f>IF(B47="","",SUMIFS('Input_APM (Zenith)'!N:N,'Input_APM (Zenith)'!L:L,Check!B47,'Input_APM (Zenith)'!M:M,Check!$F$1))</f>
        <v>97</v>
      </c>
      <c r="L47" s="22">
        <f>IF(B47="","",SUMIFS('Input_APM (Zenith)'!N:N,'Input_APM (Zenith)'!L:L,Check!B47,'Input_APM (Zenith)'!M:M,Check!$G$1))</f>
        <v>0</v>
      </c>
      <c r="M47" s="217">
        <f t="shared" si="4"/>
        <v>1550</v>
      </c>
      <c r="O47" t="s">
        <v>2058</v>
      </c>
      <c r="P47" s="217">
        <f>IF(O47="","",IF(OR(LEFT(O47,4)="Cash",LEFT(O47,4)="Prov"),0,SUMIFS(Input_APM!N:N,Input_APM!L:L,Check!O47)))</f>
        <v>141</v>
      </c>
      <c r="Q47" s="22">
        <f>IF(O47="","",IF(LEN(O47)&gt;9,SUMIFS(Options!$H$3:$H$25,Options!$B$3:$B$25,Check!O47),SUMIFS('Master P&amp;L'!$H$11:$H$101,'Master P&amp;L'!$B$11:$B$101,Check!O47)))</f>
        <v>150</v>
      </c>
      <c r="R47" s="217">
        <f t="shared" si="1"/>
        <v>-9</v>
      </c>
      <c r="S47" s="361">
        <f t="shared" si="2"/>
        <v>0.94</v>
      </c>
    </row>
    <row r="48" spans="1:22">
      <c r="B48" t="s">
        <v>2229</v>
      </c>
      <c r="C48" s="233">
        <f>IF(B48="","",IF(LEN(B48)&gt;9,SUMIFS(Options!$H$3:$H$25,Options!$B$3:$B$25,Check!B48),SUMIFS('Master P&amp;L'!$H$11:$H$101,'Master P&amp;L'!$B$11:$B$101,Check!B48)))</f>
        <v>-1382</v>
      </c>
      <c r="D48" s="233">
        <f>IF(B48="","",SUMIFS(Input_APM!N:N,Input_APM!L:L,Check!B48,Input_APM!M:M,Check!$F$1))</f>
        <v>-1312</v>
      </c>
      <c r="E48" s="219">
        <f t="shared" si="5"/>
        <v>18</v>
      </c>
      <c r="F48" s="233">
        <f>IF(B48="","",SUMIFS(Input_APM!N:N,Input_APM!M:M,Check!$F$1,Input_APM!L:L,Check!B48))</f>
        <v>-1312</v>
      </c>
      <c r="G48" s="233">
        <f>IF(B48="","",SUMIFS(Input_APM!N:N,Input_APM!M:M,Check!$G$1,Input_APM!L:L,Check!B48))</f>
        <v>0</v>
      </c>
      <c r="H48" s="217">
        <f t="shared" si="0"/>
        <v>-1312</v>
      </c>
      <c r="I48" s="217">
        <f>SUMIFS(Input_APM!N:N,Input_APM!L:L,Check!B48)</f>
        <v>-1312</v>
      </c>
      <c r="J48" s="219">
        <f t="shared" si="3"/>
        <v>0</v>
      </c>
      <c r="K48" s="22">
        <f>IF(B48="","",SUMIFS('Input_APM (Zenith)'!N:N,'Input_APM (Zenith)'!L:L,Check!B48,'Input_APM (Zenith)'!M:M,Check!$F$1))</f>
        <v>-88</v>
      </c>
      <c r="L48" s="22">
        <f>IF(B48="","",SUMIFS('Input_APM (Zenith)'!N:N,'Input_APM (Zenith)'!L:L,Check!B48,'Input_APM (Zenith)'!M:M,Check!$G$1))</f>
        <v>0</v>
      </c>
      <c r="M48" s="217">
        <f t="shared" si="4"/>
        <v>-1400</v>
      </c>
      <c r="O48" t="s">
        <v>2097</v>
      </c>
      <c r="P48" s="217">
        <f>IF(O48="","",IF(OR(LEFT(O48,4)="Cash",LEFT(O48,4)="Prov"),0,SUMIFS(Input_APM!N:N,Input_APM!L:L,Check!O48)))</f>
        <v>186</v>
      </c>
      <c r="Q48" s="22">
        <f>IF(O48="","",IF(LEN(O48)&gt;9,SUMIFS(Options!$H$3:$H$25,Options!$B$3:$B$25,Check!O48),SUMIFS('Master P&amp;L'!$H$11:$H$101,'Master P&amp;L'!$B$11:$B$101,Check!O48)))</f>
        <v>200</v>
      </c>
      <c r="R48" s="217">
        <f t="shared" si="1"/>
        <v>-14</v>
      </c>
      <c r="S48" s="361">
        <f t="shared" si="2"/>
        <v>0.93</v>
      </c>
    </row>
    <row r="49" spans="1:19">
      <c r="B49"/>
      <c r="C49" s="233" t="str">
        <f>IF(B49="","",IF(LEN(B49)&gt;9,SUMIFS(Options!$H$3:$H$25,Options!$B$3:$B$25,Check!B49),SUMIFS('Master P&amp;L'!$H$11:$H$101,'Master P&amp;L'!$B$11:$B$101,Check!B49)))</f>
        <v/>
      </c>
      <c r="D49" s="233" t="str">
        <f>IF(B49="","",SUMIFS(Input_APM!N:N,Input_APM!L:L,Check!B49,Input_APM!M:M,Check!$F$1))</f>
        <v/>
      </c>
      <c r="E49" s="219" t="str">
        <f t="shared" si="5"/>
        <v/>
      </c>
      <c r="F49" s="233" t="str">
        <f>IF(B49="","",SUMIFS(Input_APM!N:N,Input_APM!M:M,Check!$F$1,Input_APM!L:L,Check!B49))</f>
        <v/>
      </c>
      <c r="G49" s="233" t="str">
        <f>IF(B49="","",SUMIFS(Input_APM!N:N,Input_APM!M:M,Check!$G$1,Input_APM!L:L,Check!B49))</f>
        <v/>
      </c>
      <c r="H49" s="217" t="str">
        <f t="shared" si="0"/>
        <v/>
      </c>
      <c r="I49" s="217">
        <f>SUMIFS(Input_APM!N:N,Input_APM!L:L,Check!B49)</f>
        <v>0</v>
      </c>
      <c r="J49" s="219" t="str">
        <f t="shared" si="3"/>
        <v/>
      </c>
      <c r="K49" s="22" t="str">
        <f>IF(B49="","",SUMIFS('Input_APM (Zenith)'!N:N,'Input_APM (Zenith)'!L:L,Check!B49,'Input_APM (Zenith)'!M:M,Check!$F$1))</f>
        <v/>
      </c>
      <c r="L49" s="22" t="str">
        <f>IF(B49="","",SUMIFS('Input_APM (Zenith)'!N:N,'Input_APM (Zenith)'!L:L,Check!B49,'Input_APM (Zenith)'!M:M,Check!$G$1))</f>
        <v/>
      </c>
      <c r="M49" s="217" t="str">
        <f t="shared" si="4"/>
        <v/>
      </c>
      <c r="O49" t="s">
        <v>90</v>
      </c>
      <c r="P49" s="217">
        <f>IF(O49="","",IF(OR(LEFT(O49,4)="Cash",LEFT(O49,4)="Prov"),0,SUMIFS(Input_APM!N:N,Input_APM!L:L,Check!O49)))</f>
        <v>-955</v>
      </c>
      <c r="Q49" s="22">
        <f>IF(O49="","",IF(LEN(O49)&gt;9,SUMIFS(Options!$H$3:$H$25,Options!$B$3:$B$25,Check!O49),SUMIFS('Master P&amp;L'!$H$11:$H$101,'Master P&amp;L'!$B$11:$B$101,Check!O49)))</f>
        <v>0</v>
      </c>
      <c r="R49" s="217">
        <f t="shared" si="1"/>
        <v>-955</v>
      </c>
      <c r="S49" s="361" t="str">
        <f t="shared" si="2"/>
        <v>Erro</v>
      </c>
    </row>
    <row r="50" spans="1:19">
      <c r="A50" t="s">
        <v>1770</v>
      </c>
      <c r="B50"/>
      <c r="C50" s="233" t="str">
        <f>IF(B50="","",IF(LEN(B50)&gt;9,SUMIFS(Options!$H$3:$H$25,Options!$B$3:$B$25,Check!B50),SUMIFS('Master P&amp;L'!$H$11:$H$101,'Master P&amp;L'!$B$11:$B$101,Check!B50)))</f>
        <v/>
      </c>
      <c r="D50" s="233" t="str">
        <f>IF(B50="","",SUMIFS(Input_APM!N:N,Input_APM!L:L,Check!B50,Input_APM!M:M,Check!$F$1))</f>
        <v/>
      </c>
      <c r="E50" s="219" t="str">
        <f t="shared" si="5"/>
        <v/>
      </c>
      <c r="F50" s="233" t="str">
        <f>IF(B50="","",SUMIFS(Input_APM!N:N,Input_APM!M:M,Check!$F$1,Input_APM!L:L,Check!B50))</f>
        <v/>
      </c>
      <c r="G50" s="233" t="str">
        <f>IF(B50="","",SUMIFS(Input_APM!N:N,Input_APM!M:M,Check!$G$1,Input_APM!L:L,Check!B50))</f>
        <v/>
      </c>
      <c r="H50" s="217" t="str">
        <f t="shared" si="0"/>
        <v/>
      </c>
      <c r="I50" s="217">
        <f>SUMIFS(Input_APM!N:N,Input_APM!L:L,Check!B50)</f>
        <v>0</v>
      </c>
      <c r="J50" s="219" t="str">
        <f t="shared" si="3"/>
        <v/>
      </c>
      <c r="K50" s="22" t="str">
        <f>IF(B50="","",SUMIFS('Input_APM (Zenith)'!N:N,'Input_APM (Zenith)'!L:L,Check!B50,'Input_APM (Zenith)'!M:M,Check!$F$1))</f>
        <v/>
      </c>
      <c r="L50" s="22" t="str">
        <f>IF(B50="","",SUMIFS('Input_APM (Zenith)'!N:N,'Input_APM (Zenith)'!L:L,Check!B50,'Input_APM (Zenith)'!M:M,Check!$G$1))</f>
        <v/>
      </c>
      <c r="M50" s="217" t="str">
        <f t="shared" si="4"/>
        <v/>
      </c>
      <c r="O50" t="s">
        <v>2049</v>
      </c>
      <c r="P50" s="217">
        <f>IF(O50="","",IF(OR(LEFT(O50,4)="Cash",LEFT(O50,4)="Prov"),0,SUMIFS(Input_APM!N:N,Input_APM!L:L,Check!O50)))</f>
        <v>0</v>
      </c>
      <c r="Q50" s="22">
        <f>IF(O50="","",IF(LEN(O50)&gt;9,SUMIFS(Options!$H$3:$H$25,Options!$B$3:$B$25,Check!O50),SUMIFS('Master P&amp;L'!$H$11:$H$101,'Master P&amp;L'!$B$11:$B$101,Check!O50)))</f>
        <v>0</v>
      </c>
      <c r="R50" s="217">
        <f t="shared" si="1"/>
        <v>0</v>
      </c>
      <c r="S50" s="361" t="str">
        <f t="shared" si="2"/>
        <v>Ok</v>
      </c>
    </row>
    <row r="51" spans="1:19">
      <c r="B51"/>
      <c r="C51" s="233" t="str">
        <f>IF(B51="","",IF(LEN(B51)&gt;9,SUMIFS(Options!$H$3:$H$25,Options!$B$3:$B$25,Check!B51),SUMIFS('Master P&amp;L'!$H$11:$H$101,'Master P&amp;L'!$B$11:$B$101,Check!B51)))</f>
        <v/>
      </c>
      <c r="D51" s="233" t="str">
        <f>IF(B51="","",SUMIFS(Input_APM!N:N,Input_APM!L:L,Check!B51,Input_APM!M:M,Check!$F$1))</f>
        <v/>
      </c>
      <c r="E51" s="219" t="str">
        <f t="shared" si="5"/>
        <v/>
      </c>
      <c r="F51" s="233" t="str">
        <f>IF(B51="","",SUMIFS(Input_APM!N:N,Input_APM!M:M,Check!$F$1,Input_APM!L:L,Check!B51))</f>
        <v/>
      </c>
      <c r="G51" s="233" t="str">
        <f>IF(B51="","",SUMIFS(Input_APM!N:N,Input_APM!M:M,Check!$G$1,Input_APM!L:L,Check!B51))</f>
        <v/>
      </c>
      <c r="H51" s="217" t="str">
        <f t="shared" si="0"/>
        <v/>
      </c>
      <c r="I51" s="217">
        <f>SUMIFS(Input_APM!N:N,Input_APM!L:L,Check!B51)</f>
        <v>0</v>
      </c>
      <c r="J51" s="219" t="str">
        <f t="shared" si="3"/>
        <v/>
      </c>
      <c r="K51" s="22" t="str">
        <f>IF(B51="","",SUMIFS('Input_APM (Zenith)'!N:N,'Input_APM (Zenith)'!L:L,Check!B51,'Input_APM (Zenith)'!M:M,Check!$F$1))</f>
        <v/>
      </c>
      <c r="L51" s="22" t="str">
        <f>IF(B51="","",SUMIFS('Input_APM (Zenith)'!N:N,'Input_APM (Zenith)'!L:L,Check!B51,'Input_APM (Zenith)'!M:M,Check!$G$1))</f>
        <v/>
      </c>
      <c r="M51" s="217" t="str">
        <f t="shared" si="4"/>
        <v/>
      </c>
      <c r="O51" t="s">
        <v>2300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IF(O51="","",IF(LEN(O51)&gt;9,SUMIFS(Options!$H$3:$H$25,Options!$B$3:$B$25,Check!O51),SUMIFS('Master P&amp;L'!$H$11:$H$101,'Master P&amp;L'!$B$11:$B$101,Check!O51)))</f>
        <v>0</v>
      </c>
      <c r="R51" s="217">
        <f t="shared" si="1"/>
        <v>0</v>
      </c>
      <c r="S51" s="361" t="str">
        <f t="shared" si="2"/>
        <v>Ok</v>
      </c>
    </row>
    <row r="52" spans="1:19">
      <c r="B52"/>
      <c r="C52" s="233" t="str">
        <f>IF(B52="","",IF(LEN(B52)&gt;9,SUMIFS(Options!$H$3:$H$25,Options!$B$3:$B$25,Check!B52),SUMIFS('Master P&amp;L'!$H$11:$H$101,'Master P&amp;L'!$B$11:$B$101,Check!B52)))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2342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IF(O52="","",IF(LEN(O52)&gt;9,SUMIFS(Options!$H$3:$H$25,Options!$B$3:$B$25,Check!O52),SUMIFS('Master P&amp;L'!$H$11:$H$101,'Master P&amp;L'!$B$11:$B$101,Check!O52)))</f>
        <v>0</v>
      </c>
      <c r="R52" s="217">
        <f t="shared" si="1"/>
        <v>0</v>
      </c>
      <c r="S52" s="361" t="str">
        <f t="shared" si="2"/>
        <v>Ok</v>
      </c>
    </row>
    <row r="53" spans="1:19">
      <c r="B53"/>
      <c r="C53" s="233" t="str">
        <f>IF(B53="","",IF(LEN(B53)&gt;9,SUMIFS(Options!$H$3:$H$25,Options!$B$3:$B$25,Check!B53),SUMIFS('Master P&amp;L'!$H$11:$H$101,'Master P&amp;L'!$B$11:$B$101,Check!B53)))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94</v>
      </c>
      <c r="P53" s="217">
        <f>IF(O53="","",IF(OR(LEFT(O53,4)="Cash",LEFT(O53,4)="Prov"),0,SUMIFS(Input_APM!N:N,Input_APM!L:L,Check!O53)))</f>
        <v>12598</v>
      </c>
      <c r="Q53" s="22">
        <f>IF(O53="","",IF(LEN(O53)&gt;9,SUMIFS(Options!$H$3:$H$25,Options!$B$3:$B$25,Check!O53),SUMIFS('Master P&amp;L'!$H$11:$H$101,'Master P&amp;L'!$B$11:$B$101,Check!O53)))</f>
        <v>13508</v>
      </c>
      <c r="R53" s="217">
        <f t="shared" si="1"/>
        <v>-910</v>
      </c>
      <c r="S53" s="361">
        <f t="shared" si="2"/>
        <v>0.93263251406573877</v>
      </c>
    </row>
    <row r="54" spans="1:19">
      <c r="B54"/>
      <c r="C54" s="233" t="str">
        <f>IF(B54="","",IF(LEN(B54)&gt;9,SUMIFS(Options!$H$3:$H$25,Options!$B$3:$B$25,Check!B54),SUMIFS('Master P&amp;L'!$H$11:$H$101,'Master P&amp;L'!$B$11:$B$101,Check!B54)))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2302</v>
      </c>
      <c r="P54" s="217">
        <f>IF(O54="","",IF(OR(LEFT(O54,4)="Cash",LEFT(O54,4)="Prov"),0,SUMIFS(Input_APM!N:N,Input_APM!L:L,Check!O54)))</f>
        <v>0</v>
      </c>
      <c r="Q54" s="22">
        <f>IF(O54="","",IF(LEN(O54)&gt;9,SUMIFS(Options!$H$3:$H$25,Options!$B$3:$B$25,Check!O54),SUMIFS('Master P&amp;L'!$H$11:$H$101,'Master P&amp;L'!$B$11:$B$101,Check!O54)))</f>
        <v>0</v>
      </c>
      <c r="R54" s="217">
        <f t="shared" si="1"/>
        <v>0</v>
      </c>
      <c r="S54" s="361" t="str">
        <f t="shared" si="2"/>
        <v>Ok</v>
      </c>
    </row>
    <row r="55" spans="1:19">
      <c r="B55"/>
      <c r="C55" s="233" t="str">
        <f>IF(B55="","",IF(LEN(B55)&gt;9,SUMIFS(Options!$H$3:$H$25,Options!$B$3:$B$25,Check!B55),SUMIFS('Master P&amp;L'!$H$11:$H$101,'Master P&amp;L'!$B$11:$B$101,Check!B55)))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336</v>
      </c>
      <c r="P55" s="217">
        <f>IF(O55="","",IF(OR(LEFT(O55,4)="Cash",LEFT(O55,4)="Prov"),0,SUMIFS(Input_APM!N:N,Input_APM!L:L,Check!O55)))</f>
        <v>0</v>
      </c>
      <c r="Q55" s="22">
        <f>IF(O55="","",IF(LEN(O55)&gt;9,SUMIFS(Options!$H$3:$H$25,Options!$B$3:$B$25,Check!O55),SUMIFS('Master P&amp;L'!$H$11:$H$101,'Master P&amp;L'!$B$11:$B$101,Check!O55)))</f>
        <v>0</v>
      </c>
      <c r="R55" s="217">
        <f t="shared" si="1"/>
        <v>0</v>
      </c>
      <c r="S55" s="361" t="str">
        <f t="shared" si="2"/>
        <v>Ok</v>
      </c>
    </row>
    <row r="56" spans="1:19">
      <c r="B56"/>
      <c r="C56" s="233" t="str">
        <f>IF(B56="","",IF(LEN(B56)&gt;9,SUMIFS(Options!$H$3:$H$25,Options!$B$3:$B$25,Check!B56),SUMIFS('Master P&amp;L'!$H$11:$H$101,'Master P&amp;L'!$B$11:$B$101,Check!B56)))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306</v>
      </c>
      <c r="P56" s="217">
        <f>IF(O56="","",IF(OR(LEFT(O56,4)="Cash",LEFT(O56,4)="Prov"),0,SUMIFS(Input_APM!N:N,Input_APM!L:L,Check!O56)))</f>
        <v>0</v>
      </c>
      <c r="Q56" s="22">
        <f>IF(O56="","",IF(LEN(O56)&gt;9,SUMIFS(Options!$H$3:$H$25,Options!$B$3:$B$25,Check!O56),SUMIFS('Master P&amp;L'!$H$11:$H$101,'Master P&amp;L'!$B$11:$B$101,Check!O56)))</f>
        <v>0</v>
      </c>
      <c r="R56" s="217">
        <f t="shared" si="1"/>
        <v>0</v>
      </c>
      <c r="S56" s="361" t="str">
        <f t="shared" si="2"/>
        <v>Ok</v>
      </c>
    </row>
    <row r="57" spans="1:19">
      <c r="B57"/>
      <c r="C57" s="233" t="str">
        <f>IF(B57="","",IF(LEN(B57)&gt;9,SUMIFS(Options!$H$3:$H$25,Options!$B$3:$B$25,Check!B57),SUMIFS('Master P&amp;L'!$H$11:$H$101,'Master P&amp;L'!$B$11:$B$101,Check!B57)))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2337</v>
      </c>
      <c r="P57" s="217">
        <f>IF(O57="","",IF(OR(LEFT(O57,4)="Cash",LEFT(O57,4)="Prov"),0,SUMIFS(Input_APM!N:N,Input_APM!L:L,Check!O57)))</f>
        <v>0</v>
      </c>
      <c r="Q57" s="22">
        <f>IF(O57="","",IF(LEN(O57)&gt;9,SUMIFS(Options!$H$3:$H$25,Options!$B$3:$B$25,Check!O57),SUMIFS('Master P&amp;L'!$H$11:$H$101,'Master P&amp;L'!$B$11:$B$101,Check!O57)))</f>
        <v>0</v>
      </c>
      <c r="R57" s="217">
        <f t="shared" si="1"/>
        <v>0</v>
      </c>
      <c r="S57" s="361" t="str">
        <f t="shared" si="2"/>
        <v>Ok</v>
      </c>
    </row>
    <row r="58" spans="1:19">
      <c r="B58"/>
      <c r="C58" s="233" t="str">
        <f>IF(B58="","",IF(LEN(B58)&gt;9,SUMIFS(Options!$H$3:$H$25,Options!$B$3:$B$25,Check!B58),SUMIFS('Master P&amp;L'!$H$11:$H$101,'Master P&amp;L'!$B$11:$B$101,Check!B58)))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337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IF(O58="","",IF(LEN(O58)&gt;9,SUMIFS(Options!$H$3:$H$25,Options!$B$3:$B$25,Check!O58),SUMIFS('Master P&amp;L'!$H$11:$H$101,'Master P&amp;L'!$B$11:$B$101,Check!O58)))</f>
        <v>0</v>
      </c>
      <c r="R58" s="217">
        <f t="shared" si="1"/>
        <v>0</v>
      </c>
      <c r="S58" s="361" t="str">
        <f t="shared" si="2"/>
        <v>Ok</v>
      </c>
    </row>
    <row r="59" spans="1:19">
      <c r="B59"/>
      <c r="C59" s="233" t="str">
        <f>IF(B59="","",IF(LEN(B59)&gt;9,SUMIFS(Options!$H$3:$H$25,Options!$B$3:$B$25,Check!B59),SUMIFS('Master P&amp;L'!$H$11:$H$101,'Master P&amp;L'!$B$11:$B$101,Check!B59)))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307</v>
      </c>
      <c r="P59" s="217">
        <f>IF(O59="","",IF(OR(LEFT(O59,4)="Cash",LEFT(O59,4)="Prov"),0,SUMIFS(Input_APM!N:N,Input_APM!L:L,Check!O59)))</f>
        <v>0</v>
      </c>
      <c r="Q59" s="22">
        <f>IF(O59="","",IF(LEN(O59)&gt;9,SUMIFS(Options!$H$3:$H$25,Options!$B$3:$B$25,Check!O59),SUMIFS('Master P&amp;L'!$H$11:$H$101,'Master P&amp;L'!$B$11:$B$101,Check!O59)))</f>
        <v>0</v>
      </c>
      <c r="R59" s="217">
        <f t="shared" si="1"/>
        <v>0</v>
      </c>
      <c r="S59" s="361" t="str">
        <f t="shared" si="2"/>
        <v>Ok</v>
      </c>
    </row>
    <row r="60" spans="1:19">
      <c r="B60"/>
      <c r="C60" s="233" t="str">
        <f>IF(B60="","",IF(LEN(B60)&gt;9,SUMIFS(Options!$H$3:$H$25,Options!$B$3:$B$25,Check!B60),SUMIFS('Master P&amp;L'!$H$11:$H$101,'Master P&amp;L'!$B$11:$B$101,Check!B60)))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2131</v>
      </c>
      <c r="P60" s="217">
        <f>IF(O60="","",IF(OR(LEFT(O60,4)="Cash",LEFT(O60,4)="Prov"),0,SUMIFS(Input_APM!N:N,Input_APM!L:L,Check!O60)))</f>
        <v>29572</v>
      </c>
      <c r="Q60" s="22">
        <f>IF(O60="","",IF(LEN(O60)&gt;9,SUMIFS(Options!$H$3:$H$25,Options!$B$3:$B$25,Check!O60),SUMIFS('Master P&amp;L'!$H$11:$H$101,'Master P&amp;L'!$B$11:$B$101,Check!O60)))</f>
        <v>31600</v>
      </c>
      <c r="R60" s="217">
        <f t="shared" si="1"/>
        <v>-2028</v>
      </c>
      <c r="S60" s="361">
        <f t="shared" si="2"/>
        <v>0.9358227848101266</v>
      </c>
    </row>
    <row r="61" spans="1:19">
      <c r="B61"/>
      <c r="C61" s="233" t="str">
        <f>IF(B61="","",IF(LEN(B61)&gt;9,SUMIFS(Options!$H$3:$H$25,Options!$B$3:$B$25,Check!B61),SUMIFS('Master P&amp;L'!$H$11:$H$101,'Master P&amp;L'!$B$11:$B$101,Check!B61)))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3</v>
      </c>
      <c r="P61" s="217">
        <f>IF(O61="","",IF(OR(LEFT(O61,4)="Cash",LEFT(O61,4)="Prov"),0,SUMIFS(Input_APM!N:N,Input_APM!L:L,Check!O61)))</f>
        <v>-12201</v>
      </c>
      <c r="Q61" s="22">
        <f>IF(O61="","",IF(LEN(O61)&gt;9,SUMIFS(Options!$H$3:$H$25,Options!$B$3:$B$25,Check!O61),SUMIFS('Master P&amp;L'!$H$11:$H$101,'Master P&amp;L'!$B$11:$B$101,Check!O61)))</f>
        <v>-22900</v>
      </c>
      <c r="R61" s="217">
        <f t="shared" si="1"/>
        <v>10699</v>
      </c>
      <c r="S61" s="361">
        <f t="shared" si="2"/>
        <v>0.53279475982532754</v>
      </c>
    </row>
    <row r="62" spans="1:19">
      <c r="B62"/>
      <c r="C62" s="233" t="str">
        <f>IF(B62="","",IF(LEN(B62)&gt;9,SUMIFS(Options!$H$3:$H$25,Options!$B$3:$B$25,Check!B62),SUMIFS('Master P&amp;L'!$H$11:$H$101,'Master P&amp;L'!$B$11:$B$101,Check!B62)))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2291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IF(O62="","",IF(LEN(O62)&gt;9,SUMIFS(Options!$H$3:$H$25,Options!$B$3:$B$25,Check!O62),SUMIFS('Master P&amp;L'!$H$11:$H$101,'Master P&amp;L'!$B$11:$B$101,Check!O62)))</f>
        <v>0</v>
      </c>
      <c r="R62" s="217">
        <f t="shared" si="1"/>
        <v>0</v>
      </c>
      <c r="S62" s="361" t="str">
        <f t="shared" si="2"/>
        <v>Ok</v>
      </c>
    </row>
    <row r="63" spans="1:19">
      <c r="B63"/>
      <c r="C63" s="233" t="str">
        <f>IF(B63="","",IF(LEN(B63)&gt;9,SUMIFS(Options!$H$3:$H$25,Options!$B$3:$B$25,Check!B63),SUMIFS('Master P&amp;L'!$H$11:$H$101,'Master P&amp;L'!$B$11:$B$101,Check!B63)))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2127</v>
      </c>
      <c r="P63" s="217">
        <f>IF(O63="","",IF(OR(LEFT(O63,4)="Cash",LEFT(O63,4)="Prov"),0,SUMIFS(Input_APM!N:N,Input_APM!L:L,Check!O63)))</f>
        <v>0</v>
      </c>
      <c r="Q63" s="22">
        <f>IF(O63="","",IF(LEN(O63)&gt;9,SUMIFS(Options!$H$3:$H$25,Options!$B$3:$B$25,Check!O63),SUMIFS('Master P&amp;L'!$H$11:$H$101,'Master P&amp;L'!$B$11:$B$101,Check!O63)))</f>
        <v>0</v>
      </c>
      <c r="R63" s="217">
        <f t="shared" si="1"/>
        <v>0</v>
      </c>
      <c r="S63" s="361" t="str">
        <f t="shared" si="2"/>
        <v>Ok</v>
      </c>
    </row>
    <row r="64" spans="1:19">
      <c r="B64"/>
      <c r="C64" s="233" t="str">
        <f>IF(B64="","",IF(LEN(B64)&gt;9,SUMIFS(Options!$H$3:$H$25,Options!$B$3:$B$25,Check!B64),SUMIFS('Master P&amp;L'!$H$11:$H$101,'Master P&amp;L'!$B$11:$B$101,Check!B64)))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2303</v>
      </c>
      <c r="P64" s="217">
        <f>IF(O64="","",IF(OR(LEFT(O64,4)="Cash",LEFT(O64,4)="Prov"),0,SUMIFS(Input_APM!N:N,Input_APM!L:L,Check!O64)))</f>
        <v>0</v>
      </c>
      <c r="Q64" s="22">
        <f>IF(O64="","",IF(LEN(O64)&gt;9,SUMIFS(Options!$H$3:$H$25,Options!$B$3:$B$25,Check!O64),SUMIFS('Master P&amp;L'!$H$11:$H$101,'Master P&amp;L'!$B$11:$B$101,Check!O64)))</f>
        <v>0</v>
      </c>
      <c r="R64" s="217">
        <f t="shared" si="1"/>
        <v>0</v>
      </c>
      <c r="S64" s="361" t="str">
        <f t="shared" si="2"/>
        <v>Ok</v>
      </c>
    </row>
    <row r="65" spans="2:19">
      <c r="B65"/>
      <c r="C65" s="233" t="str">
        <f>IF(B65="","",IF(LEN(B65)&gt;9,SUMIFS(Options!$H$3:$H$25,Options!$B$3:$B$25,Check!B65),SUMIFS('Master P&amp;L'!$H$11:$H$101,'Master P&amp;L'!$B$11:$B$101,Check!B65)))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1761</v>
      </c>
      <c r="P65" s="217">
        <f>IF(O65="","",IF(OR(LEFT(O65,4)="Cash",LEFT(O65,4)="Prov"),0,SUMIFS(Input_APM!N:N,Input_APM!L:L,Check!O65)))</f>
        <v>1400</v>
      </c>
      <c r="Q65" s="22">
        <f>IF(O65="","",IF(LEN(O65)&gt;9,SUMIFS(Options!$H$3:$H$25,Options!$B$3:$B$25,Check!O65),SUMIFS('Master P&amp;L'!$H$11:$H$101,'Master P&amp;L'!$B$11:$B$101,Check!O65)))</f>
        <v>0</v>
      </c>
      <c r="R65" s="217">
        <f t="shared" si="1"/>
        <v>1400</v>
      </c>
      <c r="S65" s="361" t="str">
        <f t="shared" si="2"/>
        <v>Erro</v>
      </c>
    </row>
    <row r="66" spans="2:19">
      <c r="B66"/>
      <c r="C66" s="233" t="str">
        <f>IF(B66="","",IF(LEN(B66)&gt;9,SUMIFS(Options!$H$3:$H$25,Options!$B$3:$B$25,Check!B66),SUMIFS('Master P&amp;L'!$H$11:$H$101,'Master P&amp;L'!$B$11:$B$101,Check!B66)))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2338</v>
      </c>
      <c r="P66" s="217">
        <f>IF(O66="","",IF(OR(LEFT(O66,4)="Cash",LEFT(O66,4)="Prov"),0,SUMIFS(Input_APM!N:N,Input_APM!L:L,Check!O66)))</f>
        <v>643</v>
      </c>
      <c r="Q66" s="22">
        <f>IF(O66="","",IF(LEN(O66)&gt;9,SUMIFS(Options!$H$3:$H$25,Options!$B$3:$B$25,Check!O66),SUMIFS('Master P&amp;L'!$H$11:$H$101,'Master P&amp;L'!$B$11:$B$101,Check!O66)))</f>
        <v>0</v>
      </c>
      <c r="R66" s="217">
        <f t="shared" si="1"/>
        <v>643</v>
      </c>
      <c r="S66" s="361" t="str">
        <f t="shared" si="2"/>
        <v>Erro</v>
      </c>
    </row>
    <row r="67" spans="2:19">
      <c r="B67"/>
      <c r="C67" s="233" t="str">
        <f>IF(B67="","",IF(LEN(B67)&gt;9,SUMIFS(Options!$H$3:$H$25,Options!$B$3:$B$25,Check!B67),SUMIFS('Master P&amp;L'!$H$11:$H$101,'Master P&amp;L'!$B$11:$B$101,Check!B67)))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96</v>
      </c>
      <c r="P67" s="217">
        <f>IF(O67="","",IF(OR(LEFT(O67,4)="Cash",LEFT(O67,4)="Prov"),0,SUMIFS(Input_APM!N:N,Input_APM!L:L,Check!O67)))</f>
        <v>2490</v>
      </c>
      <c r="Q67" s="22">
        <f>IF(O67="","",IF(LEN(O67)&gt;9,SUMIFS(Options!$H$3:$H$25,Options!$B$3:$B$25,Check!O67),SUMIFS('Master P&amp;L'!$H$11:$H$101,'Master P&amp;L'!$B$11:$B$101,Check!O67)))</f>
        <v>5198</v>
      </c>
      <c r="R67" s="217">
        <f t="shared" si="1"/>
        <v>-2708</v>
      </c>
      <c r="S67" s="361">
        <f t="shared" si="2"/>
        <v>0.47903039630627164</v>
      </c>
    </row>
    <row r="68" spans="2:19">
      <c r="B68"/>
      <c r="C68" s="233" t="str">
        <f>IF(B68="","",IF(LEN(B68)&gt;9,SUMIFS(Options!$H$3:$H$25,Options!$B$3:$B$25,Check!B68),SUMIFS('Master P&amp;L'!$H$11:$H$101,'Master P&amp;L'!$B$11:$B$101,Check!B68)))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2228</v>
      </c>
      <c r="P68" s="217">
        <f>IF(O68="","",IF(OR(LEFT(O68,4)="Cash",LEFT(O68,4)="Prov"),0,SUMIFS(Input_APM!N:N,Input_APM!L:L,Check!O68)))</f>
        <v>1453</v>
      </c>
      <c r="Q68" s="22">
        <f>IF(O68="","",IF(LEN(O68)&gt;9,SUMIFS(Options!$H$3:$H$25,Options!$B$3:$B$25,Check!O68),SUMIFS('Master P&amp;L'!$H$11:$H$101,'Master P&amp;L'!$B$11:$B$101,Check!O68)))</f>
        <v>1550</v>
      </c>
      <c r="R68" s="217">
        <f t="shared" si="1"/>
        <v>-97</v>
      </c>
      <c r="S68" s="361">
        <f t="shared" si="2"/>
        <v>0.93741935483870964</v>
      </c>
    </row>
    <row r="69" spans="2:19">
      <c r="B69"/>
      <c r="C69" s="233" t="str">
        <f>IF(B69="","",IF(LEN(B69)&gt;9,SUMIFS(Options!$H$3:$H$25,Options!$B$3:$B$25,Check!B69),SUMIFS('Master P&amp;L'!$H$11:$H$101,'Master P&amp;L'!$B$11:$B$101,Check!B69)))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2229</v>
      </c>
      <c r="P69" s="217">
        <f>IF(O69="","",IF(OR(LEFT(O69,4)="Cash",LEFT(O69,4)="Prov"),0,SUMIFS(Input_APM!N:N,Input_APM!L:L,Check!O69)))</f>
        <v>-1312</v>
      </c>
      <c r="Q69" s="22">
        <f>IF(O69="","",IF(LEN(O69)&gt;9,SUMIFS(Options!$H$3:$H$25,Options!$B$3:$B$25,Check!O69),SUMIFS('Master P&amp;L'!$H$11:$H$101,'Master P&amp;L'!$B$11:$B$101,Check!O69)))</f>
        <v>-1382</v>
      </c>
      <c r="R69" s="217">
        <f t="shared" si="1"/>
        <v>70</v>
      </c>
      <c r="S69" s="361">
        <f t="shared" si="2"/>
        <v>0.94934876989869754</v>
      </c>
    </row>
    <row r="70" spans="2:19">
      <c r="B70"/>
      <c r="C70" s="233" t="str">
        <f>IF(B70="","",IF(LEN(B70)&gt;9,SUMIFS(Options!$H$3:$H$25,Options!$B$3:$B$25,Check!B70),SUMIFS('Master P&amp;L'!$H$11:$H$101,'Master P&amp;L'!$B$11:$B$101,Check!B70)))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88</v>
      </c>
      <c r="P70" s="217">
        <f>IF(O70="","",IF(OR(LEFT(O70,4)="Cash",LEFT(O70,4)="Prov"),0,SUMIFS(Input_APM!N:N,Input_APM!L:L,Check!O70)))</f>
        <v>42865</v>
      </c>
      <c r="Q70" s="22">
        <f>IF(O70="","",IF(LEN(O70)&gt;9,SUMIFS(Options!$H$3:$H$25,Options!$B$3:$B$25,Check!O70),SUMIFS('Master P&amp;L'!$H$11:$H$101,'Master P&amp;L'!$B$11:$B$101,Check!O70)))</f>
        <v>45750</v>
      </c>
      <c r="R70" s="217">
        <f t="shared" ref="R70:R99" si="10">IF(O70="","",P70-Q70)</f>
        <v>-2885</v>
      </c>
      <c r="S70" s="361">
        <f t="shared" ref="S70:S133" si="11">IF(O70="","",IF((P70+Q70)=0,"Ok",IF(OR(P70=0,Q70=0),"Erro",P70/Q70)))</f>
        <v>0.93693989071038253</v>
      </c>
    </row>
    <row r="71" spans="2:19">
      <c r="B71"/>
      <c r="C71" s="233" t="str">
        <f>IF(B71="","",IF(LEN(B71)&gt;9,SUMIFS(Options!$H$3:$H$25,Options!$B$3:$B$25,Check!B71),SUMIFS('Master P&amp;L'!$H$11:$H$101,'Master P&amp;L'!$B$11:$B$101,Check!B71)))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4</v>
      </c>
      <c r="P71" s="217">
        <f>IF(O71="","",IF(OR(LEFT(O71,4)="Cash",LEFT(O71,4)="Prov"),0,SUMIFS(Input_APM!N:N,Input_APM!L:L,Check!O71)))</f>
        <v>-25765</v>
      </c>
      <c r="Q71" s="22">
        <f>IF(O71="","",IF(LEN(O71)&gt;9,SUMIFS(Options!$H$3:$H$25,Options!$B$3:$B$25,Check!O71),SUMIFS('Master P&amp;L'!$H$11:$H$101,'Master P&amp;L'!$B$11:$B$101,Check!O71)))</f>
        <v>-27500</v>
      </c>
      <c r="R71" s="217">
        <f t="shared" si="10"/>
        <v>1735</v>
      </c>
      <c r="S71" s="361">
        <f t="shared" si="11"/>
        <v>0.93690909090909091</v>
      </c>
    </row>
    <row r="72" spans="2:19">
      <c r="B72"/>
      <c r="C72" s="233" t="str">
        <f>IF(B72="","",IF(LEN(B72)&gt;9,SUMIFS(Options!$H$3:$H$25,Options!$B$3:$B$25,Check!B72),SUMIFS('Master P&amp;L'!$H$11:$H$101,'Master P&amp;L'!$B$11:$B$101,Check!B72)))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311</v>
      </c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IF(O72="","",IF(LEN(O72)&gt;9,SUMIFS(Options!$H$3:$H$25,Options!$B$3:$B$25,Check!O72),SUMIFS('Master P&amp;L'!$H$11:$H$101,'Master P&amp;L'!$B$11:$B$101,Check!O72)))</f>
        <v/>
      </c>
      <c r="R72" s="217" t="str">
        <f t="shared" si="10"/>
        <v/>
      </c>
      <c r="S72" s="361" t="str">
        <f t="shared" si="11"/>
        <v/>
      </c>
    </row>
    <row r="73" spans="2:19">
      <c r="B73"/>
      <c r="C73" s="233" t="str">
        <f>IF(B73="","",IF(LEN(B73)&gt;9,SUMIFS(Options!$H$3:$H$25,Options!$B$3:$B$25,Check!B73),SUMIFS('Master P&amp;L'!$H$11:$H$101,'Master P&amp;L'!$B$11:$B$101,Check!B73)))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IF(O73="","",IF(LEN(O73)&gt;9,SUMIFS(Options!$H$3:$H$25,Options!$B$3:$B$25,Check!O73),SUMIFS('Master P&amp;L'!$H$11:$H$101,'Master P&amp;L'!$B$11:$B$101,Check!O73)))</f>
        <v/>
      </c>
      <c r="R73" s="217" t="str">
        <f t="shared" si="10"/>
        <v/>
      </c>
      <c r="S73" s="361" t="str">
        <f t="shared" si="11"/>
        <v/>
      </c>
    </row>
    <row r="74" spans="2:19">
      <c r="B74"/>
      <c r="C74" s="233" t="str">
        <f>IF(B74="","",IF(LEN(B74)&gt;9,SUMIFS(Options!$H$3:$H$25,Options!$B$3:$B$25,Check!B74),SUMIFS('Master P&amp;L'!$H$11:$H$101,'Master P&amp;L'!$B$11:$B$101,Check!B74)))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IF(O74="","",IF(LEN(O74)&gt;9,SUMIFS(Options!$H$3:$H$25,Options!$B$3:$B$25,Check!O74),SUMIFS('Master P&amp;L'!$H$11:$H$101,'Master P&amp;L'!$B$11:$B$101,Check!O74)))</f>
        <v/>
      </c>
      <c r="R74" s="217" t="str">
        <f t="shared" si="10"/>
        <v/>
      </c>
      <c r="S74" s="361" t="str">
        <f t="shared" si="11"/>
        <v/>
      </c>
    </row>
    <row r="75" spans="2:19">
      <c r="B75"/>
      <c r="C75" s="233" t="str">
        <f>IF(B75="","",IF(LEN(B75)&gt;9,SUMIFS(Options!$H$3:$H$25,Options!$B$3:$B$25,Check!B75),SUMIFS('Master P&amp;L'!$H$11:$H$101,'Master P&amp;L'!$B$11:$B$101,Check!B75)))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IF(O75="","",IF(LEN(O75)&gt;9,SUMIFS(Options!$H$3:$H$25,Options!$B$3:$B$25,Check!O75),SUMIFS('Master P&amp;L'!$H$11:$H$101,'Master P&amp;L'!$B$11:$B$101,Check!O75)))</f>
        <v/>
      </c>
      <c r="R75" s="217" t="str">
        <f t="shared" si="10"/>
        <v/>
      </c>
      <c r="S75" s="361" t="str">
        <f t="shared" si="11"/>
        <v/>
      </c>
    </row>
    <row r="76" spans="2:19">
      <c r="B76"/>
      <c r="C76" s="233" t="str">
        <f>IF(B76="","",IF(LEN(B76)&gt;9,SUMIFS(Options!$H$3:$H$25,Options!$B$3:$B$25,Check!B76),SUMIFS('Master P&amp;L'!$H$11:$H$101,'Master P&amp;L'!$B$11:$B$101,Check!B76)))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IF(O76="","",IF(LEN(O76)&gt;9,SUMIFS(Options!$H$3:$H$25,Options!$B$3:$B$25,Check!O76),SUMIFS('Master P&amp;L'!$H$11:$H$101,'Master P&amp;L'!$B$11:$B$101,Check!O76)))</f>
        <v/>
      </c>
      <c r="R76" s="217" t="str">
        <f t="shared" si="10"/>
        <v/>
      </c>
      <c r="S76" s="361" t="str">
        <f t="shared" si="11"/>
        <v/>
      </c>
    </row>
    <row r="77" spans="2:19">
      <c r="B77"/>
      <c r="C77" s="233" t="str">
        <f>IF(B77="","",IF(LEN(B77)&gt;9,SUMIFS(Options!$H$3:$H$25,Options!$B$3:$B$25,Check!B77),SUMIFS('Master P&amp;L'!$H$11:$H$101,'Master P&amp;L'!$B$11:$B$101,Check!B77)))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IF(O77="","",IF(LEN(O77)&gt;9,SUMIFS(Options!$H$3:$H$25,Options!$B$3:$B$25,Check!O77),SUMIFS('Master P&amp;L'!$H$11:$H$101,'Master P&amp;L'!$B$11:$B$101,Check!O77)))</f>
        <v/>
      </c>
      <c r="R77" s="217" t="str">
        <f t="shared" si="10"/>
        <v/>
      </c>
      <c r="S77" s="361" t="str">
        <f t="shared" si="11"/>
        <v/>
      </c>
    </row>
    <row r="78" spans="2:19">
      <c r="B78"/>
      <c r="C78" s="233" t="str">
        <f>IF(B78="","",IF(LEN(B78)&gt;9,SUMIFS(Options!$H$3:$H$25,Options!$B$3:$B$25,Check!B78),SUMIFS('Master P&amp;L'!$H$11:$H$101,'Master P&amp;L'!$B$11:$B$101,Check!B78)))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IF(O78="","",IF(LEN(O78)&gt;9,SUMIFS(Options!$H$3:$H$25,Options!$B$3:$B$25,Check!O78),SUMIFS('Master P&amp;L'!$H$11:$H$101,'Master P&amp;L'!$B$11:$B$101,Check!O78)))</f>
        <v/>
      </c>
      <c r="R78" s="217" t="str">
        <f t="shared" si="10"/>
        <v/>
      </c>
      <c r="S78" s="361" t="str">
        <f t="shared" si="11"/>
        <v/>
      </c>
    </row>
    <row r="79" spans="2:19">
      <c r="B79"/>
      <c r="C79" s="233" t="str">
        <f>IF(B79="","",IF(LEN(B79)&gt;9,SUMIFS(Options!$H$3:$H$25,Options!$B$3:$B$25,Check!B79),SUMIFS('Master P&amp;L'!$H$11:$H$101,'Master P&amp;L'!$B$11:$B$101,Check!B79)))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IF(O79="","",IF(LEN(O79)&gt;9,SUMIFS(Options!$H$3:$H$25,Options!$B$3:$B$25,Check!O79),SUMIFS('Master P&amp;L'!$H$11:$H$101,'Master P&amp;L'!$B$11:$B$101,Check!O79)))</f>
        <v/>
      </c>
      <c r="R79" s="217" t="str">
        <f t="shared" si="10"/>
        <v/>
      </c>
      <c r="S79" s="361" t="str">
        <f t="shared" si="11"/>
        <v/>
      </c>
    </row>
    <row r="80" spans="2:19">
      <c r="B80"/>
      <c r="C80" s="233" t="str">
        <f>IF(B80="","",IF(LEN(B80)&gt;9,SUMIFS(Options!$H$3:$H$25,Options!$B$3:$B$25,Check!B80),SUMIFS('Master P&amp;L'!$H$11:$H$101,'Master P&amp;L'!$B$11:$B$101,Check!B80)))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IF(O80="","",IF(LEN(O80)&gt;9,SUMIFS(Options!$H$3:$H$25,Options!$B$3:$B$25,Check!O80),SUMIFS('Master P&amp;L'!$H$11:$H$101,'Master P&amp;L'!$B$11:$B$101,Check!O80)))</f>
        <v/>
      </c>
      <c r="R80" s="217" t="str">
        <f t="shared" si="10"/>
        <v/>
      </c>
      <c r="S80" s="361" t="str">
        <f t="shared" si="11"/>
        <v/>
      </c>
    </row>
    <row r="81" spans="2:19">
      <c r="B81"/>
      <c r="C81" s="233" t="str">
        <f>IF(B81="","",IF(LEN(B81)&gt;9,SUMIFS(Options!$H$3:$H$25,Options!$B$3:$B$25,Check!B81),SUMIFS('Master P&amp;L'!$H$11:$H$101,'Master P&amp;L'!$B$11:$B$101,Check!B81)))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IF(O81="","",IF(LEN(O81)&gt;9,SUMIFS(Options!$H$3:$H$25,Options!$B$3:$B$25,Check!O81),SUMIFS('Master P&amp;L'!$H$11:$H$101,'Master P&amp;L'!$B$11:$B$101,Check!O81)))</f>
        <v/>
      </c>
      <c r="R81" s="217" t="str">
        <f t="shared" si="10"/>
        <v/>
      </c>
      <c r="S81" s="361" t="str">
        <f t="shared" si="11"/>
        <v/>
      </c>
    </row>
    <row r="82" spans="2:19">
      <c r="B82"/>
      <c r="C82" s="233" t="str">
        <f>IF(B82="","",IF(LEN(B82)&gt;9,SUMIFS(Options!$H$3:$H$25,Options!$B$3:$B$25,Check!B82),SUMIFS('Master P&amp;L'!$H$11:$H$101,'Master P&amp;L'!$B$11:$B$101,Check!B82)))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IF(O82="","",IF(LEN(O82)&gt;9,SUMIFS(Options!$H$3:$H$25,Options!$B$3:$B$25,Check!O82),SUMIFS('Master P&amp;L'!$H$11:$H$101,'Master P&amp;L'!$B$11:$B$101,Check!O82)))</f>
        <v/>
      </c>
      <c r="R82" s="217" t="str">
        <f t="shared" si="10"/>
        <v/>
      </c>
      <c r="S82" s="361" t="str">
        <f t="shared" si="11"/>
        <v/>
      </c>
    </row>
    <row r="83" spans="2:19">
      <c r="B83"/>
      <c r="C83" s="233" t="str">
        <f>IF(B83="","",IF(LEN(B83)&gt;9,SUMIFS(Options!$H$3:$H$25,Options!$B$3:$B$25,Check!B83),SUMIFS('Master P&amp;L'!$H$11:$H$101,'Master P&amp;L'!$B$11:$B$101,Check!B83)))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IF(O83="","",IF(LEN(O83)&gt;9,SUMIFS(Options!$H$3:$H$25,Options!$B$3:$B$25,Check!O83),SUMIFS('Master P&amp;L'!$H$11:$H$101,'Master P&amp;L'!$B$11:$B$101,Check!O83)))</f>
        <v/>
      </c>
      <c r="R83" s="217" t="str">
        <f t="shared" si="10"/>
        <v/>
      </c>
      <c r="S83" s="361" t="str">
        <f t="shared" si="11"/>
        <v/>
      </c>
    </row>
    <row r="84" spans="2:19">
      <c r="B84"/>
      <c r="C84" s="233" t="str">
        <f>IF(B84="","",IF(LEN(B84)&gt;9,SUMIFS(Options!$H$3:$H$25,Options!$B$3:$B$25,Check!B84),SUMIFS('Master P&amp;L'!$H$11:$H$101,'Master P&amp;L'!$B$11:$B$101,Check!B84)))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IF(O84="","",IF(LEN(O84)&gt;9,SUMIFS(Options!$H$3:$H$25,Options!$B$3:$B$25,Check!O84),SUMIFS('Master P&amp;L'!$H$11:$H$101,'Master P&amp;L'!$B$11:$B$101,Check!O84)))</f>
        <v/>
      </c>
      <c r="R84" s="217" t="str">
        <f t="shared" si="10"/>
        <v/>
      </c>
      <c r="S84" s="361" t="str">
        <f t="shared" si="11"/>
        <v/>
      </c>
    </row>
    <row r="85" spans="2:19">
      <c r="B85"/>
      <c r="C85" s="233" t="str">
        <f>IF(B85="","",IF(LEN(B85)&gt;9,SUMIFS(Options!$H$3:$H$25,Options!$B$3:$B$25,Check!B85),SUMIFS('Master P&amp;L'!$H$11:$H$101,'Master P&amp;L'!$B$11:$B$101,Check!B85)))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IF(O85="","",IF(LEN(O85)&gt;9,SUMIFS(Options!$H$3:$H$25,Options!$B$3:$B$25,Check!O85),SUMIFS('Master P&amp;L'!$H$11:$H$101,'Master P&amp;L'!$B$11:$B$101,Check!O85)))</f>
        <v/>
      </c>
      <c r="R85" s="217" t="str">
        <f t="shared" si="10"/>
        <v/>
      </c>
      <c r="S85" s="361" t="str">
        <f t="shared" si="11"/>
        <v/>
      </c>
    </row>
    <row r="86" spans="2:19">
      <c r="B86"/>
      <c r="C86" s="233" t="str">
        <f>IF(B86="","",IF(LEN(B86)&gt;9,SUMIFS(Options!$H$3:$H$25,Options!$B$3:$B$25,Check!B86),SUMIFS('Master P&amp;L'!$H$11:$H$101,'Master P&amp;L'!$B$11:$B$101,Check!B86)))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IF(O86="","",IF(LEN(O86)&gt;9,SUMIFS(Options!$H$3:$H$25,Options!$B$3:$B$25,Check!O86),SUMIFS('Master P&amp;L'!$H$11:$H$101,'Master P&amp;L'!$B$11:$B$101,Check!O86)))</f>
        <v/>
      </c>
      <c r="R86" s="217" t="str">
        <f t="shared" si="10"/>
        <v/>
      </c>
      <c r="S86" s="361" t="str">
        <f t="shared" si="11"/>
        <v/>
      </c>
    </row>
    <row r="87" spans="2:19">
      <c r="B87"/>
      <c r="C87" s="233" t="str">
        <f>IF(B87="","",IF(LEN(B87)&gt;9,SUMIFS(Options!$H$3:$H$25,Options!$B$3:$B$25,Check!B87),SUMIFS('Master P&amp;L'!$H$11:$H$101,'Master P&amp;L'!$B$11:$B$101,Check!B87)))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IF(O87="","",IF(LEN(O87)&gt;9,SUMIFS(Options!$H$3:$H$25,Options!$B$3:$B$25,Check!O87),SUMIFS('Master P&amp;L'!$H$11:$H$101,'Master P&amp;L'!$B$11:$B$101,Check!O87)))</f>
        <v/>
      </c>
      <c r="R87" s="217" t="str">
        <f t="shared" si="10"/>
        <v/>
      </c>
      <c r="S87" s="361" t="str">
        <f t="shared" si="11"/>
        <v/>
      </c>
    </row>
    <row r="88" spans="2:19">
      <c r="B88"/>
      <c r="C88" s="233" t="str">
        <f>IF(B88="","",IF(LEN(B88)&gt;9,SUMIFS(Options!$H$3:$H$25,Options!$B$3:$B$25,Check!B88),SUMIFS('Master P&amp;L'!$H$11:$H$101,'Master P&amp;L'!$B$11:$B$101,Check!B88)))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IF(O88="","",IF(LEN(O88)&gt;9,SUMIFS(Options!$H$3:$H$25,Options!$B$3:$B$25,Check!O88),SUMIFS('Master P&amp;L'!$H$11:$H$101,'Master P&amp;L'!$B$11:$B$101,Check!O88)))</f>
        <v/>
      </c>
      <c r="R88" s="217" t="str">
        <f t="shared" si="10"/>
        <v/>
      </c>
      <c r="S88" s="361" t="str">
        <f t="shared" si="11"/>
        <v/>
      </c>
    </row>
    <row r="89" spans="2:19">
      <c r="B89"/>
      <c r="C89" s="233" t="str">
        <f>IF(B89="","",IF(LEN(B89)&gt;9,SUMIFS(Options!$H$3:$H$25,Options!$B$3:$B$25,Check!B89),SUMIFS('Master P&amp;L'!$H$11:$H$101,'Master P&amp;L'!$B$11:$B$101,Check!B89)))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IF(O89="","",IF(LEN(O89)&gt;9,SUMIFS(Options!$H$3:$H$25,Options!$B$3:$B$25,Check!O89),SUMIFS('Master P&amp;L'!$H$11:$H$101,'Master P&amp;L'!$B$11:$B$101,Check!O89)))</f>
        <v/>
      </c>
      <c r="R89" s="217" t="str">
        <f t="shared" si="10"/>
        <v/>
      </c>
      <c r="S89" s="361" t="str">
        <f t="shared" si="11"/>
        <v/>
      </c>
    </row>
    <row r="90" spans="2:19">
      <c r="B90"/>
      <c r="C90" s="233" t="str">
        <f>IF(B90="","",IF(LEN(B90)&gt;9,SUMIFS(Options!$H$3:$H$25,Options!$B$3:$B$25,Check!B90),SUMIFS('Master P&amp;L'!$H$11:$H$101,'Master P&amp;L'!$B$11:$B$101,Check!B90)))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IF(O90="","",IF(LEN(O90)&gt;9,SUMIFS(Options!$H$3:$H$25,Options!$B$3:$B$25,Check!O90),SUMIFS('Master P&amp;L'!$H$11:$H$101,'Master P&amp;L'!$B$11:$B$101,Check!O90)))</f>
        <v/>
      </c>
      <c r="R90" s="217" t="str">
        <f t="shared" si="10"/>
        <v/>
      </c>
      <c r="S90" s="361" t="str">
        <f t="shared" si="11"/>
        <v/>
      </c>
    </row>
    <row r="91" spans="2:19">
      <c r="B91"/>
      <c r="C91" s="233" t="str">
        <f>IF(B91="","",IF(LEN(B91)&gt;9,SUMIFS(Options!$H$3:$H$25,Options!$B$3:$B$25,Check!B91),SUMIFS('Master P&amp;L'!$H$11:$H$101,'Master P&amp;L'!$B$11:$B$101,Check!B91)))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IF(O91="","",IF(LEN(O91)&gt;9,SUMIFS(Options!$H$3:$H$25,Options!$B$3:$B$25,Check!O91),SUMIFS('Master P&amp;L'!$H$11:$H$101,'Master P&amp;L'!$B$11:$B$101,Check!O91)))</f>
        <v/>
      </c>
      <c r="R91" s="217" t="str">
        <f t="shared" si="10"/>
        <v/>
      </c>
      <c r="S91" s="361" t="str">
        <f t="shared" si="11"/>
        <v/>
      </c>
    </row>
    <row r="92" spans="2:19">
      <c r="B92"/>
      <c r="C92" s="233" t="str">
        <f>IF(B92="","",IF(LEN(B92)&gt;9,SUMIFS(Options!$H$3:$H$25,Options!$B$3:$B$25,Check!B92),SUMIFS('Master P&amp;L'!$H$11:$H$101,'Master P&amp;L'!$B$11:$B$101,Check!B92)))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IF(O92="","",IF(LEN(O92)&gt;9,SUMIFS(Options!$H$3:$H$25,Options!$B$3:$B$25,Check!O92),SUMIFS('Master P&amp;L'!$H$11:$H$101,'Master P&amp;L'!$B$11:$B$101,Check!O92)))</f>
        <v/>
      </c>
      <c r="R92" s="217" t="str">
        <f t="shared" si="10"/>
        <v/>
      </c>
      <c r="S92" s="361" t="str">
        <f t="shared" si="11"/>
        <v/>
      </c>
    </row>
    <row r="93" spans="2:19">
      <c r="B93"/>
      <c r="C93" s="233" t="str">
        <f>IF(B93="","",IF(LEN(B93)&gt;9,SUMIFS(Options!$H$3:$H$25,Options!$B$3:$B$25,Check!B93),SUMIFS('Master P&amp;L'!$H$11:$H$101,'Master P&amp;L'!$B$11:$B$101,Check!B93)))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IF(O93="","",IF(LEN(O93)&gt;9,SUMIFS(Options!$H$3:$H$25,Options!$B$3:$B$25,Check!O93),SUMIFS('Master P&amp;L'!$H$11:$H$101,'Master P&amp;L'!$B$11:$B$101,Check!O93)))</f>
        <v/>
      </c>
      <c r="R93" s="217" t="str">
        <f t="shared" si="10"/>
        <v/>
      </c>
      <c r="S93" s="361" t="str">
        <f t="shared" si="11"/>
        <v/>
      </c>
    </row>
    <row r="94" spans="2:19">
      <c r="B94"/>
      <c r="C94" s="233" t="str">
        <f>IF(B94="","",IF(LEN(B94)&gt;9,SUMIFS(Options!$H$3:$H$25,Options!$B$3:$B$25,Check!B94),SUMIFS('Master P&amp;L'!$H$11:$H$101,'Master P&amp;L'!$B$11:$B$101,Check!B94)))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IF(O94="","",IF(LEN(O94)&gt;9,SUMIFS(Options!$H$3:$H$25,Options!$B$3:$B$25,Check!O94),SUMIFS('Master P&amp;L'!$H$11:$H$101,'Master P&amp;L'!$B$11:$B$101,Check!O94)))</f>
        <v/>
      </c>
      <c r="R94" s="217" t="str">
        <f t="shared" si="10"/>
        <v/>
      </c>
      <c r="S94" s="361" t="str">
        <f t="shared" si="11"/>
        <v/>
      </c>
    </row>
    <row r="95" spans="2:19">
      <c r="C95" s="233" t="str">
        <f>IF(B95="","",IF(LEN(B95)&gt;9,SUMIFS(Options!$H$3:$H$25,Options!$B$3:$B$25,Check!B95),SUMIFS('Master P&amp;L'!$H$11:$H$101,'Master P&amp;L'!$B$11:$B$101,Check!B95)))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IF(O95="","",IF(LEN(O95)&gt;9,SUMIFS(Options!$H$3:$H$25,Options!$B$3:$B$25,Check!O95),SUMIFS('Master P&amp;L'!$H$11:$H$101,'Master P&amp;L'!$B$11:$B$101,Check!O95)))</f>
        <v/>
      </c>
      <c r="R95" s="217" t="str">
        <f t="shared" si="10"/>
        <v/>
      </c>
      <c r="S95" s="361" t="str">
        <f t="shared" si="11"/>
        <v/>
      </c>
    </row>
    <row r="96" spans="2:19">
      <c r="C96" s="233" t="str">
        <f>IF(B96="","",IF(LEN(B96)&gt;9,SUMIFS(Options!$H$3:$H$25,Options!$B$3:$B$25,Check!B96),SUMIFS('Master P&amp;L'!$H$11:$H$101,'Master P&amp;L'!$B$11:$B$101,Check!B96)))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IF(O96="","",IF(LEN(O96)&gt;9,SUMIFS(Options!$H$3:$H$25,Options!$B$3:$B$25,Check!O96),SUMIFS('Master P&amp;L'!$H$11:$H$101,'Master P&amp;L'!$B$11:$B$101,Check!O96)))</f>
        <v/>
      </c>
      <c r="R96" s="217" t="str">
        <f t="shared" si="10"/>
        <v/>
      </c>
      <c r="S96" s="361" t="str">
        <f t="shared" si="11"/>
        <v/>
      </c>
    </row>
    <row r="97" spans="1:19">
      <c r="C97" s="233" t="str">
        <f>IF(B97="","",IF(LEN(B97)&gt;9,SUMIFS(Options!$H$3:$H$25,Options!$B$3:$B$25,Check!B97),SUMIFS('Master P&amp;L'!$H$11:$H$101,'Master P&amp;L'!$B$11:$B$101,Check!B97)))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IF(O97="","",IF(LEN(O97)&gt;9,SUMIFS(Options!$H$3:$H$25,Options!$B$3:$B$25,Check!O97),SUMIFS('Master P&amp;L'!$H$11:$H$101,'Master P&amp;L'!$B$11:$B$101,Check!O97)))</f>
        <v/>
      </c>
      <c r="R97" s="217" t="str">
        <f t="shared" si="10"/>
        <v/>
      </c>
      <c r="S97" s="361" t="str">
        <f t="shared" si="11"/>
        <v/>
      </c>
    </row>
    <row r="98" spans="1:19">
      <c r="C98" s="233" t="str">
        <f>IF(B98="","",IF(LEN(B98)&gt;9,SUMIFS(Options!$H$3:$H$25,Options!$B$3:$B$25,Check!B98),SUMIFS('Master P&amp;L'!$H$11:$H$101,'Master P&amp;L'!$B$11:$B$101,Check!B98)))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IF(O98="","",IF(LEN(O98)&gt;9,SUMIFS(Options!$H$3:$H$25,Options!$B$3:$B$25,Check!O98),SUMIFS('Master P&amp;L'!$H$11:$H$101,'Master P&amp;L'!$B$11:$B$101,Check!O98)))</f>
        <v/>
      </c>
      <c r="R98" s="217" t="str">
        <f t="shared" si="10"/>
        <v/>
      </c>
      <c r="S98" s="361" t="str">
        <f t="shared" si="11"/>
        <v/>
      </c>
    </row>
    <row r="99" spans="1:19">
      <c r="C99" s="233" t="str">
        <f>IF(B99="","",IF(LEN(B99)&gt;9,SUMIFS(Options!$H$3:$H$25,Options!$B$3:$B$25,Check!B99),SUMIFS('Master P&amp;L'!$H$11:$H$101,'Master P&amp;L'!$B$11:$B$101,Check!B99)))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IF(O99="","",IF(LEN(O99)&gt;9,SUMIFS(Options!$H$3:$H$25,Options!$B$3:$B$25,Check!O99),SUMIFS('Master P&amp;L'!$H$11:$H$101,'Master P&amp;L'!$B$11:$B$101,Check!O99)))</f>
        <v/>
      </c>
      <c r="R99" s="217" t="str">
        <f t="shared" si="10"/>
        <v/>
      </c>
      <c r="S99" s="361" t="str">
        <f t="shared" si="11"/>
        <v/>
      </c>
    </row>
    <row r="100" spans="1:19">
      <c r="C100" s="233" t="str">
        <f>IF(B100="","",IF(LEN(B100)&gt;9,SUMIFS(Options!$H$3:$H$25,Options!$B$3:$B$25,Check!B100),SUMIFS('Master P&amp;L'!$H$11:$H$101,'Master P&amp;L'!$B$11:$B$101,Check!B100)))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IF(O100="","",IF(LEN(O100)&gt;9,SUMIFS(Options!$H$3:$H$25,Options!$B$3:$B$25,Check!O100),SUMIFS('Master P&amp;L'!$H$11:$H$101,'Master P&amp;L'!$B$11:$B$101,Check!O100)))</f>
        <v/>
      </c>
      <c r="R100" s="217" t="str">
        <f t="shared" ref="R100:R107" si="25">IF(O100="","",P100-Q100)</f>
        <v/>
      </c>
      <c r="S100" s="361" t="str">
        <f t="shared" si="11"/>
        <v/>
      </c>
    </row>
    <row r="101" spans="1:19">
      <c r="C101" s="233" t="str">
        <f>IF(B101="","",IF(LEN(B101)&gt;9,SUMIFS(Options!$H$3:$H$25,Options!$B$3:$B$25,Check!B101),SUMIFS('Master P&amp;L'!$H$11:$H$101,'Master P&amp;L'!$B$11:$B$101,Check!B101)))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IF(O101="","",IF(LEN(O101)&gt;9,SUMIFS(Options!$H$3:$H$25,Options!$B$3:$B$25,Check!O101),SUMIFS('Master P&amp;L'!$H$11:$H$101,'Master P&amp;L'!$B$11:$B$101,Check!O101)))</f>
        <v/>
      </c>
      <c r="R101" s="217" t="str">
        <f t="shared" si="25"/>
        <v/>
      </c>
      <c r="S101" s="361" t="str">
        <f t="shared" si="11"/>
        <v/>
      </c>
    </row>
    <row r="102" spans="1:19">
      <c r="C102" s="233" t="str">
        <f>IF(B102="","",IF(LEN(B102)&gt;9,SUMIFS(Options!$H$3:$H$25,Options!$B$3:$B$25,Check!B102),SUMIFS('Master P&amp;L'!$H$11:$H$101,'Master P&amp;L'!$B$11:$B$101,Check!B102)))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IF(O102="","",IF(LEN(O102)&gt;9,SUMIFS(Options!$H$3:$H$25,Options!$B$3:$B$25,Check!O102),SUMIFS('Master P&amp;L'!$H$11:$H$101,'Master P&amp;L'!$B$11:$B$101,Check!O102)))</f>
        <v/>
      </c>
      <c r="R102" s="217" t="str">
        <f t="shared" si="25"/>
        <v/>
      </c>
      <c r="S102" s="361" t="str">
        <f t="shared" si="11"/>
        <v/>
      </c>
    </row>
    <row r="103" spans="1:19">
      <c r="C103" s="233" t="str">
        <f>IF(B103="","",IF(LEN(B103)&gt;9,SUMIFS(Options!$H$3:$H$25,Options!$B$3:$B$25,Check!B103),SUMIFS('Master P&amp;L'!$H$11:$H$101,'Master P&amp;L'!$B$11:$B$101,Check!B103)))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IF(O103="","",IF(LEN(O103)&gt;9,SUMIFS(Options!$H$3:$H$25,Options!$B$3:$B$25,Check!O103),SUMIFS('Master P&amp;L'!$H$11:$H$101,'Master P&amp;L'!$B$11:$B$101,Check!O103)))</f>
        <v/>
      </c>
      <c r="R103" s="217" t="str">
        <f t="shared" si="25"/>
        <v/>
      </c>
      <c r="S103" s="361" t="str">
        <f t="shared" si="11"/>
        <v/>
      </c>
    </row>
    <row r="104" spans="1:19">
      <c r="C104" s="233" t="str">
        <f>IF(B104="","",IF(LEN(B104)&gt;9,SUMIFS(Options!$H$3:$H$25,Options!$B$3:$B$25,Check!B104),SUMIFS('Master P&amp;L'!$H$11:$H$101,'Master P&amp;L'!$B$11:$B$101,Check!B104)))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IF(O104="","",IF(LEN(O104)&gt;9,SUMIFS(Options!$H$3:$H$25,Options!$B$3:$B$25,Check!O104),SUMIFS('Master P&amp;L'!$H$11:$H$101,'Master P&amp;L'!$B$11:$B$101,Check!O104)))</f>
        <v/>
      </c>
      <c r="R104" s="217" t="str">
        <f t="shared" si="25"/>
        <v/>
      </c>
      <c r="S104" s="361" t="str">
        <f t="shared" si="11"/>
        <v/>
      </c>
    </row>
    <row r="105" spans="1:19">
      <c r="A105" t="s">
        <v>1770</v>
      </c>
      <c r="C105" s="233" t="str">
        <f>IF(B105="","",IF(LEN(B105)&gt;9,SUMIFS(Options!$H$3:$H$25,Options!$B$3:$B$25,Check!B105),SUMIFS('Master P&amp;L'!$H$11:$H$101,'Master P&amp;L'!$B$11:$B$101,Check!B105)))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IF(O105="","",IF(LEN(O105)&gt;9,SUMIFS(Options!$H$3:$H$25,Options!$B$3:$B$25,Check!O105),SUMIFS('Master P&amp;L'!$H$11:$H$101,'Master P&amp;L'!$B$11:$B$101,Check!O105)))</f>
        <v/>
      </c>
      <c r="R105" s="217" t="str">
        <f t="shared" si="25"/>
        <v/>
      </c>
      <c r="S105" s="361" t="str">
        <f t="shared" si="11"/>
        <v/>
      </c>
    </row>
    <row r="106" spans="1:19">
      <c r="C106" s="233" t="str">
        <f>IF(B106="","",IF(LEN(B106)&gt;9,SUMIFS(Options!$H$3:$H$25,Options!$B$3:$B$25,Check!B106),SUMIFS('Master P&amp;L'!$H$11:$H$101,'Master P&amp;L'!$B$11:$B$101,Check!B106)))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IF(O106="","",IF(LEN(O106)&gt;9,SUMIFS(Options!$H$3:$H$25,Options!$B$3:$B$25,Check!O106),SUMIFS('Master P&amp;L'!$H$11:$H$101,'Master P&amp;L'!$B$11:$B$101,Check!O106)))</f>
        <v/>
      </c>
      <c r="R106" s="217" t="str">
        <f t="shared" si="25"/>
        <v/>
      </c>
      <c r="S106" s="361" t="str">
        <f t="shared" si="11"/>
        <v/>
      </c>
    </row>
    <row r="107" spans="1:19">
      <c r="C107" s="233" t="str">
        <f>IF(B107="","",IF(LEN(B107)&gt;9,SUMIFS(Options!$H$3:$H$25,Options!$B$3:$B$25,Check!B107),SUMIFS('Master P&amp;L'!$H$11:$H$101,'Master P&amp;L'!$B$11:$B$101,Check!B107)))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IF(O107="","",IF(LEN(O107)&gt;9,SUMIFS(Options!$H$3:$H$25,Options!$B$3:$B$25,Check!O107),SUMIFS('Master P&amp;L'!$H$11:$H$101,'Master P&amp;L'!$B$11:$B$101,Check!O107)))</f>
        <v/>
      </c>
      <c r="R107" s="217" t="str">
        <f t="shared" si="25"/>
        <v/>
      </c>
      <c r="S107" s="361" t="str">
        <f t="shared" si="11"/>
        <v/>
      </c>
    </row>
    <row r="108" spans="1:19">
      <c r="C108" s="233" t="str">
        <f>IF(B108="","",IF(LEN(B108)&gt;9,SUMIFS(Options!$H$3:$H$25,Options!$B$3:$B$25,Check!B108),SUMIFS('Master P&amp;L'!$H$11:$H$101,'Master P&amp;L'!$B$11:$B$101,Check!B108)))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IF(O108="","",IF(LEN(O108)&gt;9,SUMIFS(Options!$H$3:$H$25,Options!$B$3:$B$25,Check!O108),SUMIFS('Master P&amp;L'!$H$11:$H$101,'Master P&amp;L'!$B$11:$B$101,Check!O108)))</f>
        <v/>
      </c>
      <c r="R108" s="217" t="str">
        <f t="shared" ref="R108:R113" si="26">IF(O108="","",P108-Q108)</f>
        <v/>
      </c>
      <c r="S108" s="361" t="str">
        <f t="shared" si="11"/>
        <v/>
      </c>
    </row>
    <row r="109" spans="1:19">
      <c r="C109" s="233" t="str">
        <f>IF(B109="","",IF(LEN(B109)&gt;9,SUMIFS(Options!$H$3:$H$25,Options!$B$3:$B$25,Check!B109),SUMIFS('Master P&amp;L'!$H$11:$H$101,'Master P&amp;L'!$B$11:$B$101,Check!B109)))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IF(O109="","",IF(LEN(O109)&gt;9,SUMIFS(Options!$H$3:$H$25,Options!$B$3:$B$25,Check!O109),SUMIFS('Master P&amp;L'!$H$11:$H$101,'Master P&amp;L'!$B$11:$B$101,Check!O109)))</f>
        <v/>
      </c>
      <c r="R109" s="217" t="str">
        <f t="shared" si="26"/>
        <v/>
      </c>
      <c r="S109" s="361" t="str">
        <f t="shared" si="11"/>
        <v/>
      </c>
    </row>
    <row r="110" spans="1:19">
      <c r="A110" t="s">
        <v>1770</v>
      </c>
      <c r="C110" s="233" t="str">
        <f>IF(B110="","",IF(LEN(B110)&gt;9,SUMIFS(Options!$H$3:$H$25,Options!$B$3:$B$25,Check!B110),SUMIFS('Master P&amp;L'!$H$11:$H$101,'Master P&amp;L'!$B$11:$B$101,Check!B110)))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IF(O110="","",IF(LEN(O110)&gt;9,SUMIFS(Options!$H$3:$H$25,Options!$B$3:$B$25,Check!O110),SUMIFS('Master P&amp;L'!$H$11:$H$101,'Master P&amp;L'!$B$11:$B$101,Check!O110)))</f>
        <v/>
      </c>
      <c r="R110" s="217" t="str">
        <f t="shared" si="26"/>
        <v/>
      </c>
      <c r="S110" s="361" t="str">
        <f t="shared" si="11"/>
        <v/>
      </c>
    </row>
    <row r="111" spans="1:19">
      <c r="C111" s="233" t="str">
        <f>IF(B111="","",IF(LEN(B111)&gt;9,SUMIFS(Options!$H$3:$H$25,Options!$B$3:$B$25,Check!B111),SUMIFS('Master P&amp;L'!$H$11:$H$101,'Master P&amp;L'!$B$11:$B$101,Check!B111)))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IF(O111="","",IF(LEN(O111)&gt;9,SUMIFS(Options!$H$3:$H$25,Options!$B$3:$B$25,Check!O111),SUMIFS('Master P&amp;L'!$H$11:$H$101,'Master P&amp;L'!$B$11:$B$101,Check!O111)))</f>
        <v/>
      </c>
      <c r="R111" s="217" t="str">
        <f t="shared" si="26"/>
        <v/>
      </c>
      <c r="S111" s="361" t="str">
        <f t="shared" si="11"/>
        <v/>
      </c>
    </row>
    <row r="112" spans="1:19">
      <c r="C112" s="233" t="str">
        <f>IF(B112="","",IF(LEN(B112)&gt;9,SUMIFS(Options!$H$3:$H$25,Options!$B$3:$B$25,Check!B112),SUMIFS('Master P&amp;L'!$H$11:$H$101,'Master P&amp;L'!$B$11:$B$101,Check!B112)))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IF(O112="","",IF(LEN(O112)&gt;9,SUMIFS(Options!$H$3:$H$25,Options!$B$3:$B$25,Check!O112),SUMIFS('Master P&amp;L'!$H$11:$H$101,'Master P&amp;L'!$B$11:$B$101,Check!O112)))</f>
        <v/>
      </c>
      <c r="R112" s="217" t="str">
        <f t="shared" si="26"/>
        <v/>
      </c>
      <c r="S112" s="361" t="str">
        <f t="shared" si="11"/>
        <v/>
      </c>
    </row>
    <row r="113" spans="3:20">
      <c r="C113" s="233" t="str">
        <f>IF(B113="","",IF(LEN(B113)&gt;9,SUMIFS(Options!$H$3:$H$25,Options!$B$3:$B$25,Check!B113),SUMIFS('Master P&amp;L'!$H$11:$H$101,'Master P&amp;L'!$B$11:$B$101,Check!B113)))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IF(O113="","",IF(LEN(O113)&gt;9,SUMIFS(Options!$H$3:$H$25,Options!$B$3:$B$25,Check!O113),SUMIFS('Master P&amp;L'!$H$11:$H$101,'Master P&amp;L'!$B$11:$B$101,Check!O113)))</f>
        <v/>
      </c>
      <c r="R113" s="217" t="str">
        <f t="shared" si="26"/>
        <v/>
      </c>
      <c r="S113" s="361" t="str">
        <f t="shared" si="11"/>
        <v/>
      </c>
    </row>
    <row r="114" spans="3:20">
      <c r="C114" s="233" t="str">
        <f>IF(B114="","",IF(LEN(B114)&gt;9,SUMIFS(Options!$H$3:$H$25,Options!$B$3:$B$25,Check!B114),SUMIFS('Master P&amp;L'!$H$11:$H$101,'Master P&amp;L'!$B$11:$B$101,Check!B114)))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IF(O114="","",IF(LEN(O114)&gt;9,SUMIFS(Options!$H$3:$H$25,Options!$B$3:$B$25,Check!O114),SUMIFS('Master P&amp;L'!$H$11:$H$101,'Master P&amp;L'!$B$11:$B$101,Check!O114)))</f>
        <v/>
      </c>
      <c r="R114" s="217" t="str">
        <f>IF(O114="","",P114-Q114)</f>
        <v/>
      </c>
      <c r="S114" s="361" t="str">
        <f t="shared" si="11"/>
        <v/>
      </c>
    </row>
    <row r="115" spans="3:20">
      <c r="C115" s="233" t="str">
        <f>IF(B115="","",IF(LEN(B115)&gt;9,SUMIFS(Options!$H$3:$H$25,Options!$B$3:$B$25,Check!B115),SUMIFS('Master P&amp;L'!$H$11:$H$101,'Master P&amp;L'!$B$11:$B$101,Check!B115)))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IF(O115="","",IF(LEN(O115)&gt;9,SUMIFS(Options!$H$3:$H$25,Options!$B$3:$B$25,Check!O115),SUMIFS('Master P&amp;L'!$H$11:$H$101,'Master P&amp;L'!$B$11:$B$101,Check!O115)))</f>
        <v/>
      </c>
      <c r="R115" s="217" t="str">
        <f>IF(O115="","",P115-Q115)</f>
        <v/>
      </c>
      <c r="S115" s="361" t="str">
        <f t="shared" si="11"/>
        <v/>
      </c>
    </row>
    <row r="116" spans="3:20">
      <c r="C116" s="233" t="str">
        <f>IF(B116="","",IF(LEN(B116)&gt;9,SUMIFS(Options!$H$3:$H$25,Options!$B$3:$B$25,Check!B116),SUMIFS('Master P&amp;L'!$H$11:$H$101,'Master P&amp;L'!$B$11:$B$101,Check!B116)))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IF(O116="","",IF(LEN(O116)&gt;9,SUMIFS(Options!$H$3:$H$25,Options!$B$3:$B$25,Check!O116),SUMIFS('Master P&amp;L'!$H$11:$H$101,'Master P&amp;L'!$B$11:$B$101,Check!O116)))</f>
        <v/>
      </c>
      <c r="R116" s="217" t="str">
        <f>IF(O116="","",P116-Q116)</f>
        <v/>
      </c>
      <c r="S116" s="361" t="str">
        <f t="shared" si="11"/>
        <v/>
      </c>
    </row>
    <row r="117" spans="3:20">
      <c r="C117" s="233" t="str">
        <f>IF(B117="","",IF(LEN(B117)&gt;9,SUMIFS(Options!$H$3:$H$25,Options!$B$3:$B$25,Check!B117),SUMIFS('Master P&amp;L'!$H$11:$H$101,'Master P&amp;L'!$B$11:$B$101,Check!B117)))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IF(O117="","",IF(LEN(O117)&gt;9,SUMIFS(Options!$H$3:$H$25,Options!$B$3:$B$25,Check!O117),SUMIFS('Master P&amp;L'!$H$11:$H$101,'Master P&amp;L'!$B$11:$B$101,Check!O117)))</f>
        <v/>
      </c>
      <c r="R117" s="217" t="str">
        <f>IF(O117="","",P117-Q117)</f>
        <v/>
      </c>
      <c r="S117" s="361" t="str">
        <f t="shared" si="11"/>
        <v/>
      </c>
    </row>
    <row r="118" spans="3:20">
      <c r="C118" s="233" t="str">
        <f>IF(B118="","",IF(LEN(B118)&gt;9,SUMIFS(Options!$H$3:$H$25,Options!$B$3:$B$25,Check!B118),SUMIFS('Master P&amp;L'!$H$11:$H$101,'Master P&amp;L'!$B$11:$B$101,Check!B118)))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IF(O118="","",IF(LEN(O118)&gt;9,SUMIFS(Options!$H$3:$H$25,Options!$B$3:$B$25,Check!O118),SUMIFS('Master P&amp;L'!$H$11:$H$101,'Master P&amp;L'!$B$11:$B$101,Check!O118)))</f>
        <v/>
      </c>
      <c r="R118" s="217" t="str">
        <f t="shared" ref="R118:R124" si="27">IF(O118="","",P118-Q118)</f>
        <v/>
      </c>
      <c r="S118" s="361" t="str">
        <f t="shared" si="11"/>
        <v/>
      </c>
    </row>
    <row r="119" spans="3:20">
      <c r="C119" s="233" t="str">
        <f>IF(B119="","",IF(LEN(B119)&gt;9,SUMIFS(Options!$H$3:$H$25,Options!$B$3:$B$25,Check!B119),SUMIFS('Master P&amp;L'!$H$11:$H$101,'Master P&amp;L'!$B$11:$B$101,Check!B119)))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IF(O119="","",IF(LEN(O119)&gt;9,SUMIFS(Options!$H$3:$H$25,Options!$B$3:$B$25,Check!O119),SUMIFS('Master P&amp;L'!$H$11:$H$101,'Master P&amp;L'!$B$11:$B$101,Check!O119)))</f>
        <v/>
      </c>
      <c r="R119" s="217" t="str">
        <f t="shared" si="27"/>
        <v/>
      </c>
      <c r="S119" s="361" t="str">
        <f t="shared" si="11"/>
        <v/>
      </c>
    </row>
    <row r="120" spans="3:20">
      <c r="C120" s="233" t="str">
        <f>IF(B120="","",IF(LEN(B120)&gt;9,SUMIFS(Options!$H$3:$H$25,Options!$B$3:$B$25,Check!B120),SUMIFS('Master P&amp;L'!$H$11:$H$101,'Master P&amp;L'!$B$11:$B$101,Check!B120)))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IF(O120="","",IF(LEN(O120)&gt;9,SUMIFS(Options!$H$3:$H$25,Options!$B$3:$B$25,Check!O120),SUMIFS('Master P&amp;L'!$H$11:$H$101,'Master P&amp;L'!$B$11:$B$101,Check!O120)))</f>
        <v/>
      </c>
      <c r="R120" s="217" t="str">
        <f t="shared" si="27"/>
        <v/>
      </c>
      <c r="S120" s="361" t="str">
        <f t="shared" si="11"/>
        <v/>
      </c>
    </row>
    <row r="121" spans="3:20">
      <c r="C121" s="233" t="str">
        <f>IF(B121="","",IF(LEN(B121)&gt;9,SUMIFS(Options!$H$3:$H$25,Options!$B$3:$B$25,Check!B121),SUMIFS('Master P&amp;L'!$H$11:$H$101,'Master P&amp;L'!$B$11:$B$101,Check!B121)))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IF(O121="","",IF(LEN(O121)&gt;9,SUMIFS(Options!$H$3:$H$25,Options!$B$3:$B$25,Check!O121),SUMIFS('Master P&amp;L'!$H$11:$H$101,'Master P&amp;L'!$B$11:$B$101,Check!O121)))</f>
        <v/>
      </c>
      <c r="R121" s="217" t="str">
        <f t="shared" si="27"/>
        <v/>
      </c>
      <c r="S121" s="361" t="str">
        <f t="shared" si="11"/>
        <v/>
      </c>
    </row>
    <row r="122" spans="3:20">
      <c r="C122" s="233" t="str">
        <f>IF(B122="","",IF(LEN(B122)&gt;9,SUMIFS(Options!$H$3:$H$25,Options!$B$3:$B$25,Check!B122),SUMIFS('Master P&amp;L'!$H$11:$H$101,'Master P&amp;L'!$B$11:$B$101,Check!B122)))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IF(O122="","",IF(LEN(O122)&gt;9,SUMIFS(Options!$H$3:$H$25,Options!$B$3:$B$25,Check!O122),SUMIFS('Master P&amp;L'!$H$11:$H$101,'Master P&amp;L'!$B$11:$B$101,Check!O122)))</f>
        <v/>
      </c>
      <c r="R122" s="327" t="str">
        <f t="shared" si="27"/>
        <v/>
      </c>
      <c r="S122" s="361" t="str">
        <f t="shared" si="11"/>
        <v/>
      </c>
      <c r="T122" s="59"/>
    </row>
    <row r="123" spans="3:20">
      <c r="C123" s="233" t="str">
        <f>IF(B123="","",IF(LEN(B123)&gt;9,SUMIFS(Options!$H$3:$H$25,Options!$B$3:$B$25,Check!B123),SUMIFS('Master P&amp;L'!$H$11:$H$101,'Master P&amp;L'!$B$11:$B$101,Check!B123)))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IF(O123="","",IF(LEN(O123)&gt;9,SUMIFS(Options!$H$3:$H$25,Options!$B$3:$B$25,Check!O123),SUMIFS('Master P&amp;L'!$H$11:$H$101,'Master P&amp;L'!$B$11:$B$101,Check!O123)))</f>
        <v/>
      </c>
      <c r="R123" s="217" t="str">
        <f t="shared" si="27"/>
        <v/>
      </c>
      <c r="S123" s="361" t="str">
        <f t="shared" si="11"/>
        <v/>
      </c>
    </row>
    <row r="124" spans="3:20">
      <c r="C124" s="233" t="str">
        <f>IF(B124="","",IF(LEN(B124)&gt;9,SUMIFS(Options!$H$3:$H$25,Options!$B$3:$B$25,Check!B124),SUMIFS('Master P&amp;L'!$H$11:$H$101,'Master P&amp;L'!$B$11:$B$101,Check!B124)))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IF(O124="","",IF(LEN(O124)&gt;9,SUMIFS(Options!$H$3:$H$25,Options!$B$3:$B$25,Check!O124),SUMIFS('Master P&amp;L'!$H$11:$H$101,'Master P&amp;L'!$B$11:$B$101,Check!O124)))</f>
        <v/>
      </c>
      <c r="R124" s="217" t="str">
        <f t="shared" si="27"/>
        <v/>
      </c>
      <c r="S124" s="361" t="str">
        <f t="shared" si="11"/>
        <v/>
      </c>
    </row>
    <row r="125" spans="3:20">
      <c r="C125" s="233" t="str">
        <f>IF(B125="","",IF(LEN(B125)&gt;9,SUMIFS(Options!$H$3:$H$25,Options!$B$3:$B$25,Check!B125),SUMIFS('Master P&amp;L'!$H$11:$H$101,'Master P&amp;L'!$B$11:$B$101,Check!B125)))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IF(O125="","",IF(LEN(O125)&gt;9,SUMIFS(Options!$H$3:$H$25,Options!$B$3:$B$25,Check!O125),SUMIFS('Master P&amp;L'!$H$11:$H$101,'Master P&amp;L'!$B$11:$B$101,Check!O125)))</f>
        <v/>
      </c>
      <c r="R125" s="217" t="str">
        <f>IF(O125="","",P125-Q125)</f>
        <v/>
      </c>
      <c r="S125" s="361" t="str">
        <f t="shared" si="11"/>
        <v/>
      </c>
    </row>
    <row r="126" spans="3:20">
      <c r="C126" s="233" t="str">
        <f>IF(B126="","",IF(LEN(B126)&gt;9,SUMIFS(Options!$H$3:$H$25,Options!$B$3:$B$25,Check!B126),SUMIFS('Master P&amp;L'!$H$11:$H$101,'Master P&amp;L'!$B$11:$B$101,Check!B126)))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IF(O126="","",IF(LEN(O126)&gt;9,SUMIFS(Options!$H$3:$H$25,Options!$B$3:$B$25,Check!O126),SUMIFS('Master P&amp;L'!$H$11:$H$101,'Master P&amp;L'!$B$11:$B$101,Check!O126)))</f>
        <v/>
      </c>
      <c r="R126" s="217" t="str">
        <f>IF(O126="","",P126-Q126)</f>
        <v/>
      </c>
      <c r="S126" s="361" t="str">
        <f t="shared" si="11"/>
        <v/>
      </c>
    </row>
    <row r="127" spans="3:20">
      <c r="C127" s="233" t="str">
        <f>IF(B127="","",IF(LEN(B127)&gt;9,SUMIFS(Options!$H$3:$H$25,Options!$B$3:$B$25,Check!B127),SUMIFS('Master P&amp;L'!$H$11:$H$101,'Master P&amp;L'!$B$11:$B$101,Check!B127)))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IF(O127="","",IF(LEN(O127)&gt;9,SUMIFS(Options!$H$3:$H$25,Options!$B$3:$B$25,Check!O127),SUMIFS('Master P&amp;L'!$H$11:$H$101,'Master P&amp;L'!$B$11:$B$101,Check!O127)))</f>
        <v/>
      </c>
      <c r="R127" s="217" t="str">
        <f t="shared" ref="R127:R133" si="32">IF(O127="","",P127-Q127)</f>
        <v/>
      </c>
      <c r="S127" s="361" t="str">
        <f t="shared" si="11"/>
        <v/>
      </c>
    </row>
    <row r="128" spans="3:20">
      <c r="C128" s="233" t="str">
        <f>IF(B128="","",IF(LEN(B128)&gt;9,SUMIFS(Options!$H$3:$H$25,Options!$B$3:$B$25,Check!B128),SUMIFS('Master P&amp;L'!$H$11:$H$101,'Master P&amp;L'!$B$11:$B$101,Check!B128)))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IF(O128="","",IF(LEN(O128)&gt;9,SUMIFS(Options!$H$3:$H$25,Options!$B$3:$B$25,Check!O128),SUMIFS('Master P&amp;L'!$H$11:$H$101,'Master P&amp;L'!$B$11:$B$101,Check!O128)))</f>
        <v/>
      </c>
      <c r="R128" s="217" t="str">
        <f t="shared" si="32"/>
        <v/>
      </c>
      <c r="S128" s="361" t="str">
        <f t="shared" si="11"/>
        <v/>
      </c>
    </row>
    <row r="129" spans="3:20">
      <c r="C129" s="233" t="str">
        <f>IF(B129="","",IF(LEN(B129)&gt;9,SUMIFS(Options!$H$3:$H$25,Options!$B$3:$B$25,Check!B129),SUMIFS('Master P&amp;L'!$H$11:$H$101,'Master P&amp;L'!$B$11:$B$101,Check!B129)))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IF(O129="","",IF(LEN(O129)&gt;9,SUMIFS(Options!$H$3:$H$25,Options!$B$3:$B$25,Check!O129),SUMIFS('Master P&amp;L'!$H$11:$H$101,'Master P&amp;L'!$B$11:$B$101,Check!O129)))</f>
        <v/>
      </c>
      <c r="R129" s="217" t="str">
        <f t="shared" si="32"/>
        <v/>
      </c>
      <c r="S129" s="361" t="str">
        <f t="shared" si="11"/>
        <v/>
      </c>
    </row>
    <row r="130" spans="3:20">
      <c r="C130" s="233" t="str">
        <f>IF(B130="","",IF(LEN(B130)&gt;9,SUMIFS(Options!$H$3:$H$25,Options!$B$3:$B$25,Check!B130),SUMIFS('Master P&amp;L'!$H$11:$H$101,'Master P&amp;L'!$B$11:$B$101,Check!B130)))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IF(O130="","",IF(LEN(O130)&gt;9,SUMIFS(Options!$H$3:$H$25,Options!$B$3:$B$25,Check!O130),SUMIFS('Master P&amp;L'!$H$11:$H$101,'Master P&amp;L'!$B$11:$B$101,Check!O130)))</f>
        <v/>
      </c>
      <c r="R130" s="217" t="str">
        <f t="shared" si="32"/>
        <v/>
      </c>
      <c r="S130" s="361" t="str">
        <f t="shared" si="11"/>
        <v/>
      </c>
    </row>
    <row r="131" spans="3:20">
      <c r="C131" s="233" t="str">
        <f>IF(B131="","",IF(LEN(B131)&gt;9,SUMIFS(Options!$H$3:$H$25,Options!$B$3:$B$25,Check!B131),SUMIFS('Master P&amp;L'!$H$11:$H$101,'Master P&amp;L'!$B$11:$B$101,Check!B131)))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IF(O131="","",IF(LEN(O131)&gt;9,SUMIFS(Options!$H$3:$H$25,Options!$B$3:$B$25,Check!O131),SUMIFS('Master P&amp;L'!$H$11:$H$101,'Master P&amp;L'!$B$11:$B$101,Check!O131)))</f>
        <v/>
      </c>
      <c r="R131" s="217" t="str">
        <f t="shared" si="32"/>
        <v/>
      </c>
      <c r="S131" s="361" t="str">
        <f t="shared" si="11"/>
        <v/>
      </c>
    </row>
    <row r="132" spans="3:20">
      <c r="C132" s="233" t="str">
        <f>IF(B132="","",IF(LEN(B132)&gt;9,SUMIFS(Options!$H$3:$H$25,Options!$B$3:$B$25,Check!B132),SUMIFS('Master P&amp;L'!$H$11:$H$101,'Master P&amp;L'!$B$11:$B$101,Check!B132)))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IF(O132="","",IF(LEN(O132)&gt;9,SUMIFS(Options!$H$3:$H$25,Options!$B$3:$B$25,Check!O132),SUMIFS('Master P&amp;L'!$H$11:$H$101,'Master P&amp;L'!$B$11:$B$101,Check!O132)))</f>
        <v/>
      </c>
      <c r="R132" s="217" t="str">
        <f t="shared" si="32"/>
        <v/>
      </c>
      <c r="S132" s="361" t="str">
        <f t="shared" si="11"/>
        <v/>
      </c>
    </row>
    <row r="133" spans="3:20">
      <c r="C133" s="233" t="str">
        <f>IF(B133="","",IF(LEN(B133)&gt;9,SUMIFS(Options!$H$3:$H$25,Options!$B$3:$B$25,Check!B133),SUMIFS('Master P&amp;L'!$H$11:$H$101,'Master P&amp;L'!$B$11:$B$101,Check!B133)))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IF(O133="","",IF(LEN(O133)&gt;9,SUMIFS(Options!$H$3:$H$25,Options!$B$3:$B$25,Check!O133),SUMIFS('Master P&amp;L'!$H$11:$H$101,'Master P&amp;L'!$B$11:$B$101,Check!O133)))</f>
        <v/>
      </c>
      <c r="R133" s="217" t="str">
        <f t="shared" si="32"/>
        <v/>
      </c>
      <c r="S133" s="361" t="str">
        <f t="shared" si="11"/>
        <v/>
      </c>
    </row>
    <row r="134" spans="3:20">
      <c r="C134" s="233" t="str">
        <f>IF(B134="","",IF(LEN(B134)&gt;9,SUMIFS(Options!$H$3:$H$25,Options!$B$3:$B$25,Check!B134),SUMIFS('Master P&amp;L'!$H$11:$H$101,'Master P&amp;L'!$B$11:$B$101,Check!B134)))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IF(O134="","",IF(LEN(O134)&gt;9,SUMIFS(Options!$H$3:$H$25,Options!$B$3:$B$25,Check!O134),SUMIFS('Master P&amp;L'!$H$11:$H$101,'Master P&amp;L'!$B$11:$B$101,Check!O134)))</f>
        <v/>
      </c>
      <c r="R134" s="217" t="str">
        <f>IF(O134="","",P134-Q134)</f>
        <v/>
      </c>
      <c r="S134" s="361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IF(B135="","",IF(LEN(B135)&gt;9,SUMIFS(Options!$H$3:$H$25,Options!$B$3:$B$25,Check!B135),SUMIFS('Master P&amp;L'!$H$11:$H$101,'Master P&amp;L'!$B$11:$B$101,Check!B135)))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IF(O135="","",IF(LEN(O135)&gt;9,SUMIFS(Options!$H$3:$H$25,Options!$B$3:$B$25,Check!O135),SUMIFS('Master P&amp;L'!$H$11:$H$101,'Master P&amp;L'!$B$11:$B$101,Check!O135)))</f>
        <v/>
      </c>
      <c r="R135" s="217" t="str">
        <f>IF(O135="","",P135-Q135)</f>
        <v/>
      </c>
      <c r="S135" s="361" t="str">
        <f t="shared" si="37"/>
        <v/>
      </c>
    </row>
    <row r="136" spans="3:20">
      <c r="C136" s="233" t="str">
        <f>IF(B136="","",IF(LEN(B136)&gt;9,SUMIFS(Options!$H$3:$H$25,Options!$B$3:$B$25,Check!B136),SUMIFS('Master P&amp;L'!$H$11:$H$101,'Master P&amp;L'!$B$11:$B$101,Check!B136)))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IF(O136="","",IF(LEN(O136)&gt;9,SUMIFS(Options!$H$3:$H$25,Options!$B$3:$B$25,Check!O136),SUMIFS('Master P&amp;L'!$H$11:$H$101,'Master P&amp;L'!$B$11:$B$101,Check!O136)))</f>
        <v/>
      </c>
      <c r="R136" s="217" t="str">
        <f t="shared" ref="R136:R142" si="42">IF(O136="","",P136-Q136)</f>
        <v/>
      </c>
      <c r="S136" s="361" t="str">
        <f t="shared" si="37"/>
        <v/>
      </c>
    </row>
    <row r="137" spans="3:20">
      <c r="C137" s="233" t="str">
        <f>IF(B137="","",IF(LEN(B137)&gt;9,SUMIFS(Options!$H$3:$H$25,Options!$B$3:$B$25,Check!B137),SUMIFS('Master P&amp;L'!$H$11:$H$101,'Master P&amp;L'!$B$11:$B$101,Check!B137)))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IF(O137="","",IF(LEN(O137)&gt;9,SUMIFS(Options!$H$3:$H$25,Options!$B$3:$B$25,Check!O137),SUMIFS('Master P&amp;L'!$H$11:$H$101,'Master P&amp;L'!$B$11:$B$101,Check!O137)))</f>
        <v/>
      </c>
      <c r="R137" s="217" t="str">
        <f t="shared" si="42"/>
        <v/>
      </c>
      <c r="S137" s="361" t="str">
        <f t="shared" si="37"/>
        <v/>
      </c>
    </row>
    <row r="138" spans="3:20">
      <c r="C138" s="233" t="str">
        <f>IF(B138="","",IF(LEN(B138)&gt;9,SUMIFS(Options!$H$3:$H$25,Options!$B$3:$B$25,Check!B138),SUMIFS('Master P&amp;L'!$H$11:$H$101,'Master P&amp;L'!$B$11:$B$101,Check!B138)))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IF(O138="","",IF(LEN(O138)&gt;9,SUMIFS(Options!$H$3:$H$25,Options!$B$3:$B$25,Check!O138),SUMIFS('Master P&amp;L'!$H$11:$H$101,'Master P&amp;L'!$B$11:$B$101,Check!O138)))</f>
        <v/>
      </c>
      <c r="R138" s="217" t="str">
        <f t="shared" si="42"/>
        <v/>
      </c>
      <c r="S138" s="361" t="str">
        <f t="shared" si="37"/>
        <v/>
      </c>
    </row>
    <row r="139" spans="3:20">
      <c r="C139" s="233" t="str">
        <f>IF(B139="","",IF(LEN(B139)&gt;9,SUMIFS(Options!$H$3:$H$25,Options!$B$3:$B$25,Check!B139),SUMIFS('Master P&amp;L'!$H$11:$H$101,'Master P&amp;L'!$B$11:$B$101,Check!B139)))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IF(O139="","",IF(LEN(O139)&gt;9,SUMIFS(Options!$H$3:$H$25,Options!$B$3:$B$25,Check!O139),SUMIFS('Master P&amp;L'!$H$11:$H$101,'Master P&amp;L'!$B$11:$B$101,Check!O139)))</f>
        <v/>
      </c>
      <c r="R139" s="217" t="str">
        <f t="shared" si="42"/>
        <v/>
      </c>
      <c r="S139" s="361" t="str">
        <f t="shared" si="37"/>
        <v/>
      </c>
    </row>
    <row r="140" spans="3:20">
      <c r="C140" s="233" t="str">
        <f>IF(B140="","",IF(LEN(B140)&gt;9,SUMIFS(Options!$H$3:$H$25,Options!$B$3:$B$25,Check!B140),SUMIFS('Master P&amp;L'!$H$11:$H$101,'Master P&amp;L'!$B$11:$B$101,Check!B140)))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IF(O140="","",IF(LEN(O140)&gt;9,SUMIFS(Options!$H$3:$H$25,Options!$B$3:$B$25,Check!O140),SUMIFS('Master P&amp;L'!$H$11:$H$101,'Master P&amp;L'!$B$11:$B$101,Check!O140)))</f>
        <v/>
      </c>
      <c r="R140" s="217" t="str">
        <f t="shared" si="42"/>
        <v/>
      </c>
      <c r="S140" s="361" t="str">
        <f t="shared" si="37"/>
        <v/>
      </c>
    </row>
    <row r="141" spans="3:20">
      <c r="C141" s="233" t="str">
        <f>IF(B141="","",IF(LEN(B141)&gt;9,SUMIFS(Options!$H$3:$H$25,Options!$B$3:$B$25,Check!B141),SUMIFS('Master P&amp;L'!$H$11:$H$101,'Master P&amp;L'!$B$11:$B$101,Check!B141)))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IF(O141="","",IF(LEN(O141)&gt;9,SUMIFS(Options!$H$3:$H$25,Options!$B$3:$B$25,Check!O141),SUMIFS('Master P&amp;L'!$H$11:$H$101,'Master P&amp;L'!$B$11:$B$101,Check!O141)))</f>
        <v/>
      </c>
      <c r="R141" s="217" t="str">
        <f t="shared" si="42"/>
        <v/>
      </c>
      <c r="S141" s="361" t="str">
        <f t="shared" si="37"/>
        <v/>
      </c>
      <c r="T141" t="s">
        <v>1770</v>
      </c>
    </row>
    <row r="142" spans="3:20">
      <c r="C142" s="233" t="str">
        <f>IF(B142="","",IF(LEN(B142)&gt;9,SUMIFS(Options!$H$3:$H$25,Options!$B$3:$B$25,Check!B142),SUMIFS('Master P&amp;L'!$H$11:$H$101,'Master P&amp;L'!$B$11:$B$101,Check!B142)))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IF(O142="","",IF(LEN(O142)&gt;9,SUMIFS(Options!$H$3:$H$25,Options!$B$3:$B$25,Check!O142),SUMIFS('Master P&amp;L'!$H$11:$H$101,'Master P&amp;L'!$B$11:$B$101,Check!O142)))</f>
        <v/>
      </c>
      <c r="R142" s="327" t="str">
        <f t="shared" si="42"/>
        <v/>
      </c>
      <c r="S142" s="361" t="str">
        <f t="shared" si="37"/>
        <v/>
      </c>
      <c r="T142" s="59" t="s">
        <v>1770</v>
      </c>
    </row>
    <row r="143" spans="3:20">
      <c r="C143" s="233" t="str">
        <f>IF(B143="","",IF(LEN(B143)&gt;9,SUMIFS(Options!$H$3:$H$25,Options!$B$3:$B$25,Check!B143),SUMIFS('Master P&amp;L'!$H$11:$H$101,'Master P&amp;L'!$B$11:$B$101,Check!B143)))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IF(O143="","",IF(LEN(O143)&gt;9,SUMIFS(Options!$H$3:$H$25,Options!$B$3:$B$25,Check!O143),SUMIFS('Master P&amp;L'!$H$11:$H$101,'Master P&amp;L'!$B$11:$B$101,Check!O143)))</f>
        <v/>
      </c>
      <c r="R143" s="217" t="str">
        <f t="shared" ref="R143:R150" si="43">IF(O143="","",P143-Q143)</f>
        <v/>
      </c>
      <c r="S143" s="361" t="str">
        <f t="shared" si="37"/>
        <v/>
      </c>
    </row>
    <row r="144" spans="3:20">
      <c r="C144" s="233" t="str">
        <f>IF(B144="","",IF(LEN(B144)&gt;9,SUMIFS(Options!$H$3:$H$25,Options!$B$3:$B$25,Check!B144),SUMIFS('Master P&amp;L'!$H$11:$H$101,'Master P&amp;L'!$B$11:$B$101,Check!B144)))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IF(O144="","",IF(LEN(O144)&gt;9,SUMIFS(Options!$H$3:$H$25,Options!$B$3:$B$25,Check!O144),SUMIFS('Master P&amp;L'!$H$11:$H$101,'Master P&amp;L'!$B$11:$B$101,Check!O144)))</f>
        <v/>
      </c>
      <c r="R144" s="217" t="str">
        <f t="shared" si="43"/>
        <v/>
      </c>
      <c r="S144" s="361" t="str">
        <f t="shared" si="37"/>
        <v/>
      </c>
    </row>
    <row r="145" spans="3:20">
      <c r="C145" s="233" t="str">
        <f>IF(B145="","",IF(LEN(B145)&gt;9,SUMIFS(Options!$H$3:$H$25,Options!$B$3:$B$25,Check!B145),SUMIFS('Master P&amp;L'!$H$11:$H$101,'Master P&amp;L'!$B$11:$B$101,Check!B145)))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IF(O145="","",IF(LEN(O145)&gt;9,SUMIFS(Options!$H$3:$H$25,Options!$B$3:$B$25,Check!O145),SUMIFS('Master P&amp;L'!$H$11:$H$101,'Master P&amp;L'!$B$11:$B$101,Check!O145)))</f>
        <v/>
      </c>
      <c r="R145" s="327" t="str">
        <f t="shared" si="43"/>
        <v/>
      </c>
      <c r="S145" s="361" t="str">
        <f t="shared" si="37"/>
        <v/>
      </c>
      <c r="T145" s="59" t="s">
        <v>1770</v>
      </c>
    </row>
    <row r="146" spans="3:20">
      <c r="C146" s="233" t="str">
        <f>IF(B146="","",IF(LEN(B146)&gt;9,SUMIFS(Options!$H$3:$H$25,Options!$B$3:$B$25,Check!B146),SUMIFS('Master P&amp;L'!$H$11:$H$101,'Master P&amp;L'!$B$11:$B$101,Check!B146)))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IF(O146="","",IF(LEN(O146)&gt;9,SUMIFS(Options!$H$3:$H$25,Options!$B$3:$B$25,Check!O146),SUMIFS('Master P&amp;L'!$H$11:$H$101,'Master P&amp;L'!$B$11:$B$101,Check!O146)))</f>
        <v/>
      </c>
      <c r="R146" s="327" t="str">
        <f t="shared" si="43"/>
        <v/>
      </c>
      <c r="S146" s="361" t="str">
        <f t="shared" si="37"/>
        <v/>
      </c>
      <c r="T146" s="59" t="s">
        <v>1770</v>
      </c>
    </row>
    <row r="147" spans="3:20">
      <c r="C147" s="233" t="str">
        <f>IF(B147="","",IF(LEN(B147)&gt;9,SUMIFS(Options!$H$3:$H$25,Options!$B$3:$B$25,Check!B147),SUMIFS('Master P&amp;L'!$H$11:$H$101,'Master P&amp;L'!$B$11:$B$101,Check!B147)))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IF(O147="","",IF(LEN(O147)&gt;9,SUMIFS(Options!$H$3:$H$25,Options!$B$3:$B$25,Check!O147),SUMIFS('Master P&amp;L'!$H$11:$H$101,'Master P&amp;L'!$B$11:$B$101,Check!O147)))</f>
        <v/>
      </c>
      <c r="R147" s="217" t="str">
        <f t="shared" si="43"/>
        <v/>
      </c>
      <c r="S147" s="361" t="str">
        <f t="shared" si="37"/>
        <v/>
      </c>
    </row>
    <row r="148" spans="3:20">
      <c r="C148" s="233" t="str">
        <f>IF(B148="","",IF(LEN(B148)&gt;9,SUMIFS(Options!$H$3:$H$25,Options!$B$3:$B$25,Check!B148),SUMIFS('Master P&amp;L'!$H$11:$H$101,'Master P&amp;L'!$B$11:$B$101,Check!B148)))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IF(O148="","",IF(LEN(O148)&gt;9,SUMIFS(Options!$H$3:$H$25,Options!$B$3:$B$25,Check!O148),SUMIFS('Master P&amp;L'!$H$11:$H$101,'Master P&amp;L'!$B$11:$B$101,Check!O148)))</f>
        <v/>
      </c>
      <c r="R148" s="217" t="str">
        <f t="shared" si="43"/>
        <v/>
      </c>
      <c r="S148" s="361" t="str">
        <f t="shared" si="37"/>
        <v/>
      </c>
    </row>
    <row r="149" spans="3:20">
      <c r="C149" s="233" t="str">
        <f>IF(B149="","",IF(LEN(B149)&gt;9,SUMIFS(Options!$H$3:$H$25,Options!$B$3:$B$25,Check!B149),SUMIFS('Master P&amp;L'!$H$11:$H$101,'Master P&amp;L'!$B$11:$B$101,Check!B149)))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IF(O149="","",IF(LEN(O149)&gt;9,SUMIFS(Options!$H$3:$H$25,Options!$B$3:$B$25,Check!O149),SUMIFS('Master P&amp;L'!$H$11:$H$101,'Master P&amp;L'!$B$11:$B$101,Check!O149)))</f>
        <v/>
      </c>
      <c r="R149" s="217" t="str">
        <f t="shared" si="43"/>
        <v/>
      </c>
      <c r="S149" s="361" t="str">
        <f t="shared" si="37"/>
        <v/>
      </c>
    </row>
    <row r="150" spans="3:20">
      <c r="C150" s="233" t="str">
        <f>IF(B150="","",IF(LEN(B150)&gt;9,SUMIFS(Options!$H$3:$H$25,Options!$B$3:$B$25,Check!B150),SUMIFS('Master P&amp;L'!$H$11:$H$101,'Master P&amp;L'!$B$11:$B$101,Check!B150)))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IF(O150="","",IF(LEN(O150)&gt;9,SUMIFS(Options!$H$3:$H$25,Options!$B$3:$B$25,Check!O150),SUMIFS('Master P&amp;L'!$H$11:$H$101,'Master P&amp;L'!$B$11:$B$101,Check!O150)))</f>
        <v/>
      </c>
      <c r="R150" s="217" t="str">
        <f t="shared" si="43"/>
        <v/>
      </c>
      <c r="S150" s="361" t="str">
        <f t="shared" si="37"/>
        <v/>
      </c>
    </row>
    <row r="151" spans="3:20">
      <c r="C151" s="233" t="str">
        <f>IF(B151="","",IF(LEN(B151)&gt;9,SUMIFS(Options!$H$3:$H$25,Options!$B$3:$B$25,Check!B151),SUMIFS('Master P&amp;L'!$H$11:$H$101,'Master P&amp;L'!$B$11:$B$101,Check!B151)))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IF(O151="","",IF(LEN(O151)&gt;9,SUMIFS(Options!$H$3:$H$25,Options!$B$3:$B$25,Check!O151),SUMIFS('Master P&amp;L'!$H$11:$H$101,'Master P&amp;L'!$B$11:$B$101,Check!O151)))</f>
        <v/>
      </c>
      <c r="R151" s="217" t="str">
        <f>IF(O151="","",P151-Q151)</f>
        <v/>
      </c>
      <c r="S151" s="361" t="str">
        <f t="shared" si="37"/>
        <v/>
      </c>
    </row>
    <row r="152" spans="3:20">
      <c r="C152" s="233" t="str">
        <f>IF(B152="","",IF(LEN(B152)&gt;9,SUMIFS(Options!$H$3:$H$25,Options!$B$3:$B$25,Check!B152),SUMIFS('Master P&amp;L'!$H$11:$H$101,'Master P&amp;L'!$B$11:$B$101,Check!B152)))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IF(O152="","",IF(LEN(O152)&gt;9,SUMIFS(Options!$H$3:$H$25,Options!$B$3:$B$25,Check!O152),SUMIFS('Master P&amp;L'!$H$11:$H$101,'Master P&amp;L'!$B$11:$B$101,Check!O152)))</f>
        <v/>
      </c>
      <c r="R152" s="217" t="str">
        <f>IF(O152="","",P152-Q152)</f>
        <v/>
      </c>
      <c r="S152" s="361" t="str">
        <f t="shared" si="37"/>
        <v/>
      </c>
    </row>
    <row r="153" spans="3:20">
      <c r="C153" s="233" t="str">
        <f>IF(B153="","",IF(LEN(B153)&gt;9,SUMIFS(Options!$H$3:$H$25,Options!$B$3:$B$25,Check!B153),SUMIFS('Master P&amp;L'!$H$11:$H$101,'Master P&amp;L'!$B$11:$B$101,Check!B153)))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IF(O153="","",IF(LEN(O153)&gt;9,SUMIFS(Options!$H$3:$H$25,Options!$B$3:$B$25,Check!O153),SUMIFS('Master P&amp;L'!$H$11:$H$101,'Master P&amp;L'!$B$11:$B$101,Check!O153)))</f>
        <v/>
      </c>
      <c r="R153" s="217" t="str">
        <f>IF(O153="","",P153-Q153)</f>
        <v/>
      </c>
      <c r="S153" s="361" t="str">
        <f t="shared" si="37"/>
        <v/>
      </c>
    </row>
    <row r="154" spans="3:20">
      <c r="C154" s="233" t="str">
        <f>IF(B154="","",IF(LEN(B154)&gt;9,SUMIFS(Options!$H$3:$H$25,Options!$B$3:$B$25,Check!B154),SUMIFS('Master P&amp;L'!$H$11:$H$101,'Master P&amp;L'!$B$11:$B$101,Check!B154)))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IF(O154="","",IF(LEN(O154)&gt;9,SUMIFS(Options!$H$3:$H$25,Options!$B$3:$B$25,Check!O154),SUMIFS('Master P&amp;L'!$H$11:$H$101,'Master P&amp;L'!$B$11:$B$101,Check!O154)))</f>
        <v/>
      </c>
      <c r="R154" s="217" t="str">
        <f>IF(O154="","",P154-Q154)</f>
        <v/>
      </c>
      <c r="S154" s="361" t="str">
        <f t="shared" si="37"/>
        <v/>
      </c>
    </row>
    <row r="155" spans="3:20">
      <c r="C155" s="233" t="str">
        <f>IF(B155="","",IF(LEN(B155)&gt;9,SUMIFS(Options!$H$3:$H$25,Options!$B$3:$B$25,Check!B155),SUMIFS('Master P&amp;L'!$H$11:$H$101,'Master P&amp;L'!$B$11:$B$101,Check!B155)))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IF(O155="","",IF(LEN(O155)&gt;9,SUMIFS(Options!$H$3:$H$25,Options!$B$3:$B$25,Check!O155),SUMIFS('Master P&amp;L'!$H$11:$H$101,'Master P&amp;L'!$B$11:$B$101,Check!O155)))</f>
        <v/>
      </c>
      <c r="R155" s="217" t="str">
        <f t="shared" ref="R155:R166" si="48">IF(O155="","",P155-Q155)</f>
        <v/>
      </c>
      <c r="S155" s="361" t="str">
        <f t="shared" si="37"/>
        <v/>
      </c>
    </row>
    <row r="156" spans="3:20">
      <c r="C156" s="233" t="str">
        <f>IF(B156="","",IF(LEN(B156)&gt;9,SUMIFS(Options!$H$3:$H$25,Options!$B$3:$B$25,Check!B156),SUMIFS('Master P&amp;L'!$H$11:$H$101,'Master P&amp;L'!$B$11:$B$101,Check!B156)))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IF(O156="","",IF(LEN(O156)&gt;9,SUMIFS(Options!$H$3:$H$25,Options!$B$3:$B$25,Check!O156),SUMIFS('Master P&amp;L'!$H$11:$H$101,'Master P&amp;L'!$B$11:$B$101,Check!O156)))</f>
        <v/>
      </c>
      <c r="R156" s="217" t="str">
        <f t="shared" si="48"/>
        <v/>
      </c>
      <c r="S156" s="361" t="str">
        <f t="shared" si="37"/>
        <v/>
      </c>
    </row>
    <row r="157" spans="3:20">
      <c r="C157" s="233" t="str">
        <f>IF(B157="","",IF(LEN(B157)&gt;9,SUMIFS(Options!$H$3:$H$25,Options!$B$3:$B$25,Check!B157),SUMIFS('Master P&amp;L'!$H$11:$H$101,'Master P&amp;L'!$B$11:$B$101,Check!B157)))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IF(O157="","",IF(LEN(O157)&gt;9,SUMIFS(Options!$H$3:$H$25,Options!$B$3:$B$25,Check!O157),SUMIFS('Master P&amp;L'!$H$11:$H$101,'Master P&amp;L'!$B$11:$B$101,Check!O157)))</f>
        <v/>
      </c>
      <c r="R157" s="217" t="str">
        <f t="shared" si="48"/>
        <v/>
      </c>
      <c r="S157" s="361" t="str">
        <f t="shared" si="37"/>
        <v/>
      </c>
    </row>
    <row r="158" spans="3:20">
      <c r="C158" s="233" t="str">
        <f>IF(B158="","",IF(LEN(B158)&gt;9,SUMIFS(Options!$H$3:$H$25,Options!$B$3:$B$25,Check!B158),SUMIFS('Master P&amp;L'!$H$11:$H$101,'Master P&amp;L'!$B$11:$B$101,Check!B158)))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IF(O158="","",IF(LEN(O158)&gt;9,SUMIFS(Options!$H$3:$H$25,Options!$B$3:$B$25,Check!O158),SUMIFS('Master P&amp;L'!$H$11:$H$101,'Master P&amp;L'!$B$11:$B$101,Check!O158)))</f>
        <v/>
      </c>
      <c r="R158" s="217" t="str">
        <f t="shared" si="48"/>
        <v/>
      </c>
      <c r="S158" s="361" t="str">
        <f t="shared" si="37"/>
        <v/>
      </c>
    </row>
    <row r="159" spans="3:20">
      <c r="C159" s="233" t="str">
        <f>IF(B159="","",IF(LEN(B159)&gt;9,SUMIFS(Options!$H$3:$H$25,Options!$B$3:$B$25,Check!B159),SUMIFS('Master P&amp;L'!$H$11:$H$101,'Master P&amp;L'!$B$11:$B$101,Check!B159)))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IF(O159="","",IF(LEN(O159)&gt;9,SUMIFS(Options!$H$3:$H$25,Options!$B$3:$B$25,Check!O159),SUMIFS('Master P&amp;L'!$H$11:$H$101,'Master P&amp;L'!$B$11:$B$101,Check!O159)))</f>
        <v/>
      </c>
      <c r="R159" s="217" t="str">
        <f t="shared" si="48"/>
        <v/>
      </c>
      <c r="S159" s="361" t="str">
        <f t="shared" si="37"/>
        <v/>
      </c>
    </row>
    <row r="160" spans="3:20">
      <c r="C160" s="233" t="str">
        <f>IF(B160="","",IF(LEN(B160)&gt;9,SUMIFS(Options!$H$3:$H$25,Options!$B$3:$B$25,Check!B160),SUMIFS('Master P&amp;L'!$H$11:$H$101,'Master P&amp;L'!$B$11:$B$101,Check!B160)))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IF(O160="","",IF(LEN(O160)&gt;9,SUMIFS(Options!$H$3:$H$25,Options!$B$3:$B$25,Check!O160),SUMIFS('Master P&amp;L'!$H$11:$H$101,'Master P&amp;L'!$B$11:$B$101,Check!O160)))</f>
        <v/>
      </c>
      <c r="R160" s="217" t="str">
        <f t="shared" si="48"/>
        <v/>
      </c>
      <c r="S160" s="361" t="str">
        <f t="shared" si="37"/>
        <v/>
      </c>
    </row>
    <row r="161" spans="3:19">
      <c r="C161" s="233" t="str">
        <f>IF(B161="","",IF(LEN(B161)&gt;9,SUMIFS(Options!$H$3:$H$25,Options!$B$3:$B$25,Check!B161),SUMIFS('Master P&amp;L'!$H$11:$H$101,'Master P&amp;L'!$B$11:$B$101,Check!B161)))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IF(O161="","",IF(LEN(O161)&gt;9,SUMIFS(Options!$H$3:$H$25,Options!$B$3:$B$25,Check!O161),SUMIFS('Master P&amp;L'!$H$11:$H$101,'Master P&amp;L'!$B$11:$B$101,Check!O161)))</f>
        <v/>
      </c>
      <c r="R161" s="217" t="str">
        <f t="shared" si="48"/>
        <v/>
      </c>
      <c r="S161" s="361" t="str">
        <f t="shared" si="37"/>
        <v/>
      </c>
    </row>
    <row r="162" spans="3:19">
      <c r="C162" s="233" t="str">
        <f>IF(B162="","",IF(LEN(B162)&gt;9,SUMIFS(Options!$H$3:$H$25,Options!$B$3:$B$25,Check!B162),SUMIFS('Master P&amp;L'!$H$11:$H$101,'Master P&amp;L'!$B$11:$B$101,Check!B162)))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IF(O162="","",IF(LEN(O162)&gt;9,SUMIFS(Options!$H$3:$H$25,Options!$B$3:$B$25,Check!O162),SUMIFS('Master P&amp;L'!$H$11:$H$101,'Master P&amp;L'!$B$11:$B$101,Check!O162)))</f>
        <v/>
      </c>
      <c r="R162" s="217" t="str">
        <f t="shared" si="48"/>
        <v/>
      </c>
      <c r="S162" s="361" t="str">
        <f t="shared" si="37"/>
        <v/>
      </c>
    </row>
    <row r="163" spans="3:19">
      <c r="C163" s="233" t="str">
        <f>IF(B163="","",IF(LEN(B163)&gt;9,SUMIFS(Options!$H$3:$H$25,Options!$B$3:$B$25,Check!B163),SUMIFS('Master P&amp;L'!$H$11:$H$101,'Master P&amp;L'!$B$11:$B$101,Check!B163)))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IF(O163="","",IF(LEN(O163)&gt;9,SUMIFS(Options!$H$3:$H$25,Options!$B$3:$B$25,Check!O163),SUMIFS('Master P&amp;L'!$H$11:$H$101,'Master P&amp;L'!$B$11:$B$101,Check!O163)))</f>
        <v/>
      </c>
      <c r="R163" s="217" t="str">
        <f t="shared" si="48"/>
        <v/>
      </c>
      <c r="S163" s="361" t="str">
        <f t="shared" si="37"/>
        <v/>
      </c>
    </row>
    <row r="164" spans="3:19">
      <c r="C164" s="233" t="str">
        <f>IF(B164="","",IF(LEN(B164)&gt;9,SUMIFS(Options!$H$3:$H$25,Options!$B$3:$B$25,Check!B164),SUMIFS('Master P&amp;L'!$H$11:$H$101,'Master P&amp;L'!$B$11:$B$101,Check!B164)))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IF(O164="","",IF(LEN(O164)&gt;9,SUMIFS(Options!$H$3:$H$25,Options!$B$3:$B$25,Check!O164),SUMIFS('Master P&amp;L'!$H$11:$H$101,'Master P&amp;L'!$B$11:$B$101,Check!O164)))</f>
        <v/>
      </c>
      <c r="R164" s="217" t="str">
        <f t="shared" si="48"/>
        <v/>
      </c>
      <c r="S164" s="361" t="str">
        <f t="shared" si="37"/>
        <v/>
      </c>
    </row>
    <row r="165" spans="3:19">
      <c r="C165" s="233" t="str">
        <f>IF(B165="","",IF(LEN(B165)&gt;9,SUMIFS(Options!$H$3:$H$25,Options!$B$3:$B$25,Check!B165),SUMIFS('Master P&amp;L'!$H$11:$H$101,'Master P&amp;L'!$B$11:$B$101,Check!B165)))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IF(O165="","",IF(LEN(O165)&gt;9,SUMIFS(Options!$H$3:$H$25,Options!$B$3:$B$25,Check!O165),SUMIFS('Master P&amp;L'!$H$11:$H$101,'Master P&amp;L'!$B$11:$B$101,Check!O165)))</f>
        <v/>
      </c>
      <c r="R165" s="217" t="str">
        <f t="shared" si="48"/>
        <v/>
      </c>
      <c r="S165" s="361" t="str">
        <f t="shared" si="37"/>
        <v/>
      </c>
    </row>
    <row r="166" spans="3:19">
      <c r="C166" s="233" t="str">
        <f>IF(B166="","",IF(LEN(B166)&gt;9,SUMIFS(Options!$H$3:$H$25,Options!$B$3:$B$25,Check!B166),SUMIFS('Master P&amp;L'!$H$11:$H$101,'Master P&amp;L'!$B$11:$B$101,Check!B166)))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IF(O166="","",IF(LEN(O166)&gt;9,SUMIFS(Options!$H$3:$H$25,Options!$B$3:$B$25,Check!O166),SUMIFS('Master P&amp;L'!$H$11:$H$101,'Master P&amp;L'!$B$11:$B$101,Check!O166)))</f>
        <v/>
      </c>
      <c r="R166" s="217" t="str">
        <f t="shared" si="48"/>
        <v/>
      </c>
      <c r="S166" s="361" t="str">
        <f t="shared" si="37"/>
        <v/>
      </c>
    </row>
    <row r="167" spans="3:19">
      <c r="C167" s="233" t="str">
        <f>IF(B167="","",IF(LEN(B167)&gt;9,SUMIFS(Options!$H$3:$H$25,Options!$B$3:$B$25,Check!B167),SUMIFS('Master P&amp;L'!$H$11:$H$101,'Master P&amp;L'!$B$11:$B$101,Check!B167)))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IF(O167="","",IF(LEN(O167)&gt;9,SUMIFS(Options!$H$3:$H$25,Options!$B$3:$B$25,Check!O167),SUMIFS('Master P&amp;L'!$H$11:$H$101,'Master P&amp;L'!$B$11:$B$101,Check!O167)))</f>
        <v/>
      </c>
      <c r="R167" s="217" t="str">
        <f t="shared" ref="R167:R177" si="53">IF(O167="","",P167-Q167)</f>
        <v/>
      </c>
      <c r="S167" s="361" t="str">
        <f t="shared" si="37"/>
        <v/>
      </c>
    </row>
    <row r="168" spans="3:19">
      <c r="C168" s="233" t="str">
        <f>IF(B168="","",IF(LEN(B168)&gt;9,SUMIFS(Options!$H$3:$H$25,Options!$B$3:$B$25,Check!B168),SUMIFS('Master P&amp;L'!$H$11:$H$101,'Master P&amp;L'!$B$11:$B$101,Check!B168)))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IF(O168="","",IF(LEN(O168)&gt;9,SUMIFS(Options!$H$3:$H$25,Options!$B$3:$B$25,Check!O168),SUMIFS('Master P&amp;L'!$H$11:$H$101,'Master P&amp;L'!$B$11:$B$101,Check!O168)))</f>
        <v/>
      </c>
      <c r="R168" s="217" t="str">
        <f t="shared" si="53"/>
        <v/>
      </c>
      <c r="S168" s="361" t="str">
        <f t="shared" si="37"/>
        <v/>
      </c>
    </row>
    <row r="169" spans="3:19">
      <c r="C169" s="233" t="str">
        <f>IF(B169="","",IF(LEN(B169)&gt;9,SUMIFS(Options!$H$3:$H$25,Options!$B$3:$B$25,Check!B169),SUMIFS('Master P&amp;L'!$H$11:$H$101,'Master P&amp;L'!$B$11:$B$101,Check!B169)))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IF(O169="","",IF(LEN(O169)&gt;9,SUMIFS(Options!$H$3:$H$25,Options!$B$3:$B$25,Check!O169),SUMIFS('Master P&amp;L'!$H$11:$H$101,'Master P&amp;L'!$B$11:$B$101,Check!O169)))</f>
        <v/>
      </c>
      <c r="R169" s="217" t="str">
        <f t="shared" si="53"/>
        <v/>
      </c>
      <c r="S169" s="361" t="str">
        <f t="shared" si="37"/>
        <v/>
      </c>
    </row>
    <row r="170" spans="3:19">
      <c r="C170" s="233" t="str">
        <f>IF(B170="","",IF(LEN(B170)&gt;9,SUMIFS(Options!$H$3:$H$25,Options!$B$3:$B$25,Check!B170),SUMIFS('Master P&amp;L'!$H$11:$H$101,'Master P&amp;L'!$B$11:$B$101,Check!B170)))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IF(O170="","",IF(LEN(O170)&gt;9,SUMIFS(Options!$H$3:$H$25,Options!$B$3:$B$25,Check!O170),SUMIFS('Master P&amp;L'!$H$11:$H$101,'Master P&amp;L'!$B$11:$B$101,Check!O170)))</f>
        <v/>
      </c>
      <c r="R170" s="217" t="str">
        <f t="shared" si="53"/>
        <v/>
      </c>
      <c r="S170" s="361" t="str">
        <f t="shared" si="37"/>
        <v/>
      </c>
    </row>
    <row r="171" spans="3:19">
      <c r="C171" s="233" t="str">
        <f>IF(B171="","",IF(LEN(B171)&gt;9,SUMIFS(Options!$H$3:$H$25,Options!$B$3:$B$25,Check!B171),SUMIFS('Master P&amp;L'!$H$11:$H$101,'Master P&amp;L'!$B$11:$B$101,Check!B171)))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IF(O171="","",IF(LEN(O171)&gt;9,SUMIFS(Options!$H$3:$H$25,Options!$B$3:$B$25,Check!O171),SUMIFS('Master P&amp;L'!$H$11:$H$101,'Master P&amp;L'!$B$11:$B$101,Check!O171)))</f>
        <v/>
      </c>
      <c r="R171" s="217" t="str">
        <f t="shared" si="53"/>
        <v/>
      </c>
      <c r="S171" s="361" t="str">
        <f t="shared" si="37"/>
        <v/>
      </c>
    </row>
    <row r="172" spans="3:19">
      <c r="C172" s="233" t="str">
        <f>IF(B172="","",IF(LEN(B172)&gt;9,SUMIFS(Options!$H$3:$H$25,Options!$B$3:$B$25,Check!B172),SUMIFS('Master P&amp;L'!$H$11:$H$101,'Master P&amp;L'!$B$11:$B$101,Check!B172)))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IF(O172="","",IF(LEN(O172)&gt;9,SUMIFS(Options!$H$3:$H$25,Options!$B$3:$B$25,Check!O172),SUMIFS('Master P&amp;L'!$H$11:$H$101,'Master P&amp;L'!$B$11:$B$101,Check!O172)))</f>
        <v/>
      </c>
      <c r="R172" s="217" t="str">
        <f t="shared" si="53"/>
        <v/>
      </c>
      <c r="S172" s="361" t="str">
        <f t="shared" si="37"/>
        <v/>
      </c>
    </row>
    <row r="173" spans="3:19">
      <c r="C173" s="233" t="str">
        <f>IF(B173="","",IF(LEN(B173)&gt;9,SUMIFS(Options!$H$3:$H$25,Options!$B$3:$B$25,Check!B173),SUMIFS('Master P&amp;L'!$H$11:$H$101,'Master P&amp;L'!$B$11:$B$101,Check!B173)))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IF(O173="","",IF(LEN(O173)&gt;9,SUMIFS(Options!$H$3:$H$25,Options!$B$3:$B$25,Check!O173),SUMIFS('Master P&amp;L'!$H$11:$H$101,'Master P&amp;L'!$B$11:$B$101,Check!O173)))</f>
        <v/>
      </c>
      <c r="R173" s="217" t="str">
        <f t="shared" si="53"/>
        <v/>
      </c>
      <c r="S173" s="361" t="str">
        <f t="shared" si="37"/>
        <v/>
      </c>
    </row>
    <row r="174" spans="3:19">
      <c r="C174" s="233" t="str">
        <f>IF(B174="","",IF(LEN(B174)&gt;9,SUMIFS(Options!$H$3:$H$25,Options!$B$3:$B$25,Check!B174),SUMIFS('Master P&amp;L'!$H$11:$H$101,'Master P&amp;L'!$B$11:$B$101,Check!B174)))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IF(O174="","",IF(LEN(O174)&gt;9,SUMIFS(Options!$H$3:$H$25,Options!$B$3:$B$25,Check!O174),SUMIFS('Master P&amp;L'!$H$11:$H$101,'Master P&amp;L'!$B$11:$B$101,Check!O174)))</f>
        <v/>
      </c>
      <c r="R174" s="217" t="str">
        <f t="shared" si="53"/>
        <v/>
      </c>
      <c r="S174" s="361" t="str">
        <f t="shared" si="37"/>
        <v/>
      </c>
    </row>
    <row r="175" spans="3:19">
      <c r="C175" s="233" t="str">
        <f>IF(B175="","",IF(LEN(B175)&gt;9,SUMIFS(Options!$H$3:$H$25,Options!$B$3:$B$25,Check!B175),SUMIFS('Master P&amp;L'!$H$11:$H$101,'Master P&amp;L'!$B$11:$B$101,Check!B175)))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IF(O175="","",IF(LEN(O175)&gt;9,SUMIFS(Options!$H$3:$H$25,Options!$B$3:$B$25,Check!O175),SUMIFS('Master P&amp;L'!$H$11:$H$101,'Master P&amp;L'!$B$11:$B$101,Check!O175)))</f>
        <v/>
      </c>
      <c r="R175" s="217" t="str">
        <f t="shared" si="53"/>
        <v/>
      </c>
      <c r="S175" s="361" t="str">
        <f t="shared" si="37"/>
        <v/>
      </c>
    </row>
    <row r="176" spans="3:19">
      <c r="C176" s="233" t="str">
        <f>IF(B176="","",IF(LEN(B176)&gt;9,SUMIFS(Options!$H$3:$H$25,Options!$B$3:$B$25,Check!B176),SUMIFS('Master P&amp;L'!$H$11:$H$101,'Master P&amp;L'!$B$11:$B$101,Check!B176)))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IF(O176="","",IF(LEN(O176)&gt;9,SUMIFS(Options!$H$3:$H$25,Options!$B$3:$B$25,Check!O176),SUMIFS('Master P&amp;L'!$H$11:$H$101,'Master P&amp;L'!$B$11:$B$101,Check!O176)))</f>
        <v/>
      </c>
      <c r="R176" s="217" t="str">
        <f t="shared" si="53"/>
        <v/>
      </c>
      <c r="S176" s="361" t="str">
        <f t="shared" si="37"/>
        <v/>
      </c>
    </row>
    <row r="177" spans="3:19">
      <c r="C177" s="233" t="str">
        <f>IF(B177="","",IF(LEN(B177)&gt;9,SUMIFS(Options!$H$3:$H$25,Options!$B$3:$B$25,Check!B177),SUMIFS('Master P&amp;L'!$H$11:$H$101,'Master P&amp;L'!$B$11:$B$101,Check!B177)))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IF(O177="","",IF(LEN(O177)&gt;9,SUMIFS(Options!$H$3:$H$25,Options!$B$3:$B$25,Check!O177),SUMIFS('Master P&amp;L'!$H$11:$H$101,'Master P&amp;L'!$B$11:$B$101,Check!O177)))</f>
        <v/>
      </c>
      <c r="R177" s="217" t="str">
        <f t="shared" si="53"/>
        <v/>
      </c>
      <c r="S177" s="361" t="str">
        <f t="shared" si="37"/>
        <v/>
      </c>
    </row>
    <row r="178" spans="3:19">
      <c r="C178" s="233" t="str">
        <f>IF(B178="","",IF(LEN(B178)&gt;9,SUMIFS(Options!$H$3:$H$25,Options!$B$3:$B$25,Check!B178),SUMIFS('Master P&amp;L'!$H$11:$H$101,'Master P&amp;L'!$B$11:$B$101,Check!B178)))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IF(O178="","",IF(LEN(O178)&gt;9,SUMIFS(Options!$H$3:$H$25,Options!$B$3:$B$25,Check!O178),SUMIFS('Master P&amp;L'!$H$11:$H$101,'Master P&amp;L'!$B$11:$B$101,Check!O178)))</f>
        <v/>
      </c>
      <c r="R178" s="217" t="str">
        <f t="shared" ref="R178:R183" si="62">IF(O178="","",P178-Q178)</f>
        <v/>
      </c>
      <c r="S178" s="361" t="str">
        <f t="shared" si="37"/>
        <v/>
      </c>
    </row>
    <row r="179" spans="3:19">
      <c r="C179" s="233" t="str">
        <f>IF(B179="","",IF(LEN(B179)&gt;9,SUMIFS(Options!$H$3:$H$25,Options!$B$3:$B$25,Check!B179),SUMIFS('Master P&amp;L'!$H$11:$H$101,'Master P&amp;L'!$B$11:$B$101,Check!B179)))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IF(O179="","",IF(LEN(O179)&gt;9,SUMIFS(Options!$H$3:$H$25,Options!$B$3:$B$25,Check!O179),SUMIFS('Master P&amp;L'!$H$11:$H$101,'Master P&amp;L'!$B$11:$B$101,Check!O179)))</f>
        <v/>
      </c>
      <c r="R179" s="217" t="str">
        <f t="shared" si="62"/>
        <v/>
      </c>
      <c r="S179" s="361" t="str">
        <f t="shared" si="37"/>
        <v/>
      </c>
    </row>
    <row r="180" spans="3:19">
      <c r="C180" s="233" t="str">
        <f>IF(B180="","",IF(LEN(B180)&gt;9,SUMIFS(Options!$H$3:$H$25,Options!$B$3:$B$25,Check!B180),SUMIFS('Master P&amp;L'!$H$11:$H$101,'Master P&amp;L'!$B$11:$B$101,Check!B180)))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IF(O180="","",IF(LEN(O180)&gt;9,SUMIFS(Options!$H$3:$H$25,Options!$B$3:$B$25,Check!O180),SUMIFS('Master P&amp;L'!$H$11:$H$101,'Master P&amp;L'!$B$11:$B$101,Check!O180)))</f>
        <v/>
      </c>
      <c r="R180" s="217" t="str">
        <f t="shared" si="62"/>
        <v/>
      </c>
      <c r="S180" s="361" t="str">
        <f t="shared" si="37"/>
        <v/>
      </c>
    </row>
    <row r="181" spans="3:19">
      <c r="C181" s="233" t="str">
        <f>IF(B181="","",IF(LEN(B181)&gt;9,SUMIFS(Options!$H$3:$H$25,Options!$B$3:$B$25,Check!B181),SUMIFS('Master P&amp;L'!$H$11:$H$101,'Master P&amp;L'!$B$11:$B$101,Check!B181)))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IF(O181="","",IF(LEN(O181)&gt;9,SUMIFS(Options!$H$3:$H$25,Options!$B$3:$B$25,Check!O181),SUMIFS('Master P&amp;L'!$H$11:$H$101,'Master P&amp;L'!$B$11:$B$101,Check!O181)))</f>
        <v/>
      </c>
      <c r="R181" s="217" t="str">
        <f t="shared" si="62"/>
        <v/>
      </c>
      <c r="S181" s="361" t="str">
        <f t="shared" si="37"/>
        <v/>
      </c>
    </row>
    <row r="182" spans="3:19">
      <c r="C182" s="233" t="str">
        <f>IF(B182="","",IF(LEN(B182)&gt;9,SUMIFS(Options!$H$3:$H$25,Options!$B$3:$B$25,Check!B182),SUMIFS('Master P&amp;L'!$H$11:$H$101,'Master P&amp;L'!$B$11:$B$101,Check!B182)))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IF(O182="","",IF(LEN(O182)&gt;9,SUMIFS(Options!$H$3:$H$25,Options!$B$3:$B$25,Check!O182),SUMIFS('Master P&amp;L'!$H$11:$H$101,'Master P&amp;L'!$B$11:$B$101,Check!O182)))</f>
        <v/>
      </c>
      <c r="R182" s="217" t="str">
        <f t="shared" si="62"/>
        <v/>
      </c>
      <c r="S182" s="361" t="str">
        <f t="shared" si="37"/>
        <v/>
      </c>
    </row>
    <row r="183" spans="3:19">
      <c r="C183" s="233" t="str">
        <f>IF(B183="","",IF(LEN(B183)&gt;9,SUMIFS(Options!$H$3:$H$25,Options!$B$3:$B$25,Check!B183),SUMIFS('Master P&amp;L'!$H$11:$H$101,'Master P&amp;L'!$B$11:$B$101,Check!B183)))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IF(O183="","",IF(LEN(O183)&gt;9,SUMIFS(Options!$H$3:$H$25,Options!$B$3:$B$25,Check!O183),SUMIFS('Master P&amp;L'!$H$11:$H$101,'Master P&amp;L'!$B$11:$B$101,Check!O183)))</f>
        <v/>
      </c>
      <c r="R183" s="217" t="str">
        <f t="shared" si="62"/>
        <v/>
      </c>
      <c r="S183" s="361" t="str">
        <f t="shared" si="37"/>
        <v/>
      </c>
    </row>
    <row r="184" spans="3:19">
      <c r="C184" s="233" t="str">
        <f>IF(B184="","",IF(LEN(B184)&gt;9,SUMIFS(Options!$H$3:$H$25,Options!$B$3:$B$25,Check!B184),SUMIFS('Master P&amp;L'!$H$11:$H$101,'Master P&amp;L'!$B$11:$B$101,Check!B184)))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IF(O184="","",IF(LEN(O184)&gt;9,SUMIFS(Options!$H$3:$H$25,Options!$B$3:$B$25,Check!O184),SUMIFS('Master P&amp;L'!$H$11:$H$101,'Master P&amp;L'!$B$11:$B$101,Check!O184)))</f>
        <v/>
      </c>
      <c r="R184" s="217" t="str">
        <f>IF(O184="","",P184-Q184)</f>
        <v/>
      </c>
      <c r="S184" s="361" t="str">
        <f t="shared" si="37"/>
        <v/>
      </c>
    </row>
    <row r="185" spans="3:19">
      <c r="C185" s="233" t="str">
        <f>IF(B185="","",IF(LEN(B185)&gt;9,SUMIFS(Options!$H$3:$H$25,Options!$B$3:$B$25,Check!B185),SUMIFS('Master P&amp;L'!$H$11:$H$101,'Master P&amp;L'!$B$11:$B$101,Check!B185)))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IF(O185="","",IF(LEN(O185)&gt;9,SUMIFS(Options!$H$3:$H$25,Options!$B$3:$B$25,Check!O185),SUMIFS('Master P&amp;L'!$H$11:$H$101,'Master P&amp;L'!$B$11:$B$101,Check!O185)))</f>
        <v/>
      </c>
      <c r="R185" s="217" t="str">
        <f>IF(O185="","",P185-Q185)</f>
        <v/>
      </c>
      <c r="S185" s="361" t="str">
        <f t="shared" si="37"/>
        <v/>
      </c>
    </row>
    <row r="186" spans="3:19">
      <c r="C186" s="233" t="str">
        <f>IF(B186="","",IF(LEN(B186)&gt;9,SUMIFS(Options!$H$3:$H$25,Options!$B$3:$B$25,Check!B186),SUMIFS('Master P&amp;L'!$H$11:$H$101,'Master P&amp;L'!$B$11:$B$101,Check!B186)))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IF(O186="","",IF(LEN(O186)&gt;9,SUMIFS(Options!$H$3:$H$25,Options!$B$3:$B$25,Check!O186),SUMIFS('Master P&amp;L'!$H$11:$H$101,'Master P&amp;L'!$B$11:$B$101,Check!O186)))</f>
        <v/>
      </c>
      <c r="R186" s="217" t="str">
        <f>IF(O186="","",P186-Q186)</f>
        <v/>
      </c>
      <c r="S186" s="361" t="str">
        <f t="shared" si="37"/>
        <v/>
      </c>
    </row>
    <row r="187" spans="3:19">
      <c r="C187" s="233" t="str">
        <f>IF(B187="","",IF(LEN(B187)&gt;9,SUMIFS(Options!$H$3:$H$25,Options!$B$3:$B$25,Check!B187),SUMIFS('Master P&amp;L'!$H$11:$H$101,'Master P&amp;L'!$B$11:$B$101,Check!B187)))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IF(O187="","",IF(LEN(O187)&gt;9,SUMIFS(Options!$H$3:$H$25,Options!$B$3:$B$25,Check!O187),SUMIFS('Master P&amp;L'!$H$11:$H$101,'Master P&amp;L'!$B$11:$B$101,Check!O187)))</f>
        <v/>
      </c>
      <c r="R187" s="217" t="str">
        <f>IF(O187="","",P187-Q187)</f>
        <v/>
      </c>
      <c r="S187" s="361" t="str">
        <f t="shared" si="37"/>
        <v/>
      </c>
    </row>
    <row r="188" spans="3:19">
      <c r="C188" s="233" t="str">
        <f>IF(B188="","",IF(LEN(B188)&gt;9,SUMIFS(Options!$H$3:$H$25,Options!$B$3:$B$25,Check!B188),SUMIFS('Master P&amp;L'!$H$11:$H$101,'Master P&amp;L'!$B$11:$B$101,Check!B188)))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IF(O188="","",IF(LEN(O188)&gt;9,SUMIFS(Options!$H$3:$H$25,Options!$B$3:$B$25,Check!O188),SUMIFS('Master P&amp;L'!$H$11:$H$101,'Master P&amp;L'!$B$11:$B$101,Check!O188)))</f>
        <v/>
      </c>
      <c r="R188" s="217" t="str">
        <f t="shared" ref="R188:R205" si="67">IF(O188="","",P188-Q188)</f>
        <v/>
      </c>
      <c r="S188" s="361" t="str">
        <f t="shared" si="37"/>
        <v/>
      </c>
    </row>
    <row r="189" spans="3:19">
      <c r="C189" s="233" t="str">
        <f>IF(B189="","",IF(LEN(B189)&gt;9,SUMIFS(Options!$H$3:$H$25,Options!$B$3:$B$25,Check!B189),SUMIFS('Master P&amp;L'!$H$11:$H$101,'Master P&amp;L'!$B$11:$B$101,Check!B189)))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IF(O189="","",IF(LEN(O189)&gt;9,SUMIFS(Options!$H$3:$H$25,Options!$B$3:$B$25,Check!O189),SUMIFS('Master P&amp;L'!$H$11:$H$101,'Master P&amp;L'!$B$11:$B$101,Check!O189)))</f>
        <v/>
      </c>
      <c r="R189" s="217" t="str">
        <f t="shared" si="67"/>
        <v/>
      </c>
      <c r="S189" s="361" t="str">
        <f t="shared" si="37"/>
        <v/>
      </c>
    </row>
    <row r="190" spans="3:19">
      <c r="C190" s="233" t="str">
        <f>IF(B190="","",IF(LEN(B190)&gt;9,SUMIFS(Options!$H$3:$H$25,Options!$B$3:$B$25,Check!B190),SUMIFS('Master P&amp;L'!$H$11:$H$101,'Master P&amp;L'!$B$11:$B$101,Check!B190)))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IF(O190="","",IF(LEN(O190)&gt;9,SUMIFS(Options!$H$3:$H$25,Options!$B$3:$B$25,Check!O190),SUMIFS('Master P&amp;L'!$H$11:$H$101,'Master P&amp;L'!$B$11:$B$101,Check!O190)))</f>
        <v/>
      </c>
      <c r="R190" s="217" t="str">
        <f t="shared" si="67"/>
        <v/>
      </c>
      <c r="S190" s="361" t="str">
        <f t="shared" si="37"/>
        <v/>
      </c>
    </row>
    <row r="191" spans="3:19">
      <c r="C191" s="233" t="str">
        <f>IF(B191="","",IF(LEN(B191)&gt;9,SUMIFS(Options!$H$3:$H$25,Options!$B$3:$B$25,Check!B191),SUMIFS('Master P&amp;L'!$H$11:$H$101,'Master P&amp;L'!$B$11:$B$101,Check!B191)))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IF(O191="","",IF(LEN(O191)&gt;9,SUMIFS(Options!$H$3:$H$25,Options!$B$3:$B$25,Check!O191),SUMIFS('Master P&amp;L'!$H$11:$H$101,'Master P&amp;L'!$B$11:$B$101,Check!O191)))</f>
        <v/>
      </c>
      <c r="R191" s="217" t="str">
        <f t="shared" si="67"/>
        <v/>
      </c>
      <c r="S191" s="361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IF(O192="","",IF(LEN(O192)&gt;9,SUMIFS(Options!$H$3:$H$25,Options!$B$3:$B$25,Check!O192),SUMIFS('Master P&amp;L'!$H$11:$H$101,'Master P&amp;L'!$B$11:$B$101,Check!O192)))</f>
        <v/>
      </c>
      <c r="R192" s="217" t="str">
        <f t="shared" si="67"/>
        <v/>
      </c>
      <c r="S192" s="361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IF(O193="","",IF(LEN(O193)&gt;9,SUMIFS(Options!$H$3:$H$25,Options!$B$3:$B$25,Check!O193),SUMIFS('Master P&amp;L'!$H$11:$H$101,'Master P&amp;L'!$B$11:$B$101,Check!O193)))</f>
        <v/>
      </c>
      <c r="R193" s="217" t="str">
        <f t="shared" si="67"/>
        <v/>
      </c>
      <c r="S193" s="361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IF(O194="","",IF(LEN(O194)&gt;9,SUMIFS(Options!$H$3:$H$25,Options!$B$3:$B$25,Check!O194),SUMIFS('Master P&amp;L'!$H$11:$H$101,'Master P&amp;L'!$B$11:$B$101,Check!O194)))</f>
        <v/>
      </c>
      <c r="R194" s="217" t="str">
        <f t="shared" si="67"/>
        <v/>
      </c>
      <c r="S194" s="361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IF(O195="","",IF(LEN(O195)&gt;9,SUMIFS(Options!$H$3:$H$25,Options!$B$3:$B$25,Check!O195),SUMIFS('Master P&amp;L'!$H$11:$H$101,'Master P&amp;L'!$B$11:$B$101,Check!O195)))</f>
        <v/>
      </c>
      <c r="R195" s="217" t="str">
        <f t="shared" si="67"/>
        <v/>
      </c>
      <c r="S195" s="361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IF(O196="","",IF(LEN(O196)&gt;9,SUMIFS(Options!$H$3:$H$25,Options!$B$3:$B$25,Check!O196),SUMIFS('Master P&amp;L'!$H$11:$H$101,'Master P&amp;L'!$B$11:$B$101,Check!O196)))</f>
        <v/>
      </c>
      <c r="R196" s="217" t="str">
        <f t="shared" si="67"/>
        <v/>
      </c>
      <c r="S196" s="361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IF(O197="","",IF(LEN(O197)&gt;9,SUMIFS(Options!$H$3:$H$25,Options!$B$3:$B$25,Check!O197),SUMIFS('Master P&amp;L'!$H$11:$H$101,'Master P&amp;L'!$B$11:$B$101,Check!O197)))</f>
        <v/>
      </c>
      <c r="R197" s="217" t="str">
        <f t="shared" si="67"/>
        <v/>
      </c>
      <c r="S197" s="361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IF(O198="","",IF(LEN(O198)&gt;9,SUMIFS(Options!$H$3:$H$25,Options!$B$3:$B$25,Check!O198),SUMIFS('Master P&amp;L'!$H$11:$H$101,'Master P&amp;L'!$B$11:$B$101,Check!O198)))</f>
        <v/>
      </c>
      <c r="R198" s="217" t="str">
        <f t="shared" si="67"/>
        <v/>
      </c>
      <c r="S198" s="361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IF(O199="","",IF(LEN(O199)&gt;9,SUMIFS(Options!$H$3:$H$25,Options!$B$3:$B$25,Check!O199),SUMIFS('Master P&amp;L'!$H$11:$H$101,'Master P&amp;L'!$B$11:$B$101,Check!O199)))</f>
        <v/>
      </c>
      <c r="R199" s="217" t="str">
        <f t="shared" si="67"/>
        <v/>
      </c>
      <c r="S199" s="361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IF(O200="","",IF(LEN(O200)&gt;9,SUMIFS(Options!$H$3:$H$25,Options!$B$3:$B$25,Check!O200),SUMIFS('Master P&amp;L'!$H$11:$H$101,'Master P&amp;L'!$B$11:$B$101,Check!O200)))</f>
        <v/>
      </c>
      <c r="R200" s="217" t="str">
        <f t="shared" si="67"/>
        <v/>
      </c>
      <c r="S200" s="361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IF(O201="","",IF(LEN(O201)&gt;9,SUMIFS(Options!$H$3:$H$25,Options!$B$3:$B$25,Check!O201),SUMIFS('Master P&amp;L'!$H$11:$H$101,'Master P&amp;L'!$B$11:$B$101,Check!O201)))</f>
        <v/>
      </c>
      <c r="R201" s="217" t="str">
        <f t="shared" si="67"/>
        <v/>
      </c>
      <c r="S201" s="361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IF(O202="","",IF(LEN(O202)&gt;9,SUMIFS(Options!$H$3:$H$25,Options!$B$3:$B$25,Check!O202),SUMIFS('Master P&amp;L'!$H$11:$H$101,'Master P&amp;L'!$B$11:$B$101,Check!O202)))</f>
        <v/>
      </c>
      <c r="R202" s="217" t="str">
        <f t="shared" si="67"/>
        <v/>
      </c>
      <c r="S202" s="361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IF(O203="","",IF(LEN(O203)&gt;9,SUMIFS(Options!$H$3:$H$25,Options!$B$3:$B$25,Check!O203),SUMIFS('Master P&amp;L'!$H$11:$H$101,'Master P&amp;L'!$B$11:$B$101,Check!O203)))</f>
        <v/>
      </c>
      <c r="R203" s="217" t="str">
        <f t="shared" si="67"/>
        <v/>
      </c>
      <c r="S203" s="361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IF(O204="","",IF(LEN(O204)&gt;9,SUMIFS(Options!$H$3:$H$25,Options!$B$3:$B$25,Check!O204),SUMIFS('Master P&amp;L'!$H$11:$H$101,'Master P&amp;L'!$B$11:$B$101,Check!O204)))</f>
        <v/>
      </c>
      <c r="R204" s="217" t="str">
        <f t="shared" si="67"/>
        <v/>
      </c>
      <c r="S204" s="361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IF(O205="","",IF(LEN(O205)&gt;9,SUMIFS(Options!$H$3:$H$25,Options!$B$3:$B$25,Check!O205),SUMIFS('Master P&amp;L'!$H$11:$H$101,'Master P&amp;L'!$B$11:$B$101,Check!O205)))</f>
        <v/>
      </c>
      <c r="R205" s="217" t="str">
        <f t="shared" si="67"/>
        <v/>
      </c>
      <c r="S205" s="361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IF(O206="","",IF(LEN(O206)&gt;9,SUMIFS(Options!$H$3:$H$25,Options!$B$3:$B$25,Check!O206),SUMIFS('Master P&amp;L'!$H$11:$H$101,'Master P&amp;L'!$B$11:$B$101,Check!O206)))</f>
        <v/>
      </c>
      <c r="R206" s="217" t="str">
        <f>IF(O206="","",P206-Q206)</f>
        <v/>
      </c>
      <c r="S206" s="361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4" priority="4">
      <formula>J5&lt;&gt;0</formula>
    </cfRule>
  </conditionalFormatting>
  <conditionalFormatting sqref="E5:E191">
    <cfRule type="expression" dxfId="43" priority="3">
      <formula>E5&lt;&gt;0</formula>
    </cfRule>
  </conditionalFormatting>
  <conditionalFormatting sqref="S5:S206">
    <cfRule type="cellIs" dxfId="42" priority="2" operator="lessThan">
      <formula>0.9</formula>
    </cfRule>
  </conditionalFormatting>
  <conditionalFormatting sqref="S5:S198">
    <cfRule type="expression" dxfId="41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81"/>
    </sheetView>
  </sheetViews>
  <sheetFormatPr defaultColWidth="9.140625" defaultRowHeight="12.75" outlineLevelCol="1"/>
  <cols>
    <col min="1" max="4" width="9.140625" style="213"/>
    <col min="5" max="5" width="27.85546875" style="213" bestFit="1" customWidth="1" outlineLevel="1"/>
    <col min="6" max="6" width="43.7109375" style="213" bestFit="1" customWidth="1" outlineLevel="1"/>
    <col min="7" max="7" width="24.42578125" style="213" bestFit="1" customWidth="1" outlineLevel="1"/>
    <col min="8" max="8" width="12.28515625" style="213" bestFit="1" customWidth="1" outlineLevel="1"/>
    <col min="9" max="9" width="11.85546875" style="213" bestFit="1" customWidth="1" outlineLevel="1"/>
    <col min="10" max="10" width="9.140625" style="213"/>
    <col min="11" max="11" width="25.5703125" style="213" bestFit="1" customWidth="1"/>
    <col min="12" max="12" width="42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79</v>
      </c>
      <c r="G2" s="213" t="s">
        <v>282</v>
      </c>
      <c r="H2" s="213">
        <v>10133</v>
      </c>
      <c r="I2" s="213">
        <v>11918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AAPL</v>
      </c>
      <c r="M2" s="214" t="str">
        <f>IF(E2="","",G2)</f>
        <v>EQTY.IntlUS.off</v>
      </c>
      <c r="N2" s="215">
        <f>IF(E2="","",H2)</f>
        <v>10133</v>
      </c>
      <c r="O2" s="215">
        <f>IF(E2="","",I2)</f>
        <v>11918</v>
      </c>
    </row>
    <row r="3" spans="5:15">
      <c r="E3" s="213" t="s">
        <v>317</v>
      </c>
      <c r="F3" s="213" t="s">
        <v>2370</v>
      </c>
      <c r="G3" s="213" t="s">
        <v>282</v>
      </c>
      <c r="H3" s="213">
        <v>10885</v>
      </c>
      <c r="I3" s="213">
        <v>10885</v>
      </c>
      <c r="K3" s="214" t="str">
        <f t="shared" ref="K3:K66" si="0">IF(E3="","",E3)</f>
        <v>US Equity</v>
      </c>
      <c r="L3" s="214" t="str">
        <f>IF(E3="","",IF(COUNTIFS(Table2[[#All],[De (Lote)]],Input_APM!F3)&gt;0,INDEX(Table2[[#All],[Para (Ticker Daniel)]],MATCH(Input_APM!F3,Table2[[#All],[De (Lote)]],0)),Input_APM!F3))</f>
        <v>AKAM</v>
      </c>
      <c r="M3" s="214" t="str">
        <f t="shared" ref="M3:M66" si="1">IF(E3="","",G3)</f>
        <v>EQTY.IntlUS.off</v>
      </c>
      <c r="N3" s="215">
        <f t="shared" ref="N3:N66" si="2">IF(E3="","",H3)</f>
        <v>10885</v>
      </c>
      <c r="O3" s="215">
        <f t="shared" ref="O3:O66" si="3">IF(E3="","",I3)</f>
        <v>10885</v>
      </c>
    </row>
    <row r="4" spans="5:15">
      <c r="E4" s="213" t="s">
        <v>317</v>
      </c>
      <c r="F4" s="213" t="s">
        <v>399</v>
      </c>
      <c r="G4" s="213" t="s">
        <v>282</v>
      </c>
      <c r="H4" s="213">
        <v>16997</v>
      </c>
      <c r="I4" s="213">
        <v>16997</v>
      </c>
      <c r="K4" s="214" t="str">
        <f t="shared" si="0"/>
        <v>US Equity</v>
      </c>
      <c r="L4" s="214" t="str">
        <f>IF(E4="","",IF(COUNTIFS(Table2[[#All],[De (Lote)]],Input_APM!F4)&gt;0,INDEX(Table2[[#All],[Para (Ticker Daniel)]],MATCH(Input_APM!F4,Table2[[#All],[De (Lote)]],0)),Input_APM!F4))</f>
        <v>AMZN</v>
      </c>
      <c r="M4" s="214" t="str">
        <f t="shared" si="1"/>
        <v>EQTY.IntlUS.off</v>
      </c>
      <c r="N4" s="215">
        <f t="shared" si="2"/>
        <v>16997</v>
      </c>
      <c r="O4" s="215">
        <f t="shared" si="3"/>
        <v>16997</v>
      </c>
    </row>
    <row r="5" spans="5:15">
      <c r="E5" s="213" t="s">
        <v>319</v>
      </c>
      <c r="F5" s="213" t="s">
        <v>2297</v>
      </c>
      <c r="G5" s="213" t="s">
        <v>282</v>
      </c>
      <c r="H5" s="213">
        <v>0</v>
      </c>
      <c r="I5" s="213">
        <v>46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AMZN US 07/17/26 C245</v>
      </c>
      <c r="M5" s="214" t="str">
        <f t="shared" si="1"/>
        <v>EQTY.IntlUS.off</v>
      </c>
      <c r="N5" s="215">
        <f t="shared" si="2"/>
        <v>0</v>
      </c>
      <c r="O5" s="215">
        <f t="shared" si="3"/>
        <v>46</v>
      </c>
    </row>
    <row r="6" spans="5:15">
      <c r="E6" s="213" t="s">
        <v>320</v>
      </c>
      <c r="F6" s="213" t="s">
        <v>38</v>
      </c>
      <c r="G6" s="213" t="s">
        <v>282</v>
      </c>
      <c r="H6" s="213">
        <v>19706</v>
      </c>
      <c r="I6" s="213">
        <v>19706</v>
      </c>
      <c r="K6" s="214" t="str">
        <f t="shared" si="0"/>
        <v>ETF</v>
      </c>
      <c r="L6" s="214" t="str">
        <f>IF(E6="","",IF(COUNTIFS(Table2[[#All],[De (Lote)]],Input_APM!F6)&gt;0,INDEX(Table2[[#All],[Para (Ticker Daniel)]],MATCH(Input_APM!F6,Table2[[#All],[De (Lote)]],0)),Input_APM!F6))</f>
        <v>ASHR</v>
      </c>
      <c r="M6" s="214" t="str">
        <f t="shared" si="1"/>
        <v>EQTY.IntlUS.off</v>
      </c>
      <c r="N6" s="215">
        <f t="shared" si="2"/>
        <v>19706</v>
      </c>
      <c r="O6" s="215">
        <f t="shared" si="3"/>
        <v>19706</v>
      </c>
    </row>
    <row r="7" spans="5:15">
      <c r="E7" s="213" t="s">
        <v>324</v>
      </c>
      <c r="F7" s="213" t="s">
        <v>2227</v>
      </c>
      <c r="G7" s="213" t="s">
        <v>282</v>
      </c>
      <c r="H7" s="213">
        <v>935</v>
      </c>
      <c r="I7" s="213">
        <v>935</v>
      </c>
      <c r="K7" s="214" t="str">
        <f t="shared" si="0"/>
        <v>ETF Options</v>
      </c>
      <c r="L7" s="214" t="str">
        <f>IF(E7="","",IF(COUNTIFS(Table2[[#All],[De (Lote)]],Input_APM!F7)&gt;0,INDEX(Table2[[#All],[Para (Ticker Daniel)]],MATCH(Input_APM!F7,Table2[[#All],[De (Lote)]],0)),Input_APM!F7))</f>
        <v>ASHR US 02/20/26 C35</v>
      </c>
      <c r="M7" s="214" t="str">
        <f t="shared" si="1"/>
        <v>EQTY.IntlUS.off</v>
      </c>
      <c r="N7" s="215">
        <f t="shared" si="2"/>
        <v>935</v>
      </c>
      <c r="O7" s="215">
        <f t="shared" si="3"/>
        <v>935</v>
      </c>
    </row>
    <row r="8" spans="5:15">
      <c r="E8" s="213" t="s">
        <v>317</v>
      </c>
      <c r="F8" s="213" t="s">
        <v>137</v>
      </c>
      <c r="G8" s="213" t="s">
        <v>282</v>
      </c>
      <c r="H8" s="213">
        <v>0</v>
      </c>
      <c r="I8" s="213">
        <v>0</v>
      </c>
      <c r="K8" s="214" t="str">
        <f t="shared" si="0"/>
        <v>US Equity</v>
      </c>
      <c r="L8" s="214" t="str">
        <f>IF(E8="","",IF(COUNTIFS(Table2[[#All],[De (Lote)]],Input_APM!F8)&gt;0,INDEX(Table2[[#All],[Para (Ticker Daniel)]],MATCH(Input_APM!F8,Table2[[#All],[De (Lote)]],0)),Input_APM!F8))</f>
        <v>AVGO</v>
      </c>
      <c r="M8" s="214" t="str">
        <f t="shared" si="1"/>
        <v>EQTY.IntlUS.off</v>
      </c>
      <c r="N8" s="215">
        <f t="shared" si="2"/>
        <v>0</v>
      </c>
      <c r="O8" s="215">
        <f t="shared" si="3"/>
        <v>0</v>
      </c>
    </row>
    <row r="9" spans="5:15">
      <c r="E9" s="213" t="s">
        <v>319</v>
      </c>
      <c r="F9" s="213" t="s">
        <v>2105</v>
      </c>
      <c r="G9" s="213" t="s">
        <v>282</v>
      </c>
      <c r="H9" s="213">
        <v>114</v>
      </c>
      <c r="I9" s="213">
        <v>114</v>
      </c>
      <c r="K9" s="214" t="str">
        <f t="shared" si="0"/>
        <v>US Equity Options</v>
      </c>
      <c r="L9" s="214" t="str">
        <f>IF(E9="","",IF(COUNTIFS(Table2[[#All],[De (Lote)]],Input_APM!F9)&gt;0,INDEX(Table2[[#All],[Para (Ticker Daniel)]],MATCH(Input_APM!F9,Table2[[#All],[De (Lote)]],0)),Input_APM!F9))</f>
        <v>AVGO US 06/18/26 C350</v>
      </c>
      <c r="M9" s="214" t="str">
        <f t="shared" si="1"/>
        <v>EQTY.IntlUS.off</v>
      </c>
      <c r="N9" s="215">
        <f t="shared" si="2"/>
        <v>114</v>
      </c>
      <c r="O9" s="215">
        <f t="shared" si="3"/>
        <v>114</v>
      </c>
    </row>
    <row r="10" spans="5:15">
      <c r="E10" s="213" t="s">
        <v>39</v>
      </c>
      <c r="F10" s="213" t="s">
        <v>461</v>
      </c>
      <c r="G10" s="213" t="s">
        <v>282</v>
      </c>
      <c r="H10" s="213">
        <v>3163</v>
      </c>
      <c r="I10" s="213">
        <v>3163</v>
      </c>
      <c r="K10" s="214" t="str">
        <f t="shared" si="0"/>
        <v>ADR</v>
      </c>
      <c r="L10" s="214" t="str">
        <f>IF(E10="","",IF(COUNTIFS(Table2[[#All],[De (Lote)]],Input_APM!F10)&gt;0,INDEX(Table2[[#All],[Para (Ticker Daniel)]],MATCH(Input_APM!F10,Table2[[#All],[De (Lote)]],0)),Input_APM!F10))</f>
        <v>BABA</v>
      </c>
      <c r="M10" s="214" t="str">
        <f t="shared" si="1"/>
        <v>EQTY.IntlUS.off</v>
      </c>
      <c r="N10" s="215">
        <f t="shared" si="2"/>
        <v>3163</v>
      </c>
      <c r="O10" s="215">
        <f t="shared" si="3"/>
        <v>3163</v>
      </c>
    </row>
    <row r="11" spans="5:15">
      <c r="E11" s="213" t="s">
        <v>39</v>
      </c>
      <c r="F11" s="213" t="s">
        <v>2141</v>
      </c>
      <c r="G11" s="213" t="s">
        <v>282</v>
      </c>
      <c r="H11" s="213">
        <v>3285</v>
      </c>
      <c r="I11" s="213">
        <v>3285</v>
      </c>
      <c r="K11" s="214" t="str">
        <f t="shared" si="0"/>
        <v>ADR</v>
      </c>
      <c r="L11" s="214" t="str">
        <f>IF(E11="","",IF(COUNTIFS(Table2[[#All],[De (Lote)]],Input_APM!F11)&gt;0,INDEX(Table2[[#All],[Para (Ticker Daniel)]],MATCH(Input_APM!F11,Table2[[#All],[De (Lote)]],0)),Input_APM!F11))</f>
        <v>BIDU</v>
      </c>
      <c r="M11" s="214" t="str">
        <f t="shared" si="1"/>
        <v>EQTY.IntlUS.off</v>
      </c>
      <c r="N11" s="215">
        <f t="shared" si="2"/>
        <v>3285</v>
      </c>
      <c r="O11" s="215">
        <f t="shared" si="3"/>
        <v>3285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-0.28999999999999998</v>
      </c>
      <c r="I12" s="213">
        <v>-0.28999999999999998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CAD</v>
      </c>
      <c r="M12" s="214" t="str">
        <f t="shared" si="1"/>
        <v>EQTY.IntlUS.off</v>
      </c>
      <c r="N12" s="215">
        <f t="shared" si="2"/>
        <v>-0.28999999999999998</v>
      </c>
      <c r="O12" s="215">
        <f t="shared" si="3"/>
        <v>-0.28999999999999998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0.39</v>
      </c>
      <c r="I13" s="213">
        <v>0.39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CHF</v>
      </c>
      <c r="M13" s="214" t="str">
        <f t="shared" si="1"/>
        <v>EQTY.InternacionalUS2.off</v>
      </c>
      <c r="N13" s="215">
        <f t="shared" si="2"/>
        <v>0.39</v>
      </c>
      <c r="O13" s="215">
        <f t="shared" si="3"/>
        <v>0.39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-34454.449999999997</v>
      </c>
      <c r="I14" s="213">
        <v>-34454.449999999997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CHF</v>
      </c>
      <c r="M14" s="214" t="str">
        <f t="shared" si="1"/>
        <v>EQTY.IntlUS.off</v>
      </c>
      <c r="N14" s="215">
        <f t="shared" si="2"/>
        <v>-34454.449999999997</v>
      </c>
      <c r="O14" s="215">
        <f t="shared" si="3"/>
        <v>-34454.449999999997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-0.36</v>
      </c>
      <c r="I15" s="213">
        <v>-0.36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CNH</v>
      </c>
      <c r="M15" s="214" t="str">
        <f t="shared" si="1"/>
        <v>EQTY.IntlUS.off</v>
      </c>
      <c r="N15" s="215">
        <f t="shared" si="2"/>
        <v>-0.36</v>
      </c>
      <c r="O15" s="215">
        <f t="shared" si="3"/>
        <v>-0.36</v>
      </c>
    </row>
    <row r="16" spans="5:15">
      <c r="E16" s="213" t="s">
        <v>321</v>
      </c>
      <c r="F16" s="213" t="s">
        <v>2126</v>
      </c>
      <c r="G16" s="213" t="s">
        <v>283</v>
      </c>
      <c r="H16" s="213">
        <v>-0.19</v>
      </c>
      <c r="I16" s="213">
        <v>-0.19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CNY</v>
      </c>
      <c r="M16" s="214" t="str">
        <f t="shared" si="1"/>
        <v>EQTY.InternacionalUS2.off</v>
      </c>
      <c r="N16" s="215">
        <f t="shared" si="2"/>
        <v>-0.19</v>
      </c>
      <c r="O16" s="215">
        <f t="shared" si="3"/>
        <v>-0.19</v>
      </c>
    </row>
    <row r="17" spans="5:15">
      <c r="E17" s="213" t="s">
        <v>321</v>
      </c>
      <c r="F17" s="213" t="s">
        <v>2126</v>
      </c>
      <c r="G17" s="213" t="s">
        <v>282</v>
      </c>
      <c r="H17" s="213">
        <v>-143145.81</v>
      </c>
      <c r="I17" s="213">
        <v>-143145.81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CNY</v>
      </c>
      <c r="M17" s="214" t="str">
        <f t="shared" si="1"/>
        <v>EQTY.IntlUS.off</v>
      </c>
      <c r="N17" s="215">
        <f t="shared" si="2"/>
        <v>-143145.81</v>
      </c>
      <c r="O17" s="215">
        <f t="shared" si="3"/>
        <v>-143145.81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-0.15</v>
      </c>
      <c r="I18" s="213">
        <v>-0.15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EUR</v>
      </c>
      <c r="M18" s="214" t="str">
        <f t="shared" si="1"/>
        <v>EQTY.InternacionalUS2.off</v>
      </c>
      <c r="N18" s="215">
        <f t="shared" si="2"/>
        <v>-0.15</v>
      </c>
      <c r="O18" s="215">
        <f t="shared" si="3"/>
        <v>-0.15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40729.67</v>
      </c>
      <c r="I19" s="213">
        <v>40729.67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EUR</v>
      </c>
      <c r="M19" s="214" t="str">
        <f t="shared" si="1"/>
        <v>EQTY.IntlUS.off</v>
      </c>
      <c r="N19" s="215">
        <f t="shared" si="2"/>
        <v>40729.67</v>
      </c>
      <c r="O19" s="215">
        <f t="shared" si="3"/>
        <v>40729.67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-0.47</v>
      </c>
      <c r="I20" s="213">
        <v>-0.47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GBP</v>
      </c>
      <c r="M20" s="214" t="str">
        <f t="shared" si="1"/>
        <v>EQTY.IntlUS.off</v>
      </c>
      <c r="N20" s="215">
        <f t="shared" si="2"/>
        <v>-0.47</v>
      </c>
      <c r="O20" s="215">
        <f t="shared" si="3"/>
        <v>-0.47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0.2</v>
      </c>
      <c r="I21" s="213">
        <v>0.2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HKD</v>
      </c>
      <c r="M21" s="214" t="str">
        <f t="shared" si="1"/>
        <v>EQTY.InternacionalUS2.off</v>
      </c>
      <c r="N21" s="215">
        <f t="shared" si="2"/>
        <v>0.2</v>
      </c>
      <c r="O21" s="215">
        <f t="shared" si="3"/>
        <v>0.2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-341409.97</v>
      </c>
      <c r="I22" s="213">
        <v>-341409.97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HKD</v>
      </c>
      <c r="M22" s="214" t="str">
        <f t="shared" si="1"/>
        <v>EQTY.IntlUS.off</v>
      </c>
      <c r="N22" s="215">
        <f t="shared" si="2"/>
        <v>-341409.97</v>
      </c>
      <c r="O22" s="215">
        <f t="shared" si="3"/>
        <v>-341409.97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1.000005E-2</v>
      </c>
      <c r="I23" s="213">
        <v>1.000005E-2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KRW</v>
      </c>
      <c r="M23" s="214" t="str">
        <f t="shared" si="1"/>
        <v>EQTY.IntlUS.off</v>
      </c>
      <c r="N23" s="215">
        <f t="shared" si="2"/>
        <v>1.000005E-2</v>
      </c>
      <c r="O23" s="215">
        <f t="shared" si="3"/>
        <v>1.000005E-2</v>
      </c>
    </row>
    <row r="24" spans="5:15">
      <c r="E24" s="213" t="s">
        <v>321</v>
      </c>
      <c r="F24" s="213" t="s">
        <v>302</v>
      </c>
      <c r="G24" s="213" t="s">
        <v>282</v>
      </c>
      <c r="H24" s="213">
        <v>797798.16435314796</v>
      </c>
      <c r="I24" s="213">
        <v>4.3531500000000001E-3</v>
      </c>
      <c r="K24" s="214" t="str">
        <f t="shared" si="0"/>
        <v>Cash</v>
      </c>
      <c r="L24" s="214" t="str">
        <f>IF(E24="","",IF(COUNTIFS(Table2[[#All],[De (Lote)]],Input_APM!F24)&gt;0,INDEX(Table2[[#All],[Para (Ticker Daniel)]],MATCH(Input_APM!F24,Table2[[#All],[De (Lote)]],0)),Input_APM!F24))</f>
        <v>Cash USD</v>
      </c>
      <c r="M24" s="214" t="str">
        <f t="shared" si="1"/>
        <v>EQTY.IntlUS.off</v>
      </c>
      <c r="N24" s="215">
        <f t="shared" si="2"/>
        <v>797798.16435314796</v>
      </c>
      <c r="O24" s="215">
        <f t="shared" si="3"/>
        <v>4.3531500000000001E-3</v>
      </c>
    </row>
    <row r="25" spans="5:15">
      <c r="E25" s="213" t="s">
        <v>477</v>
      </c>
      <c r="F25" s="213" t="s">
        <v>1906</v>
      </c>
      <c r="G25" s="213" t="s">
        <v>282</v>
      </c>
      <c r="H25" s="213">
        <v>4625000</v>
      </c>
      <c r="I25" s="213">
        <v>4625000</v>
      </c>
      <c r="K25" s="214" t="str">
        <f t="shared" si="0"/>
        <v>CDS</v>
      </c>
      <c r="L25" s="214" t="str">
        <f>IF(E25="","",IF(COUNTIFS(Table2[[#All],[De (Lote)]],Input_APM!F25)&gt;0,INDEX(Table2[[#All],[Para (Ticker Daniel)]],MATCH(Input_APM!F25,Table2[[#All],[De (Lote)]],0)),Input_APM!F25))</f>
        <v>CHINAGOV 12/20/30</v>
      </c>
      <c r="M25" s="214" t="str">
        <f t="shared" si="1"/>
        <v>EQTY.IntlUS.off</v>
      </c>
      <c r="N25" s="215">
        <f t="shared" si="2"/>
        <v>4625000</v>
      </c>
      <c r="O25" s="215">
        <f t="shared" si="3"/>
        <v>4625000</v>
      </c>
    </row>
    <row r="26" spans="5:15">
      <c r="E26" s="213" t="s">
        <v>317</v>
      </c>
      <c r="F26" s="213" t="s">
        <v>2361</v>
      </c>
      <c r="G26" s="213" t="s">
        <v>282</v>
      </c>
      <c r="H26" s="213">
        <v>28536</v>
      </c>
      <c r="I26" s="213">
        <v>28536</v>
      </c>
      <c r="K26" s="214" t="str">
        <f t="shared" si="0"/>
        <v>US Equity</v>
      </c>
      <c r="L26" s="214" t="str">
        <f>IF(E26="","",IF(COUNTIFS(Table2[[#All],[De (Lote)]],Input_APM!F26)&gt;0,INDEX(Table2[[#All],[Para (Ticker Daniel)]],MATCH(Input_APM!F26,Table2[[#All],[De (Lote)]],0)),Input_APM!F26))</f>
        <v>CSCO</v>
      </c>
      <c r="M26" s="214" t="str">
        <f t="shared" si="1"/>
        <v>EQTY.IntlUS.off</v>
      </c>
      <c r="N26" s="215">
        <f t="shared" si="2"/>
        <v>28536</v>
      </c>
      <c r="O26" s="215">
        <f t="shared" si="3"/>
        <v>28536</v>
      </c>
    </row>
    <row r="27" spans="5:15">
      <c r="E27" s="213" t="s">
        <v>320</v>
      </c>
      <c r="F27" s="213" t="s">
        <v>1754</v>
      </c>
      <c r="G27" s="213" t="s">
        <v>282</v>
      </c>
      <c r="H27" s="213">
        <v>41862</v>
      </c>
      <c r="I27" s="213">
        <v>36962</v>
      </c>
      <c r="K27" s="214" t="str">
        <f t="shared" si="0"/>
        <v>ETF</v>
      </c>
      <c r="L27" s="214" t="str">
        <f>IF(E27="","",IF(COUNTIFS(Table2[[#All],[De (Lote)]],Input_APM!F27)&gt;0,INDEX(Table2[[#All],[Para (Ticker Daniel)]],MATCH(Input_APM!F27,Table2[[#All],[De (Lote)]],0)),Input_APM!F27))</f>
        <v>EWY</v>
      </c>
      <c r="M27" s="214" t="str">
        <f t="shared" si="1"/>
        <v>EQTY.IntlUS.off</v>
      </c>
      <c r="N27" s="215">
        <f t="shared" si="2"/>
        <v>41862</v>
      </c>
      <c r="O27" s="215">
        <f t="shared" si="3"/>
        <v>36962</v>
      </c>
    </row>
    <row r="28" spans="5:15">
      <c r="E28" s="213" t="s">
        <v>320</v>
      </c>
      <c r="F28" s="213" t="s">
        <v>131</v>
      </c>
      <c r="G28" s="213" t="s">
        <v>282</v>
      </c>
      <c r="H28" s="213">
        <v>22494</v>
      </c>
      <c r="I28" s="213">
        <v>12632</v>
      </c>
      <c r="K28" s="214" t="str">
        <f t="shared" si="0"/>
        <v>ETF</v>
      </c>
      <c r="L28" s="214" t="str">
        <f>IF(E28="","",IF(COUNTIFS(Table2[[#All],[De (Lote)]],Input_APM!F28)&gt;0,INDEX(Table2[[#All],[Para (Ticker Daniel)]],MATCH(Input_APM!F28,Table2[[#All],[De (Lote)]],0)),Input_APM!F28))</f>
        <v xml:space="preserve">GDX </v>
      </c>
      <c r="M28" s="214" t="str">
        <f t="shared" si="1"/>
        <v>EQTY.IntlUS.off</v>
      </c>
      <c r="N28" s="215">
        <f t="shared" si="2"/>
        <v>22494</v>
      </c>
      <c r="O28" s="215">
        <f t="shared" si="3"/>
        <v>12632</v>
      </c>
    </row>
    <row r="29" spans="5:15">
      <c r="E29" s="213" t="s">
        <v>324</v>
      </c>
      <c r="F29" s="213" t="s">
        <v>2266</v>
      </c>
      <c r="G29" s="213" t="s">
        <v>282</v>
      </c>
      <c r="H29" s="213">
        <v>1031</v>
      </c>
      <c r="I29" s="213">
        <v>1031</v>
      </c>
      <c r="K29" s="214" t="str">
        <f t="shared" si="0"/>
        <v>ETF Options</v>
      </c>
      <c r="L29" s="214" t="str">
        <f>IF(E29="","",IF(COUNTIFS(Table2[[#All],[De (Lote)]],Input_APM!F29)&gt;0,INDEX(Table2[[#All],[Para (Ticker Daniel)]],MATCH(Input_APM!F29,Table2[[#All],[De (Lote)]],0)),Input_APM!F29))</f>
        <v>GDX US 09/18/26 C105</v>
      </c>
      <c r="M29" s="214" t="str">
        <f t="shared" si="1"/>
        <v>EQTY.IntlUS.off</v>
      </c>
      <c r="N29" s="215">
        <f t="shared" si="2"/>
        <v>1031</v>
      </c>
      <c r="O29" s="215">
        <f t="shared" si="3"/>
        <v>1031</v>
      </c>
    </row>
    <row r="30" spans="5:15">
      <c r="E30" s="213" t="s">
        <v>324</v>
      </c>
      <c r="F30" s="213" t="s">
        <v>2267</v>
      </c>
      <c r="G30" s="213" t="s">
        <v>282</v>
      </c>
      <c r="H30" s="213">
        <v>-1031</v>
      </c>
      <c r="I30" s="213">
        <v>-1031</v>
      </c>
      <c r="K30" s="214" t="str">
        <f t="shared" si="0"/>
        <v>ETF Options</v>
      </c>
      <c r="L30" s="214" t="str">
        <f>IF(E30="","",IF(COUNTIFS(Table2[[#All],[De (Lote)]],Input_APM!F30)&gt;0,INDEX(Table2[[#All],[Para (Ticker Daniel)]],MATCH(Input_APM!F30,Table2[[#All],[De (Lote)]],0)),Input_APM!F30))</f>
        <v>GDX US 09/18/26 C115</v>
      </c>
      <c r="M30" s="214" t="str">
        <f t="shared" si="1"/>
        <v>EQTY.IntlUS.off</v>
      </c>
      <c r="N30" s="215">
        <f t="shared" si="2"/>
        <v>-1031</v>
      </c>
      <c r="O30" s="215">
        <f t="shared" si="3"/>
        <v>-1031</v>
      </c>
    </row>
    <row r="31" spans="5:15">
      <c r="E31" s="213" t="s">
        <v>317</v>
      </c>
      <c r="F31" s="213" t="s">
        <v>2148</v>
      </c>
      <c r="G31" s="213" t="s">
        <v>282</v>
      </c>
      <c r="H31" s="213">
        <v>8194</v>
      </c>
      <c r="I31" s="213">
        <v>8194</v>
      </c>
      <c r="K31" s="214" t="str">
        <f t="shared" si="0"/>
        <v>US Equity</v>
      </c>
      <c r="L31" s="214" t="str">
        <f>IF(E31="","",IF(COUNTIFS(Table2[[#All],[De (Lote)]],Input_APM!F31)&gt;0,INDEX(Table2[[#All],[Para (Ticker Daniel)]],MATCH(Input_APM!F31,Table2[[#All],[De (Lote)]],0)),Input_APM!F31))</f>
        <v>GOOG</v>
      </c>
      <c r="M31" s="214" t="str">
        <f t="shared" si="1"/>
        <v>EQTY.IntlUS.off</v>
      </c>
      <c r="N31" s="215">
        <f t="shared" si="2"/>
        <v>8194</v>
      </c>
      <c r="O31" s="215">
        <f t="shared" si="3"/>
        <v>8194</v>
      </c>
    </row>
    <row r="32" spans="5:15">
      <c r="E32" s="213" t="s">
        <v>325</v>
      </c>
      <c r="F32" s="213" t="s">
        <v>1896</v>
      </c>
      <c r="G32" s="213" t="s">
        <v>282</v>
      </c>
      <c r="H32" s="213">
        <v>276451</v>
      </c>
      <c r="I32" s="213">
        <v>276451</v>
      </c>
      <c r="K32" s="214" t="str">
        <f t="shared" si="0"/>
        <v>Basket Index Options</v>
      </c>
      <c r="L32" s="214" t="str">
        <f>IF(E32="","",IF(COUNTIFS(Table2[[#All],[De (Lote)]],Input_APM!F32)&gt;0,INDEX(Table2[[#All],[Para (Ticker Daniel)]],MATCH(Input_APM!F32,Table2[[#All],[De (Lote)]],0)),Input_APM!F32))</f>
        <v>GSC1000P 03/20/26 C104</v>
      </c>
      <c r="M32" s="214" t="str">
        <f t="shared" si="1"/>
        <v>EQTY.IntlUS.off</v>
      </c>
      <c r="N32" s="215">
        <f t="shared" si="2"/>
        <v>276451</v>
      </c>
      <c r="O32" s="215">
        <f t="shared" si="3"/>
        <v>276451</v>
      </c>
    </row>
    <row r="33" spans="5:15">
      <c r="E33" s="213" t="s">
        <v>325</v>
      </c>
      <c r="F33" s="213" t="s">
        <v>1897</v>
      </c>
      <c r="G33" s="213" t="s">
        <v>282</v>
      </c>
      <c r="H33" s="213">
        <v>-276451</v>
      </c>
      <c r="I33" s="213">
        <v>-276451</v>
      </c>
      <c r="K33" s="214" t="str">
        <f t="shared" si="0"/>
        <v>Basket Index Options</v>
      </c>
      <c r="L33" s="214" t="str">
        <f>IF(E33="","",IF(COUNTIFS(Table2[[#All],[De (Lote)]],Input_APM!F33)&gt;0,INDEX(Table2[[#All],[Para (Ticker Daniel)]],MATCH(Input_APM!F33,Table2[[#All],[De (Lote)]],0)),Input_APM!F33))</f>
        <v>GSC1000P 03/20/26 C119</v>
      </c>
      <c r="M33" s="214" t="str">
        <f t="shared" si="1"/>
        <v>EQTY.IntlUS.off</v>
      </c>
      <c r="N33" s="215">
        <f t="shared" si="2"/>
        <v>-276451</v>
      </c>
      <c r="O33" s="215">
        <f t="shared" si="3"/>
        <v>-276451</v>
      </c>
    </row>
    <row r="34" spans="5:15">
      <c r="E34" s="213" t="s">
        <v>317</v>
      </c>
      <c r="F34" s="213" t="s">
        <v>708</v>
      </c>
      <c r="G34" s="213" t="s">
        <v>282</v>
      </c>
      <c r="H34" s="213">
        <v>3282</v>
      </c>
      <c r="I34" s="213">
        <v>5161</v>
      </c>
      <c r="K34" s="214" t="str">
        <f t="shared" si="0"/>
        <v>US Equity</v>
      </c>
      <c r="L34" s="214" t="str">
        <f>IF(E34="","",IF(COUNTIFS(Table2[[#All],[De (Lote)]],Input_APM!F34)&gt;0,INDEX(Table2[[#All],[Para (Ticker Daniel)]],MATCH(Input_APM!F34,Table2[[#All],[De (Lote)]],0)),Input_APM!F34))</f>
        <v>INTC</v>
      </c>
      <c r="M34" s="214" t="str">
        <f t="shared" si="1"/>
        <v>EQTY.IntlUS.off</v>
      </c>
      <c r="N34" s="215">
        <f t="shared" si="2"/>
        <v>3282</v>
      </c>
      <c r="O34" s="215">
        <f t="shared" si="3"/>
        <v>5161</v>
      </c>
    </row>
    <row r="35" spans="5:15">
      <c r="E35" s="213" t="s">
        <v>319</v>
      </c>
      <c r="F35" s="213" t="s">
        <v>2340</v>
      </c>
      <c r="G35" s="213" t="s">
        <v>282</v>
      </c>
      <c r="H35" s="213">
        <v>237</v>
      </c>
      <c r="I35" s="213">
        <v>144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INTC US 07/17/26 C50</v>
      </c>
      <c r="M35" s="214" t="str">
        <f t="shared" si="1"/>
        <v>EQTY.IntlUS.off</v>
      </c>
      <c r="N35" s="215">
        <f t="shared" si="2"/>
        <v>237</v>
      </c>
      <c r="O35" s="215">
        <f t="shared" si="3"/>
        <v>144</v>
      </c>
    </row>
    <row r="36" spans="5:15">
      <c r="E36" s="213" t="s">
        <v>319</v>
      </c>
      <c r="F36" s="213" t="s">
        <v>2341</v>
      </c>
      <c r="G36" s="213" t="s">
        <v>282</v>
      </c>
      <c r="H36" s="213">
        <v>-141</v>
      </c>
      <c r="I36" s="213">
        <v>-141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INTC US 07/17/26 C60</v>
      </c>
      <c r="M36" s="214" t="str">
        <f t="shared" si="1"/>
        <v>EQTY.IntlUS.off</v>
      </c>
      <c r="N36" s="215">
        <f t="shared" si="2"/>
        <v>-141</v>
      </c>
      <c r="O36" s="215">
        <f t="shared" si="3"/>
        <v>-141</v>
      </c>
    </row>
    <row r="37" spans="5:15">
      <c r="E37" s="213" t="s">
        <v>319</v>
      </c>
      <c r="F37" s="213" t="s">
        <v>2339</v>
      </c>
      <c r="G37" s="213" t="s">
        <v>282</v>
      </c>
      <c r="H37" s="213">
        <v>-141</v>
      </c>
      <c r="I37" s="213">
        <v>-141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INTC US 07/17/26 P40</v>
      </c>
      <c r="M37" s="214" t="str">
        <f t="shared" si="1"/>
        <v>EQTY.IntlUS.off</v>
      </c>
      <c r="N37" s="215">
        <f t="shared" si="2"/>
        <v>-141</v>
      </c>
      <c r="O37" s="215">
        <f t="shared" si="3"/>
        <v>-141</v>
      </c>
    </row>
    <row r="38" spans="5:15">
      <c r="E38" s="213" t="s">
        <v>317</v>
      </c>
      <c r="F38" s="213" t="s">
        <v>2268</v>
      </c>
      <c r="G38" s="213" t="s">
        <v>282</v>
      </c>
      <c r="H38" s="213">
        <v>-10782</v>
      </c>
      <c r="I38" s="213">
        <v>-10782</v>
      </c>
      <c r="K38" s="214" t="str">
        <f t="shared" si="0"/>
        <v>US Equity</v>
      </c>
      <c r="L38" s="214" t="str">
        <f>IF(E38="","",IF(COUNTIFS(Table2[[#All],[De (Lote)]],Input_APM!F38)&gt;0,INDEX(Table2[[#All],[Para (Ticker Daniel)]],MATCH(Input_APM!F38,Table2[[#All],[De (Lote)]],0)),Input_APM!F38))</f>
        <v>KHC</v>
      </c>
      <c r="M38" s="214" t="str">
        <f t="shared" si="1"/>
        <v>EQTY.IntlUS.off</v>
      </c>
      <c r="N38" s="215">
        <f t="shared" si="2"/>
        <v>-10782</v>
      </c>
      <c r="O38" s="215">
        <f t="shared" si="3"/>
        <v>-10782</v>
      </c>
    </row>
    <row r="39" spans="5:15">
      <c r="E39" s="213" t="s">
        <v>2336</v>
      </c>
      <c r="F39" s="213" t="s">
        <v>2313</v>
      </c>
      <c r="G39" s="213" t="s">
        <v>282</v>
      </c>
      <c r="H39" s="213">
        <v>10349446</v>
      </c>
      <c r="I39" s="213">
        <v>10349446</v>
      </c>
      <c r="K39" s="214" t="str">
        <f t="shared" si="0"/>
        <v>KOSPI 200 Index Options - KRX</v>
      </c>
      <c r="L39" s="214" t="str">
        <f>IF(E39="","",IF(COUNTIFS(Table2[[#All],[De (Lote)]],Input_APM!F39)&gt;0,INDEX(Table2[[#All],[Para (Ticker Daniel)]],MATCH(Input_APM!F39,Table2[[#All],[De (Lote)]],0)),Input_APM!F39))</f>
        <v>KOSPI2 12/10/26 C1000</v>
      </c>
      <c r="M39" s="214" t="str">
        <f t="shared" si="1"/>
        <v>EQTY.IntlUS.off</v>
      </c>
      <c r="N39" s="215">
        <f t="shared" si="2"/>
        <v>10349446</v>
      </c>
      <c r="O39" s="215">
        <f t="shared" si="3"/>
        <v>10349446</v>
      </c>
    </row>
    <row r="40" spans="5:15">
      <c r="E40" s="213" t="s">
        <v>317</v>
      </c>
      <c r="F40" s="213" t="s">
        <v>2063</v>
      </c>
      <c r="G40" s="213" t="s">
        <v>282</v>
      </c>
      <c r="H40" s="213">
        <v>841</v>
      </c>
      <c r="I40" s="213">
        <v>841</v>
      </c>
      <c r="K40" s="214" t="str">
        <f t="shared" si="0"/>
        <v>US Equity</v>
      </c>
      <c r="L40" s="214" t="str">
        <f>IF(E40="","",IF(COUNTIFS(Table2[[#All],[De (Lote)]],Input_APM!F40)&gt;0,INDEX(Table2[[#All],[Para (Ticker Daniel)]],MATCH(Input_APM!F40,Table2[[#All],[De (Lote)]],0)),Input_APM!F40))</f>
        <v>LITE</v>
      </c>
      <c r="M40" s="214" t="str">
        <f t="shared" si="1"/>
        <v>EQTY.IntlUS.off</v>
      </c>
      <c r="N40" s="215">
        <f t="shared" si="2"/>
        <v>841</v>
      </c>
      <c r="O40" s="215">
        <f t="shared" si="3"/>
        <v>841</v>
      </c>
    </row>
    <row r="41" spans="5:15">
      <c r="E41" s="213" t="s">
        <v>319</v>
      </c>
      <c r="F41" s="213" t="s">
        <v>2295</v>
      </c>
      <c r="G41" s="213" t="s">
        <v>282</v>
      </c>
      <c r="H41" s="213">
        <v>56</v>
      </c>
      <c r="I41" s="213">
        <v>56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LITE US 03/20/26 C420</v>
      </c>
      <c r="M41" s="214" t="str">
        <f t="shared" si="1"/>
        <v>EQTY.IntlUS.off</v>
      </c>
      <c r="N41" s="215">
        <f t="shared" si="2"/>
        <v>56</v>
      </c>
      <c r="O41" s="215">
        <f t="shared" si="3"/>
        <v>56</v>
      </c>
    </row>
    <row r="42" spans="5:15">
      <c r="E42" s="213" t="s">
        <v>464</v>
      </c>
      <c r="F42" s="213" t="s">
        <v>2423</v>
      </c>
      <c r="G42" s="213" t="s">
        <v>282</v>
      </c>
      <c r="H42" s="213">
        <v>-9372000</v>
      </c>
      <c r="I42" s="213">
        <v>-9372000</v>
      </c>
      <c r="K42" s="214" t="str">
        <f t="shared" si="0"/>
        <v>Global Bonds</v>
      </c>
      <c r="L42" s="214" t="str">
        <f>IF(E42="","",IF(COUNTIFS(Table2[[#All],[De (Lote)]],Input_APM!F42)&gt;0,INDEX(Table2[[#All],[Para (Ticker Daniel)]],MATCH(Input_APM!F42,Table2[[#All],[De (Lote)]],0)),Input_APM!F42))</f>
        <v>META 4.875% 11/15/35</v>
      </c>
      <c r="M42" s="214" t="str">
        <f t="shared" si="1"/>
        <v>EQTY.IntlUS.off</v>
      </c>
      <c r="N42" s="215">
        <f t="shared" si="2"/>
        <v>-9372000</v>
      </c>
      <c r="O42" s="215">
        <f t="shared" si="3"/>
        <v>-9372000</v>
      </c>
    </row>
    <row r="43" spans="5:15">
      <c r="E43" s="213" t="s">
        <v>317</v>
      </c>
      <c r="F43" s="213" t="s">
        <v>326</v>
      </c>
      <c r="G43" s="213" t="s">
        <v>282</v>
      </c>
      <c r="H43" s="213">
        <v>3055</v>
      </c>
      <c r="I43" s="213">
        <v>-656</v>
      </c>
      <c r="K43" s="214" t="str">
        <f t="shared" si="0"/>
        <v>US Equity</v>
      </c>
      <c r="L43" s="214" t="str">
        <f>IF(E43="","",IF(COUNTIFS(Table2[[#All],[De (Lote)]],Input_APM!F43)&gt;0,INDEX(Table2[[#All],[Para (Ticker Daniel)]],MATCH(Input_APM!F43,Table2[[#All],[De (Lote)]],0)),Input_APM!F43))</f>
        <v>META</v>
      </c>
      <c r="M43" s="214" t="str">
        <f t="shared" si="1"/>
        <v>EQTY.IntlUS.off</v>
      </c>
      <c r="N43" s="215">
        <f t="shared" si="2"/>
        <v>3055</v>
      </c>
      <c r="O43" s="215">
        <f t="shared" si="3"/>
        <v>-656</v>
      </c>
    </row>
    <row r="44" spans="5:15">
      <c r="E44" s="213" t="s">
        <v>319</v>
      </c>
      <c r="F44" s="213" t="s">
        <v>2068</v>
      </c>
      <c r="G44" s="213" t="s">
        <v>282</v>
      </c>
      <c r="H44" s="213">
        <v>57</v>
      </c>
      <c r="I44" s="213">
        <v>57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META US 04/17/26 C690</v>
      </c>
      <c r="M44" s="214" t="str">
        <f t="shared" si="1"/>
        <v>EQTY.IntlUS.off</v>
      </c>
      <c r="N44" s="215">
        <f t="shared" si="2"/>
        <v>57</v>
      </c>
      <c r="O44" s="215">
        <f t="shared" si="3"/>
        <v>57</v>
      </c>
    </row>
    <row r="45" spans="5:15">
      <c r="E45" s="213" t="s">
        <v>319</v>
      </c>
      <c r="F45" s="213" t="s">
        <v>2298</v>
      </c>
      <c r="G45" s="213" t="s">
        <v>282</v>
      </c>
      <c r="H45" s="213">
        <v>0</v>
      </c>
      <c r="I45" s="213">
        <v>73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META US 07/17/26 C670</v>
      </c>
      <c r="M45" s="214" t="str">
        <f t="shared" si="1"/>
        <v>EQTY.IntlUS.off</v>
      </c>
      <c r="N45" s="215">
        <f t="shared" si="2"/>
        <v>0</v>
      </c>
      <c r="O45" s="215">
        <f t="shared" si="3"/>
        <v>73</v>
      </c>
    </row>
    <row r="46" spans="5:15">
      <c r="E46" s="213" t="s">
        <v>319</v>
      </c>
      <c r="F46" s="213" t="s">
        <v>2421</v>
      </c>
      <c r="G46" s="213" t="s">
        <v>282</v>
      </c>
      <c r="H46" s="213">
        <v>70</v>
      </c>
      <c r="I46" s="213">
        <v>0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META US 07/17/26 C700</v>
      </c>
      <c r="M46" s="214" t="str">
        <f t="shared" si="1"/>
        <v>EQTY.IntlUS.off</v>
      </c>
      <c r="N46" s="215">
        <f t="shared" si="2"/>
        <v>70</v>
      </c>
      <c r="O46" s="215">
        <f t="shared" si="3"/>
        <v>0</v>
      </c>
    </row>
    <row r="47" spans="5:15">
      <c r="E47" s="213" t="s">
        <v>317</v>
      </c>
      <c r="F47" s="213" t="s">
        <v>138</v>
      </c>
      <c r="G47" s="213" t="s">
        <v>282</v>
      </c>
      <c r="H47" s="213">
        <v>-46</v>
      </c>
      <c r="I47" s="213">
        <v>-46</v>
      </c>
      <c r="K47" s="214" t="str">
        <f t="shared" si="0"/>
        <v>US Equity</v>
      </c>
      <c r="L47" s="214" t="str">
        <f>IF(E47="","",IF(COUNTIFS(Table2[[#All],[De (Lote)]],Input_APM!F47)&gt;0,INDEX(Table2[[#All],[Para (Ticker Daniel)]],MATCH(Input_APM!F47,Table2[[#All],[De (Lote)]],0)),Input_APM!F47))</f>
        <v>MRVL</v>
      </c>
      <c r="M47" s="214" t="str">
        <f t="shared" si="1"/>
        <v>EQTY.IntlUS.off</v>
      </c>
      <c r="N47" s="215">
        <f t="shared" si="2"/>
        <v>-46</v>
      </c>
      <c r="O47" s="215">
        <f t="shared" si="3"/>
        <v>-46</v>
      </c>
    </row>
    <row r="48" spans="5:15">
      <c r="E48" s="213" t="s">
        <v>319</v>
      </c>
      <c r="F48" s="213" t="s">
        <v>2278</v>
      </c>
      <c r="G48" s="213" t="s">
        <v>282</v>
      </c>
      <c r="H48" s="213">
        <v>-141</v>
      </c>
      <c r="I48" s="213">
        <v>-141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MRVL US 03/20/26 P70</v>
      </c>
      <c r="M48" s="214" t="str">
        <f t="shared" si="1"/>
        <v>EQTY.IntlUS.off</v>
      </c>
      <c r="N48" s="215">
        <f t="shared" si="2"/>
        <v>-141</v>
      </c>
      <c r="O48" s="215">
        <f t="shared" si="3"/>
        <v>-141</v>
      </c>
    </row>
    <row r="49" spans="5:15">
      <c r="E49" s="213" t="s">
        <v>319</v>
      </c>
      <c r="F49" s="213" t="s">
        <v>2098</v>
      </c>
      <c r="G49" s="213" t="s">
        <v>282</v>
      </c>
      <c r="H49" s="213">
        <v>-188</v>
      </c>
      <c r="I49" s="213">
        <v>-188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MRVL US 03/20/26 P75</v>
      </c>
      <c r="M49" s="214" t="str">
        <f t="shared" si="1"/>
        <v>EQTY.IntlUS.off</v>
      </c>
      <c r="N49" s="215">
        <f t="shared" si="2"/>
        <v>-188</v>
      </c>
      <c r="O49" s="215">
        <f t="shared" si="3"/>
        <v>-188</v>
      </c>
    </row>
    <row r="50" spans="5:15">
      <c r="E50" s="213" t="s">
        <v>319</v>
      </c>
      <c r="F50" s="213" t="s">
        <v>2058</v>
      </c>
      <c r="G50" s="213" t="s">
        <v>282</v>
      </c>
      <c r="H50" s="213">
        <v>141</v>
      </c>
      <c r="I50" s="213">
        <v>141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MRVL US 03/20/26 P80</v>
      </c>
      <c r="M50" s="214" t="str">
        <f t="shared" si="1"/>
        <v>EQTY.IntlUS.off</v>
      </c>
      <c r="N50" s="215">
        <f t="shared" si="2"/>
        <v>141</v>
      </c>
      <c r="O50" s="215">
        <f t="shared" si="3"/>
        <v>141</v>
      </c>
    </row>
    <row r="51" spans="5:15">
      <c r="E51" s="213" t="s">
        <v>319</v>
      </c>
      <c r="F51" s="213" t="s">
        <v>2097</v>
      </c>
      <c r="G51" s="213" t="s">
        <v>282</v>
      </c>
      <c r="H51" s="213">
        <v>186</v>
      </c>
      <c r="I51" s="213">
        <v>186</v>
      </c>
      <c r="K51" s="214" t="str">
        <f t="shared" si="0"/>
        <v>US Equity Options</v>
      </c>
      <c r="L51" s="214" t="str">
        <f>IF(E51="","",IF(COUNTIFS(Table2[[#All],[De (Lote)]],Input_APM!F51)&gt;0,INDEX(Table2[[#All],[Para (Ticker Daniel)]],MATCH(Input_APM!F51,Table2[[#All],[De (Lote)]],0)),Input_APM!F51))</f>
        <v>MRVL US 03/20/26 P85</v>
      </c>
      <c r="M51" s="214" t="str">
        <f t="shared" si="1"/>
        <v>EQTY.IntlUS.off</v>
      </c>
      <c r="N51" s="215">
        <f t="shared" si="2"/>
        <v>186</v>
      </c>
      <c r="O51" s="215">
        <f t="shared" si="3"/>
        <v>186</v>
      </c>
    </row>
    <row r="52" spans="5:15">
      <c r="E52" s="213" t="s">
        <v>317</v>
      </c>
      <c r="F52" s="213" t="s">
        <v>90</v>
      </c>
      <c r="G52" s="213" t="s">
        <v>282</v>
      </c>
      <c r="H52" s="213">
        <v>-955</v>
      </c>
      <c r="I52" s="213">
        <v>1112</v>
      </c>
      <c r="K52" s="214" t="str">
        <f t="shared" si="0"/>
        <v>US Equity</v>
      </c>
      <c r="L52" s="214" t="str">
        <f>IF(E52="","",IF(COUNTIFS(Table2[[#All],[De (Lote)]],Input_APM!F52)&gt;0,INDEX(Table2[[#All],[Para (Ticker Daniel)]],MATCH(Input_APM!F52,Table2[[#All],[De (Lote)]],0)),Input_APM!F52))</f>
        <v>MSFT</v>
      </c>
      <c r="M52" s="214" t="str">
        <f t="shared" si="1"/>
        <v>EQTY.IntlUS.off</v>
      </c>
      <c r="N52" s="215">
        <f t="shared" si="2"/>
        <v>-955</v>
      </c>
      <c r="O52" s="215">
        <f t="shared" si="3"/>
        <v>1112</v>
      </c>
    </row>
    <row r="53" spans="5:15">
      <c r="E53" s="213" t="s">
        <v>319</v>
      </c>
      <c r="F53" s="213" t="s">
        <v>2342</v>
      </c>
      <c r="G53" s="213" t="s">
        <v>282</v>
      </c>
      <c r="H53" s="213">
        <v>0</v>
      </c>
      <c r="I53" s="213">
        <v>73</v>
      </c>
      <c r="K53" s="214" t="str">
        <f t="shared" si="0"/>
        <v>US Equity Options</v>
      </c>
      <c r="L53" s="214" t="str">
        <f>IF(E53="","",IF(COUNTIFS(Table2[[#All],[De (Lote)]],Input_APM!F53)&gt;0,INDEX(Table2[[#All],[Para (Ticker Daniel)]],MATCH(Input_APM!F53,Table2[[#All],[De (Lote)]],0)),Input_APM!F53))</f>
        <v>MSFT US 07/17/26 C475</v>
      </c>
      <c r="M53" s="214" t="str">
        <f t="shared" si="1"/>
        <v>EQTY.IntlUS.off</v>
      </c>
      <c r="N53" s="215">
        <f t="shared" si="2"/>
        <v>0</v>
      </c>
      <c r="O53" s="215">
        <f t="shared" si="3"/>
        <v>73</v>
      </c>
    </row>
    <row r="54" spans="5:15">
      <c r="E54" s="213" t="s">
        <v>319</v>
      </c>
      <c r="F54" s="213" t="s">
        <v>2371</v>
      </c>
      <c r="G54" s="213" t="s">
        <v>282</v>
      </c>
      <c r="H54" s="213">
        <v>163</v>
      </c>
      <c r="I54" s="213">
        <v>70</v>
      </c>
      <c r="K54" s="214" t="str">
        <f t="shared" si="0"/>
        <v>US Equity Options</v>
      </c>
      <c r="L54" s="214" t="str">
        <f>IF(E54="","",IF(COUNTIFS(Table2[[#All],[De (Lote)]],Input_APM!F54)&gt;0,INDEX(Table2[[#All],[Para (Ticker Daniel)]],MATCH(Input_APM!F54,Table2[[#All],[De (Lote)]],0)),Input_APM!F54))</f>
        <v>MSFT US 07/17/26 C500</v>
      </c>
      <c r="M54" s="214" t="str">
        <f t="shared" si="1"/>
        <v>EQTY.IntlUS.off</v>
      </c>
      <c r="N54" s="215">
        <f t="shared" si="2"/>
        <v>163</v>
      </c>
      <c r="O54" s="215">
        <f t="shared" si="3"/>
        <v>70</v>
      </c>
    </row>
    <row r="55" spans="5:15">
      <c r="E55" s="213" t="s">
        <v>317</v>
      </c>
      <c r="F55" s="213" t="s">
        <v>94</v>
      </c>
      <c r="G55" s="213" t="s">
        <v>282</v>
      </c>
      <c r="H55" s="213">
        <v>12598</v>
      </c>
      <c r="I55" s="213">
        <v>21522</v>
      </c>
      <c r="K55" s="214" t="str">
        <f t="shared" si="0"/>
        <v>US Equity</v>
      </c>
      <c r="L55" s="214" t="str">
        <f>IF(E55="","",IF(COUNTIFS(Table2[[#All],[De (Lote)]],Input_APM!F55)&gt;0,INDEX(Table2[[#All],[Para (Ticker Daniel)]],MATCH(Input_APM!F55,Table2[[#All],[De (Lote)]],0)),Input_APM!F55))</f>
        <v>NVDA</v>
      </c>
      <c r="M55" s="214" t="str">
        <f t="shared" si="1"/>
        <v>EQTY.IntlUS.off</v>
      </c>
      <c r="N55" s="215">
        <f t="shared" si="2"/>
        <v>12598</v>
      </c>
      <c r="O55" s="215">
        <f t="shared" si="3"/>
        <v>21522</v>
      </c>
    </row>
    <row r="56" spans="5:15">
      <c r="E56" s="213" t="s">
        <v>319</v>
      </c>
      <c r="F56" s="213" t="s">
        <v>2408</v>
      </c>
      <c r="G56" s="213" t="s">
        <v>282</v>
      </c>
      <c r="H56" s="213">
        <v>1879</v>
      </c>
      <c r="I56" s="213">
        <v>0</v>
      </c>
      <c r="K56" s="214" t="str">
        <f t="shared" si="0"/>
        <v>US Equity Options</v>
      </c>
      <c r="L56" s="214" t="str">
        <f>IF(E56="","",IF(COUNTIFS(Table2[[#All],[De (Lote)]],Input_APM!F56)&gt;0,INDEX(Table2[[#All],[Para (Ticker Daniel)]],MATCH(Input_APM!F56,Table2[[#All],[De (Lote)]],0)),Input_APM!F56))</f>
        <v>NVDA US 02/06/26 C197.5</v>
      </c>
      <c r="M56" s="214" t="str">
        <f t="shared" si="1"/>
        <v>EQTY.IntlUS.off</v>
      </c>
      <c r="N56" s="215">
        <f t="shared" si="2"/>
        <v>1879</v>
      </c>
      <c r="O56" s="215">
        <f t="shared" si="3"/>
        <v>0</v>
      </c>
    </row>
    <row r="57" spans="5:15">
      <c r="E57" s="213" t="s">
        <v>319</v>
      </c>
      <c r="F57" s="213" t="s">
        <v>2409</v>
      </c>
      <c r="G57" s="213" t="s">
        <v>282</v>
      </c>
      <c r="H57" s="213">
        <v>-1879</v>
      </c>
      <c r="I57" s="213">
        <v>0</v>
      </c>
      <c r="K57" s="214" t="str">
        <f t="shared" si="0"/>
        <v>US Equity Options</v>
      </c>
      <c r="L57" s="214" t="str">
        <f>IF(E57="","",IF(COUNTIFS(Table2[[#All],[De (Lote)]],Input_APM!F57)&gt;0,INDEX(Table2[[#All],[Para (Ticker Daniel)]],MATCH(Input_APM!F57,Table2[[#All],[De (Lote)]],0)),Input_APM!F57))</f>
        <v>NVDA US 02/13/26 C202.5</v>
      </c>
      <c r="M57" s="214" t="str">
        <f t="shared" si="1"/>
        <v>EQTY.IntlUS.off</v>
      </c>
      <c r="N57" s="215">
        <f t="shared" si="2"/>
        <v>-1879</v>
      </c>
      <c r="O57" s="215">
        <f t="shared" si="3"/>
        <v>0</v>
      </c>
    </row>
    <row r="58" spans="5:15">
      <c r="E58" s="213" t="s">
        <v>319</v>
      </c>
      <c r="F58" s="213" t="s">
        <v>2405</v>
      </c>
      <c r="G58" s="213" t="s">
        <v>282</v>
      </c>
      <c r="H58" s="213">
        <v>142</v>
      </c>
      <c r="I58" s="213">
        <v>0</v>
      </c>
      <c r="K58" s="214" t="str">
        <f t="shared" si="0"/>
        <v>US Equity Options</v>
      </c>
      <c r="L58" s="214" t="str">
        <f>IF(E58="","",IF(COUNTIFS(Table2[[#All],[De (Lote)]],Input_APM!F58)&gt;0,INDEX(Table2[[#All],[Para (Ticker Daniel)]],MATCH(Input_APM!F58,Table2[[#All],[De (Lote)]],0)),Input_APM!F58))</f>
        <v>NVDA US 05/15/26 C200</v>
      </c>
      <c r="M58" s="214" t="str">
        <f t="shared" si="1"/>
        <v>EQTY.IntlUS.off</v>
      </c>
      <c r="N58" s="215">
        <f t="shared" si="2"/>
        <v>142</v>
      </c>
      <c r="O58" s="215">
        <f t="shared" si="3"/>
        <v>0</v>
      </c>
    </row>
    <row r="59" spans="5:15">
      <c r="E59" s="213" t="s">
        <v>318</v>
      </c>
      <c r="F59" s="213" t="s">
        <v>2424</v>
      </c>
      <c r="G59" s="213" t="s">
        <v>282</v>
      </c>
      <c r="H59" s="213">
        <v>15393.26</v>
      </c>
      <c r="I59" s="213">
        <v>0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Provision Equity Total Return Swap USD_</v>
      </c>
      <c r="M59" s="214" t="str">
        <f t="shared" si="1"/>
        <v>EQTY.IntlUS.off</v>
      </c>
      <c r="N59" s="215">
        <f t="shared" si="2"/>
        <v>15393.26</v>
      </c>
      <c r="O59" s="215">
        <f t="shared" si="3"/>
        <v>0</v>
      </c>
    </row>
    <row r="60" spans="5:15">
      <c r="E60" s="213" t="s">
        <v>318</v>
      </c>
      <c r="F60" s="213" t="s">
        <v>336</v>
      </c>
      <c r="G60" s="213" t="s">
        <v>282</v>
      </c>
      <c r="H60" s="213">
        <v>0</v>
      </c>
      <c r="I60" s="213">
        <v>-23209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Provision ETF Options USD_</v>
      </c>
      <c r="M60" s="214" t="str">
        <f t="shared" si="1"/>
        <v>EQTY.IntlUS.off</v>
      </c>
      <c r="N60" s="215">
        <f t="shared" si="2"/>
        <v>0</v>
      </c>
      <c r="O60" s="215">
        <f t="shared" si="3"/>
        <v>-23209</v>
      </c>
    </row>
    <row r="61" spans="5:15">
      <c r="E61" s="213" t="s">
        <v>318</v>
      </c>
      <c r="F61" s="213" t="s">
        <v>306</v>
      </c>
      <c r="G61" s="213" t="s">
        <v>282</v>
      </c>
      <c r="H61" s="213">
        <v>-1707935.63</v>
      </c>
      <c r="I61" s="213">
        <v>-576826.78</v>
      </c>
      <c r="K61" s="214" t="str">
        <f t="shared" si="0"/>
        <v>Provisions and Costs</v>
      </c>
      <c r="L61" s="214" t="str">
        <f>IF(E61="","",IF(COUNTIFS(Table2[[#All],[De (Lote)]],Input_APM!F61)&gt;0,INDEX(Table2[[#All],[Para (Ticker Daniel)]],MATCH(Input_APM!F61,Table2[[#All],[De (Lote)]],0)),Input_APM!F61))</f>
        <v>Provision ETF USD_</v>
      </c>
      <c r="M61" s="214" t="str">
        <f t="shared" si="1"/>
        <v>EQTY.IntlUS.off</v>
      </c>
      <c r="N61" s="215">
        <f t="shared" si="2"/>
        <v>-1707935.63</v>
      </c>
      <c r="O61" s="215">
        <f t="shared" si="3"/>
        <v>-576826.78</v>
      </c>
    </row>
    <row r="62" spans="5:15">
      <c r="E62" s="213" t="s">
        <v>318</v>
      </c>
      <c r="F62" s="213" t="s">
        <v>2425</v>
      </c>
      <c r="G62" s="213" t="s">
        <v>282</v>
      </c>
      <c r="H62" s="213">
        <v>297377.47000000102</v>
      </c>
      <c r="I62" s="213">
        <v>9090840</v>
      </c>
      <c r="K62" s="214" t="str">
        <f t="shared" si="0"/>
        <v>Provisions and Costs</v>
      </c>
      <c r="L62" s="214" t="str">
        <f>IF(E62="","",IF(COUNTIFS(Table2[[#All],[De (Lote)]],Input_APM!F62)&gt;0,INDEX(Table2[[#All],[Para (Ticker Daniel)]],MATCH(Input_APM!F62,Table2[[#All],[De (Lote)]],0)),Input_APM!F62))</f>
        <v>Provision Global Bonds USD_</v>
      </c>
      <c r="M62" s="214" t="str">
        <f t="shared" si="1"/>
        <v>EQTY.IntlUS.off</v>
      </c>
      <c r="N62" s="215">
        <f t="shared" si="2"/>
        <v>297377.47000000102</v>
      </c>
      <c r="O62" s="215">
        <f t="shared" si="3"/>
        <v>9090840</v>
      </c>
    </row>
    <row r="63" spans="5:15">
      <c r="E63" s="213" t="s">
        <v>318</v>
      </c>
      <c r="F63" s="213" t="s">
        <v>1666</v>
      </c>
      <c r="G63" s="213" t="s">
        <v>282</v>
      </c>
      <c r="H63" s="213">
        <v>0</v>
      </c>
      <c r="I63" s="213">
        <v>447453.5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Provision NYSE USD_</v>
      </c>
      <c r="M63" s="214" t="str">
        <f t="shared" si="1"/>
        <v>EQTY.IntlUS.off</v>
      </c>
      <c r="N63" s="215">
        <f t="shared" si="2"/>
        <v>0</v>
      </c>
      <c r="O63" s="215">
        <f t="shared" si="3"/>
        <v>447453.5</v>
      </c>
    </row>
    <row r="64" spans="5:15">
      <c r="E64" s="213" t="s">
        <v>318</v>
      </c>
      <c r="F64" s="213" t="s">
        <v>2426</v>
      </c>
      <c r="G64" s="213" t="s">
        <v>282</v>
      </c>
      <c r="H64" s="213">
        <v>0</v>
      </c>
      <c r="I64" s="213">
        <v>-8997561.5800000001</v>
      </c>
      <c r="K64" s="214" t="str">
        <f t="shared" si="0"/>
        <v>Provisions and Costs</v>
      </c>
      <c r="L64" s="214" t="str">
        <f>IF(E64="","",IF(COUNTIFS(Table2[[#All],[De (Lote)]],Input_APM!F64)&gt;0,INDEX(Table2[[#All],[Para (Ticker Daniel)]],MATCH(Input_APM!F64,Table2[[#All],[De (Lote)]],0)),Input_APM!F64))</f>
        <v>Provision TBOND USD_</v>
      </c>
      <c r="M64" s="214" t="str">
        <f t="shared" si="1"/>
        <v>EQTY.IntlUS.off</v>
      </c>
      <c r="N64" s="215">
        <f t="shared" si="2"/>
        <v>0</v>
      </c>
      <c r="O64" s="215">
        <f t="shared" si="3"/>
        <v>-8997561.5800000001</v>
      </c>
    </row>
    <row r="65" spans="5:15">
      <c r="E65" s="213" t="s">
        <v>318</v>
      </c>
      <c r="F65" s="213" t="s">
        <v>337</v>
      </c>
      <c r="G65" s="213" t="s">
        <v>282</v>
      </c>
      <c r="H65" s="213">
        <v>-65819</v>
      </c>
      <c r="I65" s="213">
        <v>-83745</v>
      </c>
      <c r="K65" s="214" t="str">
        <f t="shared" si="0"/>
        <v>Provisions and Costs</v>
      </c>
      <c r="L65" s="214" t="str">
        <f>IF(E65="","",IF(COUNTIFS(Table2[[#All],[De (Lote)]],Input_APM!F65)&gt;0,INDEX(Table2[[#All],[Para (Ticker Daniel)]],MATCH(Input_APM!F65,Table2[[#All],[De (Lote)]],0)),Input_APM!F65))</f>
        <v>Provision US Equity Options USD_</v>
      </c>
      <c r="M65" s="214" t="str">
        <f t="shared" si="1"/>
        <v>EQTY.IntlUS.off</v>
      </c>
      <c r="N65" s="215">
        <f t="shared" si="2"/>
        <v>-65819</v>
      </c>
      <c r="O65" s="215">
        <f t="shared" si="3"/>
        <v>-83745</v>
      </c>
    </row>
    <row r="66" spans="5:15">
      <c r="E66" s="213" t="s">
        <v>318</v>
      </c>
      <c r="F66" s="213" t="s">
        <v>307</v>
      </c>
      <c r="G66" s="213" t="s">
        <v>282</v>
      </c>
      <c r="H66" s="213">
        <v>430152.32999999903</v>
      </c>
      <c r="I66" s="213">
        <v>940847.02</v>
      </c>
      <c r="K66" s="214" t="str">
        <f t="shared" si="0"/>
        <v>Provisions and Costs</v>
      </c>
      <c r="L66" s="214" t="str">
        <f>IF(E66="","",IF(COUNTIFS(Table2[[#All],[De (Lote)]],Input_APM!F66)&gt;0,INDEX(Table2[[#All],[Para (Ticker Daniel)]],MATCH(Input_APM!F66,Table2[[#All],[De (Lote)]],0)),Input_APM!F66))</f>
        <v>Provision US Equity USD_</v>
      </c>
      <c r="M66" s="214" t="str">
        <f t="shared" si="1"/>
        <v>EQTY.IntlUS.off</v>
      </c>
      <c r="N66" s="215">
        <f t="shared" si="2"/>
        <v>430152.32999999903</v>
      </c>
      <c r="O66" s="215">
        <f t="shared" si="3"/>
        <v>940847.02</v>
      </c>
    </row>
    <row r="67" spans="5:15">
      <c r="E67" s="213" t="s">
        <v>324</v>
      </c>
      <c r="F67" s="213" t="s">
        <v>2374</v>
      </c>
      <c r="G67" s="213" t="s">
        <v>282</v>
      </c>
      <c r="H67" s="213">
        <v>141</v>
      </c>
      <c r="I67" s="213">
        <v>141</v>
      </c>
      <c r="K67" s="214" t="str">
        <f t="shared" ref="K67:K130" si="4">IF(E67="","",E67)</f>
        <v>ETF Options</v>
      </c>
      <c r="L67" s="214" t="str">
        <f>IF(E67="","",IF(COUNTIFS(Table2[[#All],[De (Lote)]],Input_APM!F67)&gt;0,INDEX(Table2[[#All],[Para (Ticker Daniel)]],MATCH(Input_APM!F67,Table2[[#All],[De (Lote)]],0)),Input_APM!F67))</f>
        <v>QQQ US 01/29/26 P628</v>
      </c>
      <c r="M67" s="214" t="str">
        <f t="shared" ref="M67:M130" si="5">IF(E67="","",G67)</f>
        <v>EQTY.IntlUS.off</v>
      </c>
      <c r="N67" s="215">
        <f t="shared" ref="N67:N130" si="6">IF(E67="","",H67)</f>
        <v>141</v>
      </c>
      <c r="O67" s="215">
        <f t="shared" ref="O67:O130" si="7">IF(E67="","",I67)</f>
        <v>141</v>
      </c>
    </row>
    <row r="68" spans="5:15">
      <c r="E68" s="213" t="s">
        <v>317</v>
      </c>
      <c r="F68" s="213" t="s">
        <v>2131</v>
      </c>
      <c r="G68" s="213" t="s">
        <v>282</v>
      </c>
      <c r="H68" s="213">
        <v>29572</v>
      </c>
      <c r="I68" s="213">
        <v>29572</v>
      </c>
      <c r="K68" s="214" t="str">
        <f t="shared" si="4"/>
        <v>US Equity</v>
      </c>
      <c r="L68" s="214" t="str">
        <f>IF(E68="","",IF(COUNTIFS(Table2[[#All],[De (Lote)]],Input_APM!F68)&gt;0,INDEX(Table2[[#All],[Para (Ticker Daniel)]],MATCH(Input_APM!F68,Table2[[#All],[De (Lote)]],0)),Input_APM!F68))</f>
        <v>RIOT</v>
      </c>
      <c r="M68" s="214" t="str">
        <f t="shared" si="5"/>
        <v>EQTY.IntlUS.off</v>
      </c>
      <c r="N68" s="215">
        <f t="shared" si="6"/>
        <v>29572</v>
      </c>
      <c r="O68" s="215">
        <f t="shared" si="7"/>
        <v>29572</v>
      </c>
    </row>
    <row r="69" spans="5:15">
      <c r="E69" s="213" t="s">
        <v>320</v>
      </c>
      <c r="F69" s="213" t="s">
        <v>3</v>
      </c>
      <c r="G69" s="213" t="s">
        <v>282</v>
      </c>
      <c r="H69" s="213">
        <v>-12201</v>
      </c>
      <c r="I69" s="213">
        <v>-12201</v>
      </c>
      <c r="K69" s="214" t="str">
        <f t="shared" si="4"/>
        <v>ETF</v>
      </c>
      <c r="L69" s="214" t="str">
        <f>IF(E69="","",IF(COUNTIFS(Table2[[#All],[De (Lote)]],Input_APM!F69)&gt;0,INDEX(Table2[[#All],[Para (Ticker Daniel)]],MATCH(Input_APM!F69,Table2[[#All],[De (Lote)]],0)),Input_APM!F69))</f>
        <v>RSP</v>
      </c>
      <c r="M69" s="214" t="str">
        <f t="shared" si="5"/>
        <v>EQTY.IntlUS.off</v>
      </c>
      <c r="N69" s="215">
        <f t="shared" si="6"/>
        <v>-12201</v>
      </c>
      <c r="O69" s="215">
        <f t="shared" si="7"/>
        <v>-12201</v>
      </c>
    </row>
    <row r="70" spans="5:15">
      <c r="E70" s="213" t="s">
        <v>318</v>
      </c>
      <c r="F70" s="213" t="s">
        <v>2127</v>
      </c>
      <c r="G70" s="213" t="s">
        <v>283</v>
      </c>
      <c r="H70" s="213">
        <v>-0.01</v>
      </c>
      <c r="I70" s="213">
        <v>-0.01</v>
      </c>
      <c r="K70" s="214" t="str">
        <f t="shared" si="4"/>
        <v>Provisions and Costs</v>
      </c>
      <c r="L70" s="214" t="str">
        <f>IF(E70="","",IF(COUNTIFS(Table2[[#All],[De (Lote)]],Input_APM!F70)&gt;0,INDEX(Table2[[#All],[Para (Ticker Daniel)]],MATCH(Input_APM!F70,Table2[[#All],[De (Lote)]],0)),Input_APM!F70))</f>
        <v>SPY DIVIDEND_</v>
      </c>
      <c r="M70" s="214" t="str">
        <f t="shared" si="5"/>
        <v>EQTY.InternacionalUS2.off</v>
      </c>
      <c r="N70" s="215">
        <f t="shared" si="6"/>
        <v>-0.01</v>
      </c>
      <c r="O70" s="215">
        <f t="shared" si="7"/>
        <v>-0.01</v>
      </c>
    </row>
    <row r="71" spans="5:15">
      <c r="E71" s="213" t="s">
        <v>318</v>
      </c>
      <c r="F71" s="213" t="s">
        <v>2127</v>
      </c>
      <c r="G71" s="213" t="s">
        <v>282</v>
      </c>
      <c r="H71" s="213">
        <v>0.01</v>
      </c>
      <c r="I71" s="213">
        <v>0.01</v>
      </c>
      <c r="K71" s="214" t="str">
        <f t="shared" si="4"/>
        <v>Provisions and Costs</v>
      </c>
      <c r="L71" s="214" t="str">
        <f>IF(E71="","",IF(COUNTIFS(Table2[[#All],[De (Lote)]],Input_APM!F71)&gt;0,INDEX(Table2[[#All],[Para (Ticker Daniel)]],MATCH(Input_APM!F71,Table2[[#All],[De (Lote)]],0)),Input_APM!F71))</f>
        <v>SPY DIVIDEND_</v>
      </c>
      <c r="M71" s="214" t="str">
        <f t="shared" si="5"/>
        <v>EQTY.IntlUS.off</v>
      </c>
      <c r="N71" s="215">
        <f t="shared" si="6"/>
        <v>0.01</v>
      </c>
      <c r="O71" s="215">
        <f t="shared" si="7"/>
        <v>0.01</v>
      </c>
    </row>
    <row r="72" spans="5:15">
      <c r="E72" s="213" t="s">
        <v>2133</v>
      </c>
      <c r="F72" s="213" t="s">
        <v>2303</v>
      </c>
      <c r="G72" s="213" t="s">
        <v>282</v>
      </c>
      <c r="H72" s="213">
        <v>0</v>
      </c>
      <c r="I72" s="213">
        <v>843</v>
      </c>
      <c r="K72" s="214" t="str">
        <f t="shared" si="4"/>
        <v>Equity Total Return Swap</v>
      </c>
      <c r="L72" s="214" t="str">
        <f>IF(E72="","",IF(COUNTIFS(Table2[[#All],[De (Lote)]],Input_APM!F72)&gt;0,INDEX(Table2[[#All],[Para (Ticker Daniel)]],MATCH(Input_APM!F72,Table2[[#All],[De (Lote)]],0)),Input_APM!F72))</f>
        <v>SWAP 000660 KP 23JAN2026 25JAN2027 509.6192</v>
      </c>
      <c r="M72" s="214" t="str">
        <f t="shared" si="5"/>
        <v>EQTY.IntlUS.off</v>
      </c>
      <c r="N72" s="215">
        <f t="shared" si="6"/>
        <v>0</v>
      </c>
      <c r="O72" s="215">
        <f t="shared" si="7"/>
        <v>843</v>
      </c>
    </row>
    <row r="73" spans="5:15">
      <c r="E73" s="213" t="s">
        <v>2133</v>
      </c>
      <c r="F73" s="213" t="s">
        <v>2134</v>
      </c>
      <c r="G73" s="213" t="s">
        <v>282</v>
      </c>
      <c r="H73" s="213">
        <v>1400</v>
      </c>
      <c r="I73" s="213">
        <v>1400</v>
      </c>
      <c r="K73" s="214" t="str">
        <f t="shared" si="4"/>
        <v>Equity Total Return Swap</v>
      </c>
      <c r="L73" s="214" t="str">
        <f>IF(E73="","",IF(COUNTIFS(Table2[[#All],[De (Lote)]],Input_APM!F73)&gt;0,INDEX(Table2[[#All],[Para (Ticker Daniel)]],MATCH(Input_APM!F73,Table2[[#All],[De (Lote)]],0)),Input_APM!F73))</f>
        <v>000660 KS</v>
      </c>
      <c r="M73" s="214" t="str">
        <f t="shared" si="5"/>
        <v>EQTY.IntlUS.off</v>
      </c>
      <c r="N73" s="215">
        <f t="shared" si="6"/>
        <v>1400</v>
      </c>
      <c r="O73" s="215">
        <f t="shared" si="7"/>
        <v>1400</v>
      </c>
    </row>
    <row r="74" spans="5:15">
      <c r="E74" s="213" t="s">
        <v>2133</v>
      </c>
      <c r="F74" s="213" t="s">
        <v>2338</v>
      </c>
      <c r="G74" s="213" t="s">
        <v>282</v>
      </c>
      <c r="H74" s="213">
        <v>643</v>
      </c>
      <c r="I74" s="213">
        <v>844</v>
      </c>
      <c r="K74" s="214" t="str">
        <f t="shared" si="4"/>
        <v>Equity Total Return Swap</v>
      </c>
      <c r="L74" s="214" t="str">
        <f>IF(E74="","",IF(COUNTIFS(Table2[[#All],[De (Lote)]],Input_APM!F74)&gt;0,INDEX(Table2[[#All],[Para (Ticker Daniel)]],MATCH(Input_APM!F74,Table2[[#All],[De (Lote)]],0)),Input_APM!F74))</f>
        <v>SWAP 000660 KS 26JAN2026 26JAN2027 509.6192</v>
      </c>
      <c r="M74" s="214" t="str">
        <f t="shared" si="5"/>
        <v>EQTY.IntlUS.off</v>
      </c>
      <c r="N74" s="215">
        <f t="shared" si="6"/>
        <v>643</v>
      </c>
      <c r="O74" s="215">
        <f t="shared" si="7"/>
        <v>844</v>
      </c>
    </row>
    <row r="75" spans="5:15">
      <c r="E75" s="213" t="s">
        <v>2133</v>
      </c>
      <c r="F75" s="213" t="s">
        <v>2427</v>
      </c>
      <c r="G75" s="213" t="s">
        <v>282</v>
      </c>
      <c r="H75" s="213">
        <v>2470</v>
      </c>
      <c r="I75" s="213">
        <v>0</v>
      </c>
      <c r="K75" s="214" t="str">
        <f t="shared" si="4"/>
        <v>Equity Total Return Swap</v>
      </c>
      <c r="L75" s="214" t="str">
        <f>IF(E75="","",IF(COUNTIFS(Table2[[#All],[De (Lote)]],Input_APM!F75)&gt;0,INDEX(Table2[[#All],[Para (Ticker Daniel)]],MATCH(Input_APM!F75,Table2[[#All],[De (Lote)]],0)),Input_APM!F75))</f>
        <v>SWAP 300502 CH 30JAN2026 01FEB2027 57.9966</v>
      </c>
      <c r="M75" s="214" t="str">
        <f t="shared" si="5"/>
        <v>EQTY.IntlUS.off</v>
      </c>
      <c r="N75" s="215">
        <f t="shared" si="6"/>
        <v>2470</v>
      </c>
      <c r="O75" s="215">
        <f t="shared" si="7"/>
        <v>0</v>
      </c>
    </row>
    <row r="76" spans="5:15">
      <c r="E76" s="213" t="s">
        <v>2428</v>
      </c>
      <c r="F76" s="213" t="s">
        <v>2429</v>
      </c>
      <c r="G76" s="213" t="s">
        <v>282</v>
      </c>
      <c r="H76" s="213">
        <v>9090840</v>
      </c>
      <c r="I76" s="213">
        <v>9090840</v>
      </c>
      <c r="K76" s="214" t="str">
        <f t="shared" si="4"/>
        <v>TBOND</v>
      </c>
      <c r="L76" s="214" t="str">
        <f>IF(E76="","",IF(COUNTIFS(Table2[[#All],[De (Lote)]],Input_APM!F76)&gt;0,INDEX(Table2[[#All],[Para (Ticker Daniel)]],MATCH(Input_APM!F76,Table2[[#All],[De (Lote)]],0)),Input_APM!F76))</f>
        <v>T 4.000% 11/15/35</v>
      </c>
      <c r="M76" s="214" t="str">
        <f t="shared" si="5"/>
        <v>EQTY.IntlUS.off</v>
      </c>
      <c r="N76" s="215">
        <f t="shared" si="6"/>
        <v>9090840</v>
      </c>
      <c r="O76" s="215">
        <f t="shared" si="7"/>
        <v>9090840</v>
      </c>
    </row>
    <row r="77" spans="5:15">
      <c r="E77" s="213" t="s">
        <v>39</v>
      </c>
      <c r="F77" s="213" t="s">
        <v>96</v>
      </c>
      <c r="G77" s="213" t="s">
        <v>282</v>
      </c>
      <c r="H77" s="213">
        <v>2490</v>
      </c>
      <c r="I77" s="213">
        <v>2490</v>
      </c>
      <c r="K77" s="214" t="str">
        <f t="shared" si="4"/>
        <v>ADR</v>
      </c>
      <c r="L77" s="214" t="str">
        <f>IF(E77="","",IF(COUNTIFS(Table2[[#All],[De (Lote)]],Input_APM!F77)&gt;0,INDEX(Table2[[#All],[Para (Ticker Daniel)]],MATCH(Input_APM!F77,Table2[[#All],[De (Lote)]],0)),Input_APM!F77))</f>
        <v>TSM</v>
      </c>
      <c r="M77" s="214" t="str">
        <f t="shared" si="5"/>
        <v>EQTY.IntlUS.off</v>
      </c>
      <c r="N77" s="215">
        <f t="shared" si="6"/>
        <v>2490</v>
      </c>
      <c r="O77" s="215">
        <f t="shared" si="7"/>
        <v>2490</v>
      </c>
    </row>
    <row r="78" spans="5:15">
      <c r="E78" s="213" t="s">
        <v>327</v>
      </c>
      <c r="F78" s="213" t="s">
        <v>2228</v>
      </c>
      <c r="G78" s="213" t="s">
        <v>282</v>
      </c>
      <c r="H78" s="213">
        <v>1453</v>
      </c>
      <c r="I78" s="213">
        <v>1453</v>
      </c>
      <c r="K78" s="214" t="str">
        <f t="shared" si="4"/>
        <v>ADR Options</v>
      </c>
      <c r="L78" s="214" t="str">
        <f>IF(E78="","",IF(COUNTIFS(Table2[[#All],[De (Lote)]],Input_APM!F78)&gt;0,INDEX(Table2[[#All],[Para (Ticker Daniel)]],MATCH(Input_APM!F78,Table2[[#All],[De (Lote)]],0)),Input_APM!F78))</f>
        <v>TSM US 06/18/26 C340</v>
      </c>
      <c r="M78" s="214" t="str">
        <f t="shared" si="5"/>
        <v>EQTY.IntlUS.off</v>
      </c>
      <c r="N78" s="215">
        <f t="shared" si="6"/>
        <v>1453</v>
      </c>
      <c r="O78" s="215">
        <f t="shared" si="7"/>
        <v>1453</v>
      </c>
    </row>
    <row r="79" spans="5:15">
      <c r="E79" s="213" t="s">
        <v>327</v>
      </c>
      <c r="F79" s="213" t="s">
        <v>2229</v>
      </c>
      <c r="G79" s="213" t="s">
        <v>282</v>
      </c>
      <c r="H79" s="213">
        <v>-1312</v>
      </c>
      <c r="I79" s="213">
        <v>-1312</v>
      </c>
      <c r="K79" s="214" t="str">
        <f t="shared" si="4"/>
        <v>ADR Options</v>
      </c>
      <c r="L79" s="214" t="str">
        <f>IF(E79="","",IF(COUNTIFS(Table2[[#All],[De (Lote)]],Input_APM!F79)&gt;0,INDEX(Table2[[#All],[Para (Ticker Daniel)]],MATCH(Input_APM!F79,Table2[[#All],[De (Lote)]],0)),Input_APM!F79))</f>
        <v>TSM US 06/18/26 C380</v>
      </c>
      <c r="M79" s="214" t="str">
        <f t="shared" si="5"/>
        <v>EQTY.IntlUS.off</v>
      </c>
      <c r="N79" s="215">
        <f t="shared" si="6"/>
        <v>-1312</v>
      </c>
      <c r="O79" s="215">
        <f t="shared" si="7"/>
        <v>-1312</v>
      </c>
    </row>
    <row r="80" spans="5:15">
      <c r="E80" s="213" t="s">
        <v>320</v>
      </c>
      <c r="F80" s="213" t="s">
        <v>88</v>
      </c>
      <c r="G80" s="213" t="s">
        <v>282</v>
      </c>
      <c r="H80" s="213">
        <v>42865</v>
      </c>
      <c r="I80" s="213">
        <v>42865</v>
      </c>
      <c r="K80" s="214" t="str">
        <f t="shared" si="4"/>
        <v>ETF</v>
      </c>
      <c r="L80" s="214" t="str">
        <f>IF(E80="","",IF(COUNTIFS(Table2[[#All],[De (Lote)]],Input_APM!F80)&gt;0,INDEX(Table2[[#All],[Para (Ticker Daniel)]],MATCH(Input_APM!F80,Table2[[#All],[De (Lote)]],0)),Input_APM!F80))</f>
        <v>XLF</v>
      </c>
      <c r="M80" s="214" t="str">
        <f t="shared" si="5"/>
        <v>EQTY.IntlUS.off</v>
      </c>
      <c r="N80" s="215">
        <f t="shared" si="6"/>
        <v>42865</v>
      </c>
      <c r="O80" s="215">
        <f t="shared" si="7"/>
        <v>42865</v>
      </c>
    </row>
    <row r="81" spans="5:15">
      <c r="E81" s="213" t="s">
        <v>320</v>
      </c>
      <c r="F81" s="213" t="s">
        <v>4</v>
      </c>
      <c r="G81" s="213" t="s">
        <v>282</v>
      </c>
      <c r="H81" s="213">
        <v>-25765</v>
      </c>
      <c r="I81" s="213">
        <v>-25765</v>
      </c>
      <c r="K81" s="214" t="str">
        <f t="shared" si="4"/>
        <v>ETF</v>
      </c>
      <c r="L81" s="214" t="str">
        <f>IF(E81="","",IF(COUNTIFS(Table2[[#All],[De (Lote)]],Input_APM!F81)&gt;0,INDEX(Table2[[#All],[Para (Ticker Daniel)]],MATCH(Input_APM!F81,Table2[[#All],[De (Lote)]],0)),Input_APM!F81))</f>
        <v>XLP</v>
      </c>
      <c r="M81" s="214" t="str">
        <f t="shared" si="5"/>
        <v>EQTY.IntlUS.off</v>
      </c>
      <c r="N81" s="215">
        <f t="shared" si="6"/>
        <v>-25765</v>
      </c>
      <c r="O81" s="215">
        <f t="shared" si="7"/>
        <v>-25765</v>
      </c>
    </row>
    <row r="82" spans="5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5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5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5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5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5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5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5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5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5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5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5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5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5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5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0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0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0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0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0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0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0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0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0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0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0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0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0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0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0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0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0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0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0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0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0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0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0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0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0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0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0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0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0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0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0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0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0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0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0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0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0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0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0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0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0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0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0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0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0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0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0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0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0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0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0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0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0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0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0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0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0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0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0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0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0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0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0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0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0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0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0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0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0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0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0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0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0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0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0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0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0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0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0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0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0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0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0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0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0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0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0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0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0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0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0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0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0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0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0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0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0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0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0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0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0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0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0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0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0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0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0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0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0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0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0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0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0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0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0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0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0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0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0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0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0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0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0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0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0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0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0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0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0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0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0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0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0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0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0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0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0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0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0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0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0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0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0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0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0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0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0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0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0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0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0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0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0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0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0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0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0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0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0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0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0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0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0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0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0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0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0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0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0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0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0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0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0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0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0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0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0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0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0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0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0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0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0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0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0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0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0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0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0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0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0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0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0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0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0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0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0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0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0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0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0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0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0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0"/>
    </row>
    <row r="399" spans="5:15">
      <c r="E399" s="370"/>
    </row>
    <row r="400" spans="5:15">
      <c r="E400" s="370"/>
    </row>
    <row r="401" spans="5:5">
      <c r="E401" s="370"/>
    </row>
    <row r="402" spans="5:5">
      <c r="E402" s="370"/>
    </row>
    <row r="403" spans="5:5">
      <c r="E403" s="370"/>
    </row>
    <row r="404" spans="5:5">
      <c r="E404" s="370"/>
    </row>
    <row r="405" spans="5:5">
      <c r="E405" s="370"/>
    </row>
    <row r="406" spans="5:5">
      <c r="E406" s="370"/>
    </row>
    <row r="407" spans="5:5">
      <c r="E407" s="370"/>
    </row>
    <row r="408" spans="5:5">
      <c r="E408" s="370"/>
    </row>
    <row r="409" spans="5:5">
      <c r="E409" s="370"/>
    </row>
    <row r="410" spans="5:5">
      <c r="E410" s="370"/>
    </row>
    <row r="411" spans="5:5">
      <c r="E411" s="370"/>
    </row>
    <row r="412" spans="5:5">
      <c r="E412" s="370"/>
    </row>
    <row r="413" spans="5:5">
      <c r="E413" s="370"/>
    </row>
    <row r="414" spans="5:5">
      <c r="E414" s="370"/>
    </row>
    <row r="415" spans="5:5">
      <c r="E415" s="370"/>
    </row>
    <row r="416" spans="5:5">
      <c r="E416" s="370"/>
    </row>
    <row r="417" spans="5:5">
      <c r="E417" s="370"/>
    </row>
    <row r="418" spans="5:5">
      <c r="E418" s="370"/>
    </row>
    <row r="419" spans="5:5">
      <c r="E419" s="370"/>
    </row>
    <row r="420" spans="5:5">
      <c r="E420" s="370"/>
    </row>
    <row r="421" spans="5:5">
      <c r="E421" s="370"/>
    </row>
    <row r="422" spans="5:5">
      <c r="E422" s="370"/>
    </row>
    <row r="423" spans="5:5">
      <c r="E423" s="370"/>
    </row>
    <row r="424" spans="5:5">
      <c r="E424" s="370"/>
    </row>
    <row r="425" spans="5:5">
      <c r="E425" s="370"/>
    </row>
    <row r="426" spans="5:5">
      <c r="E426" s="370"/>
    </row>
    <row r="427" spans="5:5">
      <c r="E427" s="370"/>
    </row>
    <row r="428" spans="5:5">
      <c r="E428" s="370"/>
    </row>
    <row r="429" spans="5:5">
      <c r="E429" s="370"/>
    </row>
    <row r="430" spans="5:5">
      <c r="E430" s="370"/>
    </row>
    <row r="431" spans="5:5">
      <c r="E431" s="370"/>
    </row>
    <row r="432" spans="5:5">
      <c r="E432" s="370"/>
    </row>
    <row r="433" spans="5:5">
      <c r="E433" s="370"/>
    </row>
    <row r="434" spans="5:5">
      <c r="E434" s="370"/>
    </row>
    <row r="435" spans="5:5">
      <c r="E435" s="370"/>
    </row>
    <row r="436" spans="5:5">
      <c r="E436" s="370"/>
    </row>
    <row r="437" spans="5:5">
      <c r="E437" s="370"/>
    </row>
    <row r="438" spans="5:5">
      <c r="E438" s="370"/>
    </row>
    <row r="439" spans="5:5">
      <c r="E439" s="370"/>
    </row>
    <row r="440" spans="5:5">
      <c r="E440" s="370"/>
    </row>
    <row r="441" spans="5:5">
      <c r="E441" s="370"/>
    </row>
    <row r="442" spans="5:5">
      <c r="E442" s="370"/>
    </row>
    <row r="443" spans="5:5">
      <c r="E443" s="370"/>
    </row>
    <row r="444" spans="5:5">
      <c r="E444" s="370"/>
    </row>
    <row r="445" spans="5:5">
      <c r="E445" s="370"/>
    </row>
    <row r="446" spans="5:5">
      <c r="E446" s="370"/>
    </row>
    <row r="447" spans="5:5">
      <c r="E447" s="370"/>
    </row>
    <row r="448" spans="5:5">
      <c r="E448" s="370"/>
    </row>
    <row r="449" spans="5:5">
      <c r="E449" s="370"/>
    </row>
    <row r="450" spans="5:5">
      <c r="E450" s="370"/>
    </row>
    <row r="451" spans="5:5">
      <c r="E451" s="370"/>
    </row>
    <row r="452" spans="5:5">
      <c r="E452" s="370"/>
    </row>
    <row r="453" spans="5:5">
      <c r="E453" s="370"/>
    </row>
    <row r="454" spans="5:5">
      <c r="E454" s="370"/>
    </row>
    <row r="455" spans="5:5">
      <c r="E455" s="370"/>
    </row>
    <row r="456" spans="5:5">
      <c r="E456" s="370"/>
    </row>
    <row r="457" spans="5:5">
      <c r="E457" s="370"/>
    </row>
    <row r="458" spans="5:5">
      <c r="E458" s="370"/>
    </row>
    <row r="459" spans="5:5">
      <c r="E459" s="370"/>
    </row>
    <row r="460" spans="5:5">
      <c r="E460" s="370"/>
    </row>
    <row r="461" spans="5:5">
      <c r="E461" s="370"/>
    </row>
    <row r="462" spans="5:5">
      <c r="E462" s="370"/>
    </row>
    <row r="463" spans="5:5">
      <c r="E463" s="370"/>
    </row>
    <row r="464" spans="5:5">
      <c r="E464" s="370"/>
    </row>
    <row r="465" spans="5:5">
      <c r="E465" s="370"/>
    </row>
    <row r="466" spans="5:5">
      <c r="E466" s="370"/>
    </row>
    <row r="467" spans="5:5">
      <c r="E467" s="370"/>
    </row>
    <row r="468" spans="5:5">
      <c r="E468" s="370"/>
    </row>
    <row r="469" spans="5:5">
      <c r="E469" s="370"/>
    </row>
    <row r="470" spans="5:5">
      <c r="E470" s="370"/>
    </row>
    <row r="471" spans="5:5">
      <c r="E471" s="370"/>
    </row>
    <row r="472" spans="5:5">
      <c r="E472" s="370"/>
    </row>
    <row r="473" spans="5:5">
      <c r="E473" s="370"/>
    </row>
    <row r="474" spans="5:5">
      <c r="E474" s="370"/>
    </row>
    <row r="475" spans="5:5">
      <c r="E475" s="370"/>
    </row>
    <row r="476" spans="5:5">
      <c r="E476" s="370"/>
    </row>
    <row r="477" spans="5:5">
      <c r="E477" s="370"/>
    </row>
    <row r="478" spans="5:5">
      <c r="E478" s="370"/>
    </row>
    <row r="479" spans="5:5">
      <c r="E479" s="370"/>
    </row>
    <row r="480" spans="5:5">
      <c r="E480" s="370"/>
    </row>
    <row r="481" spans="5:5">
      <c r="E481" s="370"/>
    </row>
    <row r="482" spans="5:5">
      <c r="E482" s="370"/>
    </row>
    <row r="483" spans="5:5">
      <c r="E483" s="370"/>
    </row>
    <row r="484" spans="5:5">
      <c r="E484" s="370"/>
    </row>
    <row r="485" spans="5:5">
      <c r="E485" s="370"/>
    </row>
    <row r="486" spans="5:5">
      <c r="E486" s="370"/>
    </row>
    <row r="487" spans="5:5">
      <c r="E487" s="370"/>
    </row>
    <row r="488" spans="5:5">
      <c r="E488" s="370"/>
    </row>
    <row r="489" spans="5:5">
      <c r="E489" s="370"/>
    </row>
    <row r="490" spans="5:5">
      <c r="E490" s="370"/>
    </row>
    <row r="491" spans="5:5">
      <c r="E491" s="370"/>
    </row>
    <row r="492" spans="5:5">
      <c r="E492" s="370"/>
    </row>
    <row r="493" spans="5:5">
      <c r="E493" s="370"/>
    </row>
    <row r="494" spans="5:5">
      <c r="E494" s="370"/>
    </row>
    <row r="495" spans="5:5">
      <c r="E495" s="370"/>
    </row>
    <row r="496" spans="5:5">
      <c r="E496" s="370"/>
    </row>
    <row r="497" spans="5:5">
      <c r="E497" s="370"/>
    </row>
    <row r="498" spans="5:5">
      <c r="E498" s="370"/>
    </row>
    <row r="499" spans="5:5">
      <c r="E499" s="370"/>
    </row>
    <row r="500" spans="5:5">
      <c r="E500" s="370"/>
    </row>
    <row r="501" spans="5:5">
      <c r="E501" s="370"/>
    </row>
    <row r="502" spans="5:5">
      <c r="E502" s="370"/>
    </row>
    <row r="503" spans="5:5">
      <c r="E503" s="370"/>
    </row>
    <row r="504" spans="5:5">
      <c r="E504" s="370"/>
    </row>
    <row r="505" spans="5:5">
      <c r="E505" s="370"/>
    </row>
    <row r="506" spans="5:5">
      <c r="E506" s="370"/>
    </row>
    <row r="507" spans="5:5">
      <c r="E507" s="370"/>
    </row>
    <row r="508" spans="5:5">
      <c r="E508" s="370"/>
    </row>
    <row r="509" spans="5:5">
      <c r="E509" s="370"/>
    </row>
    <row r="510" spans="5:5">
      <c r="E510" s="370"/>
    </row>
    <row r="511" spans="5:5">
      <c r="E511" s="370"/>
    </row>
    <row r="512" spans="5:5">
      <c r="E512" s="370"/>
    </row>
    <row r="513" spans="5:5">
      <c r="E513" s="370"/>
    </row>
    <row r="514" spans="5:5">
      <c r="E514" s="370"/>
    </row>
    <row r="515" spans="5:5">
      <c r="E515" s="370"/>
    </row>
    <row r="516" spans="5:5">
      <c r="E516" s="370"/>
    </row>
    <row r="517" spans="5:5">
      <c r="E517" s="370"/>
    </row>
    <row r="518" spans="5:5">
      <c r="E518" s="370"/>
    </row>
    <row r="519" spans="5:5">
      <c r="E519" s="370"/>
    </row>
    <row r="520" spans="5:5">
      <c r="E520" s="370"/>
    </row>
    <row r="521" spans="5:5">
      <c r="E521" s="370"/>
    </row>
    <row r="522" spans="5:5">
      <c r="E522" s="370"/>
    </row>
    <row r="523" spans="5:5">
      <c r="E523" s="370"/>
    </row>
    <row r="524" spans="5:5">
      <c r="E524" s="370"/>
    </row>
    <row r="525" spans="5:5">
      <c r="E525" s="370"/>
    </row>
    <row r="526" spans="5:5">
      <c r="E526" s="370"/>
    </row>
    <row r="527" spans="5:5">
      <c r="E527" s="370"/>
    </row>
    <row r="528" spans="5:5">
      <c r="E528" s="370"/>
    </row>
    <row r="529" spans="5:5">
      <c r="E529" s="370"/>
    </row>
    <row r="530" spans="5:5">
      <c r="E530" s="370"/>
    </row>
    <row r="531" spans="5:5">
      <c r="E531" s="370"/>
    </row>
    <row r="532" spans="5:5">
      <c r="E532" s="370"/>
    </row>
    <row r="533" spans="5:5">
      <c r="E533" s="370"/>
    </row>
    <row r="534" spans="5:5">
      <c r="E534" s="370"/>
    </row>
    <row r="535" spans="5:5">
      <c r="E535" s="370"/>
    </row>
    <row r="536" spans="5:5">
      <c r="E536" s="370"/>
    </row>
    <row r="537" spans="5:5">
      <c r="E537" s="370"/>
    </row>
    <row r="538" spans="5:5">
      <c r="E538" s="370"/>
    </row>
    <row r="539" spans="5:5">
      <c r="E539" s="370"/>
    </row>
    <row r="540" spans="5:5">
      <c r="E540" s="370"/>
    </row>
    <row r="541" spans="5:5">
      <c r="E541" s="370"/>
    </row>
    <row r="542" spans="5:5">
      <c r="E542" s="370"/>
    </row>
    <row r="543" spans="5:5">
      <c r="E543" s="370"/>
    </row>
    <row r="544" spans="5:5">
      <c r="E544" s="370"/>
    </row>
    <row r="545" spans="5:5">
      <c r="E545" s="370"/>
    </row>
    <row r="546" spans="5:5">
      <c r="E546" s="370"/>
    </row>
    <row r="547" spans="5:5">
      <c r="E547" s="370"/>
    </row>
    <row r="548" spans="5:5">
      <c r="E548" s="370"/>
    </row>
    <row r="549" spans="5:5">
      <c r="E549" s="370"/>
    </row>
    <row r="550" spans="5:5">
      <c r="E550" s="370"/>
    </row>
    <row r="551" spans="5:5">
      <c r="E551" s="370"/>
    </row>
    <row r="552" spans="5:5">
      <c r="E552" s="370"/>
    </row>
    <row r="553" spans="5:5">
      <c r="E553" s="370"/>
    </row>
    <row r="554" spans="5:5">
      <c r="E554" s="370"/>
    </row>
    <row r="555" spans="5:5">
      <c r="E555" s="370"/>
    </row>
    <row r="556" spans="5:5">
      <c r="E556" s="370"/>
    </row>
    <row r="557" spans="5:5">
      <c r="E557" s="370"/>
    </row>
    <row r="558" spans="5:5">
      <c r="E558" s="370"/>
    </row>
    <row r="559" spans="5:5">
      <c r="E559" s="370"/>
    </row>
    <row r="560" spans="5:5">
      <c r="E560" s="370"/>
    </row>
    <row r="561" spans="5:5">
      <c r="E561" s="370"/>
    </row>
    <row r="562" spans="5:5">
      <c r="E562" s="370"/>
    </row>
    <row r="563" spans="5:5">
      <c r="E563" s="370"/>
    </row>
    <row r="564" spans="5:5">
      <c r="E564" s="370"/>
    </row>
    <row r="565" spans="5:5">
      <c r="E565" s="370"/>
    </row>
    <row r="566" spans="5:5">
      <c r="E566" s="370"/>
    </row>
    <row r="567" spans="5:5">
      <c r="E567" s="370"/>
    </row>
    <row r="568" spans="5:5">
      <c r="E568" s="370"/>
    </row>
    <row r="569" spans="5:5">
      <c r="E569" s="370"/>
    </row>
    <row r="570" spans="5:5">
      <c r="E570" s="370"/>
    </row>
    <row r="571" spans="5:5">
      <c r="E571" s="370"/>
    </row>
    <row r="572" spans="5:5">
      <c r="E572" s="370"/>
    </row>
    <row r="573" spans="5:5">
      <c r="E573" s="370"/>
    </row>
    <row r="574" spans="5:5">
      <c r="E574" s="370"/>
    </row>
    <row r="575" spans="5:5">
      <c r="E575" s="370"/>
    </row>
    <row r="576" spans="5:5">
      <c r="E576" s="370"/>
    </row>
    <row r="577" spans="5:5">
      <c r="E577" s="370"/>
    </row>
    <row r="578" spans="5:5">
      <c r="E578" s="370"/>
    </row>
    <row r="579" spans="5:5">
      <c r="E579" s="370"/>
    </row>
    <row r="580" spans="5:5">
      <c r="E580" s="370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80"/>
    </sheetView>
  </sheetViews>
  <sheetFormatPr defaultColWidth="9.140625" defaultRowHeight="12.75" outlineLevelCol="1"/>
  <cols>
    <col min="1" max="4" width="9.140625" style="213"/>
    <col min="5" max="5" width="27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3.28515625" style="213" bestFit="1" customWidth="1" outlineLevel="1"/>
    <col min="9" max="9" width="12.140625" style="213" bestFit="1" customWidth="1" outlineLevel="1"/>
    <col min="10" max="10" width="9.140625" style="213"/>
    <col min="11" max="11" width="26.85546875" style="213" bestFit="1" customWidth="1"/>
    <col min="12" max="12" width="41.57031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79</v>
      </c>
      <c r="G2" s="213" t="s">
        <v>282</v>
      </c>
      <c r="H2" s="213">
        <v>667</v>
      </c>
      <c r="I2" s="213">
        <v>782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AAPL</v>
      </c>
      <c r="M2" s="214" t="str">
        <f>IF(E2="","",G2)</f>
        <v>EQTY.IntlUS.off</v>
      </c>
      <c r="N2" s="215">
        <f>IF(E2="","",H2)</f>
        <v>667</v>
      </c>
      <c r="O2" s="215">
        <f>IF(E2="","",I2)</f>
        <v>782</v>
      </c>
    </row>
    <row r="3" spans="5:15">
      <c r="E3" s="213" t="s">
        <v>317</v>
      </c>
      <c r="F3" s="213" t="s">
        <v>2370</v>
      </c>
      <c r="G3" s="213" t="s">
        <v>282</v>
      </c>
      <c r="H3" s="213">
        <v>715</v>
      </c>
      <c r="I3" s="213">
        <v>715</v>
      </c>
      <c r="K3" s="214" t="str">
        <f t="shared" ref="K3:K66" si="0">IF(E3="","",E3)</f>
        <v>US Equity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214" t="str">
        <f t="shared" ref="M3:M66" si="1">IF(E3="","",G3)</f>
        <v>EQTY.IntlUS.off</v>
      </c>
      <c r="N3" s="215">
        <f t="shared" ref="N3:N66" si="2">IF(E3="","",H3)</f>
        <v>715</v>
      </c>
      <c r="O3" s="215">
        <f t="shared" ref="O3:O66" si="3">IF(E3="","",I3)</f>
        <v>715</v>
      </c>
    </row>
    <row r="4" spans="5:15">
      <c r="E4" s="213" t="s">
        <v>317</v>
      </c>
      <c r="F4" s="213" t="s">
        <v>399</v>
      </c>
      <c r="G4" s="213" t="s">
        <v>282</v>
      </c>
      <c r="H4" s="213">
        <v>1138</v>
      </c>
      <c r="I4" s="213">
        <v>1138</v>
      </c>
      <c r="K4" s="214" t="str">
        <f t="shared" si="0"/>
        <v>US Equity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AMZN</v>
      </c>
      <c r="M4" s="214" t="str">
        <f t="shared" si="1"/>
        <v>EQTY.IntlUS.off</v>
      </c>
      <c r="N4" s="215">
        <f t="shared" si="2"/>
        <v>1138</v>
      </c>
      <c r="O4" s="215">
        <f t="shared" si="3"/>
        <v>1138</v>
      </c>
    </row>
    <row r="5" spans="5:15">
      <c r="E5" s="213" t="s">
        <v>319</v>
      </c>
      <c r="F5" s="213" t="s">
        <v>2297</v>
      </c>
      <c r="G5" s="213" t="s">
        <v>282</v>
      </c>
      <c r="H5" s="213">
        <v>0</v>
      </c>
      <c r="I5" s="213">
        <v>4</v>
      </c>
      <c r="K5" s="214" t="str">
        <f t="shared" si="0"/>
        <v>US Equity Options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AMZN US 07/17/26 C245</v>
      </c>
      <c r="M5" s="214" t="str">
        <f t="shared" si="1"/>
        <v>EQTY.IntlUS.off</v>
      </c>
      <c r="N5" s="215">
        <f t="shared" si="2"/>
        <v>0</v>
      </c>
      <c r="O5" s="215">
        <f t="shared" si="3"/>
        <v>4</v>
      </c>
    </row>
    <row r="6" spans="5:15">
      <c r="E6" s="213" t="s">
        <v>320</v>
      </c>
      <c r="F6" s="213" t="s">
        <v>38</v>
      </c>
      <c r="G6" s="213" t="s">
        <v>282</v>
      </c>
      <c r="H6" s="213">
        <v>1294</v>
      </c>
      <c r="I6" s="213">
        <v>1294</v>
      </c>
      <c r="K6" s="214" t="str">
        <f t="shared" si="0"/>
        <v>ETF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ASHR</v>
      </c>
      <c r="M6" s="214" t="str">
        <f t="shared" si="1"/>
        <v>EQTY.IntlUS.off</v>
      </c>
      <c r="N6" s="215">
        <f t="shared" si="2"/>
        <v>1294</v>
      </c>
      <c r="O6" s="215">
        <f t="shared" si="3"/>
        <v>1294</v>
      </c>
    </row>
    <row r="7" spans="5:15">
      <c r="E7" s="213" t="s">
        <v>324</v>
      </c>
      <c r="F7" s="213" t="s">
        <v>2227</v>
      </c>
      <c r="G7" s="213" t="s">
        <v>282</v>
      </c>
      <c r="H7" s="213">
        <v>65</v>
      </c>
      <c r="I7" s="213">
        <v>65</v>
      </c>
      <c r="K7" s="214" t="str">
        <f t="shared" si="0"/>
        <v>ETF Options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ASHR US 02/20/26 C35</v>
      </c>
      <c r="M7" s="214" t="str">
        <f t="shared" si="1"/>
        <v>EQTY.IntlUS.off</v>
      </c>
      <c r="N7" s="215">
        <f t="shared" si="2"/>
        <v>65</v>
      </c>
      <c r="O7" s="215">
        <f t="shared" si="3"/>
        <v>65</v>
      </c>
    </row>
    <row r="8" spans="5:15">
      <c r="E8" s="213" t="s">
        <v>317</v>
      </c>
      <c r="F8" s="213" t="s">
        <v>137</v>
      </c>
      <c r="G8" s="213" t="s">
        <v>282</v>
      </c>
      <c r="H8" s="213">
        <v>0</v>
      </c>
      <c r="I8" s="213">
        <v>0</v>
      </c>
      <c r="K8" s="214" t="str">
        <f t="shared" si="0"/>
        <v>US Equity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AVGO</v>
      </c>
      <c r="M8" s="214" t="str">
        <f t="shared" si="1"/>
        <v>EQTY.IntlUS.off</v>
      </c>
      <c r="N8" s="215">
        <f t="shared" si="2"/>
        <v>0</v>
      </c>
      <c r="O8" s="215">
        <f t="shared" si="3"/>
        <v>0</v>
      </c>
    </row>
    <row r="9" spans="5:15">
      <c r="E9" s="213" t="s">
        <v>319</v>
      </c>
      <c r="F9" s="213" t="s">
        <v>2105</v>
      </c>
      <c r="G9" s="213" t="s">
        <v>282</v>
      </c>
      <c r="H9" s="213">
        <v>6</v>
      </c>
      <c r="I9" s="213">
        <v>6</v>
      </c>
      <c r="K9" s="214" t="str">
        <f t="shared" si="0"/>
        <v>US Equity Options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AVGO US 06/18/26 C350</v>
      </c>
      <c r="M9" s="214" t="str">
        <f t="shared" si="1"/>
        <v>EQTY.IntlUS.off</v>
      </c>
      <c r="N9" s="215">
        <f t="shared" si="2"/>
        <v>6</v>
      </c>
      <c r="O9" s="215">
        <f t="shared" si="3"/>
        <v>6</v>
      </c>
    </row>
    <row r="10" spans="5:15">
      <c r="E10" s="213" t="s">
        <v>39</v>
      </c>
      <c r="F10" s="213" t="s">
        <v>461</v>
      </c>
      <c r="G10" s="213" t="s">
        <v>282</v>
      </c>
      <c r="H10" s="213">
        <v>215</v>
      </c>
      <c r="I10" s="213">
        <v>215</v>
      </c>
      <c r="K10" s="214" t="str">
        <f t="shared" si="0"/>
        <v>ADR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BABA</v>
      </c>
      <c r="M10" s="214" t="str">
        <f t="shared" si="1"/>
        <v>EQTY.IntlUS.off</v>
      </c>
      <c r="N10" s="215">
        <f t="shared" si="2"/>
        <v>215</v>
      </c>
      <c r="O10" s="215">
        <f t="shared" si="3"/>
        <v>215</v>
      </c>
    </row>
    <row r="11" spans="5:15">
      <c r="E11" s="213" t="s">
        <v>39</v>
      </c>
      <c r="F11" s="213" t="s">
        <v>2141</v>
      </c>
      <c r="G11" s="213" t="s">
        <v>282</v>
      </c>
      <c r="H11" s="213">
        <v>225</v>
      </c>
      <c r="I11" s="213">
        <v>225</v>
      </c>
      <c r="K11" s="214" t="str">
        <f t="shared" si="0"/>
        <v>ADR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BIDU</v>
      </c>
      <c r="M11" s="214" t="str">
        <f t="shared" si="1"/>
        <v>EQTY.IntlUS.off</v>
      </c>
      <c r="N11" s="215">
        <f t="shared" si="2"/>
        <v>225</v>
      </c>
      <c r="O11" s="215">
        <f t="shared" si="3"/>
        <v>225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0.05</v>
      </c>
      <c r="I12" s="213">
        <v>0.05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CAD</v>
      </c>
      <c r="M12" s="214" t="str">
        <f t="shared" si="1"/>
        <v>EQTY.IntlUS.off</v>
      </c>
      <c r="N12" s="215">
        <f t="shared" si="2"/>
        <v>0.05</v>
      </c>
      <c r="O12" s="215">
        <f t="shared" si="3"/>
        <v>0.05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0.49</v>
      </c>
      <c r="I13" s="213">
        <v>0.49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CHF</v>
      </c>
      <c r="M13" s="214" t="str">
        <f t="shared" si="1"/>
        <v>EQTY.InternacionalUS2.off</v>
      </c>
      <c r="N13" s="215">
        <f t="shared" si="2"/>
        <v>0.49</v>
      </c>
      <c r="O13" s="215">
        <f t="shared" si="3"/>
        <v>0.49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-2610.69</v>
      </c>
      <c r="I14" s="213">
        <v>-2610.69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CHF</v>
      </c>
      <c r="M14" s="214" t="str">
        <f t="shared" si="1"/>
        <v>EQTY.IntlUS.off</v>
      </c>
      <c r="N14" s="215">
        <f t="shared" si="2"/>
        <v>-2610.69</v>
      </c>
      <c r="O14" s="215">
        <f t="shared" si="3"/>
        <v>-2610.69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0.16</v>
      </c>
      <c r="I15" s="213">
        <v>0.16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CNH</v>
      </c>
      <c r="M15" s="214" t="str">
        <f t="shared" si="1"/>
        <v>EQTY.IntlUS.off</v>
      </c>
      <c r="N15" s="215">
        <f t="shared" si="2"/>
        <v>0.16</v>
      </c>
      <c r="O15" s="215">
        <f t="shared" si="3"/>
        <v>0.16</v>
      </c>
    </row>
    <row r="16" spans="5:15">
      <c r="E16" s="213" t="s">
        <v>321</v>
      </c>
      <c r="F16" s="213" t="s">
        <v>2126</v>
      </c>
      <c r="G16" s="213" t="s">
        <v>283</v>
      </c>
      <c r="H16" s="213">
        <v>-0.21</v>
      </c>
      <c r="I16" s="213">
        <v>-0.21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CNY</v>
      </c>
      <c r="M16" s="214" t="str">
        <f t="shared" si="1"/>
        <v>EQTY.InternacionalUS2.off</v>
      </c>
      <c r="N16" s="215">
        <f t="shared" si="2"/>
        <v>-0.21</v>
      </c>
      <c r="O16" s="215">
        <f t="shared" si="3"/>
        <v>-0.21</v>
      </c>
    </row>
    <row r="17" spans="5:15">
      <c r="E17" s="213" t="s">
        <v>321</v>
      </c>
      <c r="F17" s="213" t="s">
        <v>2126</v>
      </c>
      <c r="G17" s="213" t="s">
        <v>282</v>
      </c>
      <c r="H17" s="213">
        <v>-10000.790000000001</v>
      </c>
      <c r="I17" s="213">
        <v>-10000.790000000001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CNY</v>
      </c>
      <c r="M17" s="214" t="str">
        <f t="shared" si="1"/>
        <v>EQTY.IntlUS.off</v>
      </c>
      <c r="N17" s="215">
        <f t="shared" si="2"/>
        <v>-10000.790000000001</v>
      </c>
      <c r="O17" s="215">
        <f t="shared" si="3"/>
        <v>-10000.790000000001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0.47</v>
      </c>
      <c r="I18" s="213">
        <v>0.47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EUR</v>
      </c>
      <c r="M18" s="214" t="str">
        <f t="shared" si="1"/>
        <v>EQTY.InternacionalUS2.off</v>
      </c>
      <c r="N18" s="215">
        <f t="shared" si="2"/>
        <v>0.47</v>
      </c>
      <c r="O18" s="215">
        <f t="shared" si="3"/>
        <v>0.47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3233.9</v>
      </c>
      <c r="I19" s="213">
        <v>3233.9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EUR</v>
      </c>
      <c r="M19" s="214" t="str">
        <f t="shared" si="1"/>
        <v>EQTY.IntlUS.off</v>
      </c>
      <c r="N19" s="215">
        <f t="shared" si="2"/>
        <v>3233.9</v>
      </c>
      <c r="O19" s="215">
        <f t="shared" si="3"/>
        <v>3233.9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0.82</v>
      </c>
      <c r="I20" s="213">
        <v>0.82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GBP</v>
      </c>
      <c r="M20" s="214" t="str">
        <f t="shared" si="1"/>
        <v>EQTY.IntlUS.off</v>
      </c>
      <c r="N20" s="215">
        <f t="shared" si="2"/>
        <v>0.82</v>
      </c>
      <c r="O20" s="215">
        <f t="shared" si="3"/>
        <v>0.82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-0.06</v>
      </c>
      <c r="I21" s="213">
        <v>-0.06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HKD</v>
      </c>
      <c r="M21" s="214" t="str">
        <f t="shared" si="1"/>
        <v>EQTY.InternacionalUS2.off</v>
      </c>
      <c r="N21" s="215">
        <f t="shared" si="2"/>
        <v>-0.06</v>
      </c>
      <c r="O21" s="215">
        <f t="shared" si="3"/>
        <v>-0.06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-17957.060000000001</v>
      </c>
      <c r="I22" s="213">
        <v>-17957.060000000001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HKD</v>
      </c>
      <c r="M22" s="214" t="str">
        <f t="shared" si="1"/>
        <v>EQTY.IntlUS.off</v>
      </c>
      <c r="N22" s="215">
        <f t="shared" si="2"/>
        <v>-17957.060000000001</v>
      </c>
      <c r="O22" s="215">
        <f t="shared" si="3"/>
        <v>-17957.060000000001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-0.01</v>
      </c>
      <c r="I23" s="213">
        <v>-0.01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KRW</v>
      </c>
      <c r="M23" s="214" t="str">
        <f t="shared" si="1"/>
        <v>EQTY.IntlUS.off</v>
      </c>
      <c r="N23" s="215">
        <f t="shared" si="2"/>
        <v>-0.01</v>
      </c>
      <c r="O23" s="215">
        <f t="shared" si="3"/>
        <v>-0.01</v>
      </c>
    </row>
    <row r="24" spans="5:15">
      <c r="E24" s="213" t="s">
        <v>321</v>
      </c>
      <c r="F24" s="213" t="s">
        <v>302</v>
      </c>
      <c r="G24" s="213" t="s">
        <v>282</v>
      </c>
      <c r="H24" s="213">
        <v>54084.843855910003</v>
      </c>
      <c r="I24" s="213">
        <v>3.8559100000000002E-3</v>
      </c>
      <c r="K24" s="214" t="str">
        <f t="shared" si="0"/>
        <v>Cash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Cash USD</v>
      </c>
      <c r="M24" s="214" t="str">
        <f t="shared" si="1"/>
        <v>EQTY.IntlUS.off</v>
      </c>
      <c r="N24" s="215">
        <f t="shared" si="2"/>
        <v>54084.843855910003</v>
      </c>
      <c r="O24" s="215">
        <f t="shared" si="3"/>
        <v>3.8559100000000002E-3</v>
      </c>
    </row>
    <row r="25" spans="5:15">
      <c r="E25" s="213" t="s">
        <v>477</v>
      </c>
      <c r="F25" s="213" t="s">
        <v>1906</v>
      </c>
      <c r="G25" s="213" t="s">
        <v>282</v>
      </c>
      <c r="H25" s="213">
        <v>375000</v>
      </c>
      <c r="I25" s="213">
        <v>375000</v>
      </c>
      <c r="K25" s="214" t="str">
        <f t="shared" si="0"/>
        <v>CDS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CHINAGOV 12/20/30</v>
      </c>
      <c r="M25" s="214" t="str">
        <f t="shared" si="1"/>
        <v>EQTY.IntlUS.off</v>
      </c>
      <c r="N25" s="215">
        <f t="shared" si="2"/>
        <v>375000</v>
      </c>
      <c r="O25" s="215">
        <f t="shared" si="3"/>
        <v>375000</v>
      </c>
    </row>
    <row r="26" spans="5:15">
      <c r="E26" s="213" t="s">
        <v>317</v>
      </c>
      <c r="F26" s="213" t="s">
        <v>2361</v>
      </c>
      <c r="G26" s="213" t="s">
        <v>282</v>
      </c>
      <c r="H26" s="213">
        <v>1874</v>
      </c>
      <c r="I26" s="213">
        <v>1874</v>
      </c>
      <c r="K26" s="214" t="str">
        <f t="shared" si="0"/>
        <v>US Equity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CSCO</v>
      </c>
      <c r="M26" s="214" t="str">
        <f t="shared" si="1"/>
        <v>EQTY.IntlUS.off</v>
      </c>
      <c r="N26" s="215">
        <f t="shared" si="2"/>
        <v>1874</v>
      </c>
      <c r="O26" s="215">
        <f t="shared" si="3"/>
        <v>1874</v>
      </c>
    </row>
    <row r="27" spans="5:15">
      <c r="E27" s="213" t="s">
        <v>318</v>
      </c>
      <c r="F27" s="213" t="s">
        <v>2275</v>
      </c>
      <c r="G27" s="213" t="s">
        <v>283</v>
      </c>
      <c r="H27" s="213">
        <v>0.01</v>
      </c>
      <c r="I27" s="213">
        <v>0.01</v>
      </c>
      <c r="K27" s="214" t="str">
        <f t="shared" si="0"/>
        <v>Provisions and Costs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DELL DIVIDEND_</v>
      </c>
      <c r="M27" s="214" t="str">
        <f t="shared" si="1"/>
        <v>EQTY.InternacionalUS2.off</v>
      </c>
      <c r="N27" s="215">
        <f t="shared" si="2"/>
        <v>0.01</v>
      </c>
      <c r="O27" s="215">
        <f t="shared" si="3"/>
        <v>0.01</v>
      </c>
    </row>
    <row r="28" spans="5:15">
      <c r="E28" s="213" t="s">
        <v>320</v>
      </c>
      <c r="F28" s="213" t="s">
        <v>1754</v>
      </c>
      <c r="G28" s="213" t="s">
        <v>282</v>
      </c>
      <c r="H28" s="213">
        <v>2854</v>
      </c>
      <c r="I28" s="213">
        <v>2538</v>
      </c>
      <c r="K28" s="214" t="str">
        <f t="shared" si="0"/>
        <v>ETF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EWY</v>
      </c>
      <c r="M28" s="214" t="str">
        <f t="shared" si="1"/>
        <v>EQTY.IntlUS.off</v>
      </c>
      <c r="N28" s="215">
        <f t="shared" si="2"/>
        <v>2854</v>
      </c>
      <c r="O28" s="215">
        <f t="shared" si="3"/>
        <v>2538</v>
      </c>
    </row>
    <row r="29" spans="5:15">
      <c r="E29" s="213" t="s">
        <v>320</v>
      </c>
      <c r="F29" s="213" t="s">
        <v>131</v>
      </c>
      <c r="G29" s="213" t="s">
        <v>282</v>
      </c>
      <c r="H29" s="213">
        <v>1516</v>
      </c>
      <c r="I29" s="213">
        <v>878</v>
      </c>
      <c r="K29" s="214" t="str">
        <f t="shared" si="0"/>
        <v>ETF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 xml:space="preserve">GDX </v>
      </c>
      <c r="M29" s="214" t="str">
        <f t="shared" si="1"/>
        <v>EQTY.IntlUS.off</v>
      </c>
      <c r="N29" s="215">
        <f t="shared" si="2"/>
        <v>1516</v>
      </c>
      <c r="O29" s="215">
        <f t="shared" si="3"/>
        <v>878</v>
      </c>
    </row>
    <row r="30" spans="5:15">
      <c r="E30" s="213" t="s">
        <v>324</v>
      </c>
      <c r="F30" s="213" t="s">
        <v>2266</v>
      </c>
      <c r="G30" s="213" t="s">
        <v>282</v>
      </c>
      <c r="H30" s="213">
        <v>69</v>
      </c>
      <c r="I30" s="213">
        <v>69</v>
      </c>
      <c r="K30" s="214" t="str">
        <f t="shared" si="0"/>
        <v>ETF Options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GDX US 09/18/26 C105</v>
      </c>
      <c r="M30" s="214" t="str">
        <f t="shared" si="1"/>
        <v>EQTY.IntlUS.off</v>
      </c>
      <c r="N30" s="215">
        <f t="shared" si="2"/>
        <v>69</v>
      </c>
      <c r="O30" s="215">
        <f t="shared" si="3"/>
        <v>69</v>
      </c>
    </row>
    <row r="31" spans="5:15">
      <c r="E31" s="213" t="s">
        <v>324</v>
      </c>
      <c r="F31" s="213" t="s">
        <v>2267</v>
      </c>
      <c r="G31" s="213" t="s">
        <v>282</v>
      </c>
      <c r="H31" s="213">
        <v>-69</v>
      </c>
      <c r="I31" s="213">
        <v>-69</v>
      </c>
      <c r="K31" s="214" t="str">
        <f t="shared" si="0"/>
        <v>ETF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GDX US 09/18/26 C115</v>
      </c>
      <c r="M31" s="214" t="str">
        <f t="shared" si="1"/>
        <v>EQTY.IntlUS.off</v>
      </c>
      <c r="N31" s="215">
        <f t="shared" si="2"/>
        <v>-69</v>
      </c>
      <c r="O31" s="215">
        <f t="shared" si="3"/>
        <v>-69</v>
      </c>
    </row>
    <row r="32" spans="5:15">
      <c r="E32" s="213" t="s">
        <v>317</v>
      </c>
      <c r="F32" s="213" t="s">
        <v>2148</v>
      </c>
      <c r="G32" s="213" t="s">
        <v>282</v>
      </c>
      <c r="H32" s="213">
        <v>556</v>
      </c>
      <c r="I32" s="213">
        <v>556</v>
      </c>
      <c r="K32" s="214" t="str">
        <f t="shared" si="0"/>
        <v>US Equity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GOOG</v>
      </c>
      <c r="M32" s="214" t="str">
        <f t="shared" si="1"/>
        <v>EQTY.IntlUS.off</v>
      </c>
      <c r="N32" s="215">
        <f t="shared" si="2"/>
        <v>556</v>
      </c>
      <c r="O32" s="215">
        <f t="shared" si="3"/>
        <v>556</v>
      </c>
    </row>
    <row r="33" spans="5:15">
      <c r="E33" s="213" t="s">
        <v>325</v>
      </c>
      <c r="F33" s="213" t="s">
        <v>1896</v>
      </c>
      <c r="G33" s="213" t="s">
        <v>282</v>
      </c>
      <c r="H33" s="213">
        <v>19314</v>
      </c>
      <c r="I33" s="213">
        <v>19314</v>
      </c>
      <c r="K33" s="214" t="str">
        <f t="shared" si="0"/>
        <v>Basket Index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GSC1000P 03/20/26 C104</v>
      </c>
      <c r="M33" s="214" t="str">
        <f t="shared" si="1"/>
        <v>EQTY.IntlUS.off</v>
      </c>
      <c r="N33" s="215">
        <f t="shared" si="2"/>
        <v>19314</v>
      </c>
      <c r="O33" s="215">
        <f t="shared" si="3"/>
        <v>19314</v>
      </c>
    </row>
    <row r="34" spans="5:15">
      <c r="E34" s="213" t="s">
        <v>325</v>
      </c>
      <c r="F34" s="213" t="s">
        <v>1897</v>
      </c>
      <c r="G34" s="213" t="s">
        <v>282</v>
      </c>
      <c r="H34" s="213">
        <v>-19314</v>
      </c>
      <c r="I34" s="213">
        <v>-19314</v>
      </c>
      <c r="K34" s="214" t="str">
        <f t="shared" si="0"/>
        <v>Basket Index Options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GSC1000P 03/20/26 C119</v>
      </c>
      <c r="M34" s="214" t="str">
        <f t="shared" si="1"/>
        <v>EQTY.IntlUS.off</v>
      </c>
      <c r="N34" s="215">
        <f t="shared" si="2"/>
        <v>-19314</v>
      </c>
      <c r="O34" s="215">
        <f t="shared" si="3"/>
        <v>-19314</v>
      </c>
    </row>
    <row r="35" spans="5:15">
      <c r="E35" s="213" t="s">
        <v>317</v>
      </c>
      <c r="F35" s="213" t="s">
        <v>708</v>
      </c>
      <c r="G35" s="213" t="s">
        <v>282</v>
      </c>
      <c r="H35" s="213">
        <v>218</v>
      </c>
      <c r="I35" s="213">
        <v>339</v>
      </c>
      <c r="K35" s="214" t="str">
        <f t="shared" si="0"/>
        <v>US Equity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INTC</v>
      </c>
      <c r="M35" s="214" t="str">
        <f t="shared" si="1"/>
        <v>EQTY.IntlUS.off</v>
      </c>
      <c r="N35" s="215">
        <f t="shared" si="2"/>
        <v>218</v>
      </c>
      <c r="O35" s="215">
        <f t="shared" si="3"/>
        <v>339</v>
      </c>
    </row>
    <row r="36" spans="5:15">
      <c r="E36" s="213" t="s">
        <v>319</v>
      </c>
      <c r="F36" s="213" t="s">
        <v>2340</v>
      </c>
      <c r="G36" s="213" t="s">
        <v>282</v>
      </c>
      <c r="H36" s="213">
        <v>13</v>
      </c>
      <c r="I36" s="213">
        <v>6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INTC US 07/17/26 C50</v>
      </c>
      <c r="M36" s="214" t="str">
        <f t="shared" si="1"/>
        <v>EQTY.IntlUS.off</v>
      </c>
      <c r="N36" s="215">
        <f t="shared" si="2"/>
        <v>13</v>
      </c>
      <c r="O36" s="215">
        <f t="shared" si="3"/>
        <v>6</v>
      </c>
    </row>
    <row r="37" spans="5:15">
      <c r="E37" s="213" t="s">
        <v>319</v>
      </c>
      <c r="F37" s="213" t="s">
        <v>2341</v>
      </c>
      <c r="G37" s="213" t="s">
        <v>282</v>
      </c>
      <c r="H37" s="213">
        <v>-9</v>
      </c>
      <c r="I37" s="213">
        <v>-9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INTC US 07/17/26 C60</v>
      </c>
      <c r="M37" s="214" t="str">
        <f t="shared" si="1"/>
        <v>EQTY.IntlUS.off</v>
      </c>
      <c r="N37" s="215">
        <f t="shared" si="2"/>
        <v>-9</v>
      </c>
      <c r="O37" s="215">
        <f t="shared" si="3"/>
        <v>-9</v>
      </c>
    </row>
    <row r="38" spans="5:15">
      <c r="E38" s="213" t="s">
        <v>319</v>
      </c>
      <c r="F38" s="213" t="s">
        <v>2339</v>
      </c>
      <c r="G38" s="213" t="s">
        <v>282</v>
      </c>
      <c r="H38" s="213">
        <v>-9</v>
      </c>
      <c r="I38" s="213">
        <v>-9</v>
      </c>
      <c r="K38" s="214" t="str">
        <f t="shared" si="0"/>
        <v>US Equity Options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INTC US 07/17/26 P40</v>
      </c>
      <c r="M38" s="214" t="str">
        <f t="shared" si="1"/>
        <v>EQTY.IntlUS.off</v>
      </c>
      <c r="N38" s="215">
        <f t="shared" si="2"/>
        <v>-9</v>
      </c>
      <c r="O38" s="215">
        <f t="shared" si="3"/>
        <v>-9</v>
      </c>
    </row>
    <row r="39" spans="5:15">
      <c r="E39" s="213" t="s">
        <v>317</v>
      </c>
      <c r="F39" s="213" t="s">
        <v>2268</v>
      </c>
      <c r="G39" s="213" t="s">
        <v>282</v>
      </c>
      <c r="H39" s="213">
        <v>-718</v>
      </c>
      <c r="I39" s="213">
        <v>-718</v>
      </c>
      <c r="K39" s="214" t="str">
        <f t="shared" si="0"/>
        <v>US Equity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KHC</v>
      </c>
      <c r="M39" s="214" t="str">
        <f t="shared" si="1"/>
        <v>EQTY.IntlUS.off</v>
      </c>
      <c r="N39" s="215">
        <f t="shared" si="2"/>
        <v>-718</v>
      </c>
      <c r="O39" s="215">
        <f t="shared" si="3"/>
        <v>-718</v>
      </c>
    </row>
    <row r="40" spans="5:15">
      <c r="E40" s="213" t="s">
        <v>2336</v>
      </c>
      <c r="F40" s="213" t="s">
        <v>2313</v>
      </c>
      <c r="G40" s="213" t="s">
        <v>282</v>
      </c>
      <c r="H40" s="213">
        <v>685255</v>
      </c>
      <c r="I40" s="213">
        <v>685255</v>
      </c>
      <c r="K40" s="214" t="str">
        <f t="shared" si="0"/>
        <v>KOSPI 200 Index Options - KRX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KOSPI2 12/10/26 C1000</v>
      </c>
      <c r="M40" s="214" t="str">
        <f t="shared" si="1"/>
        <v>EQTY.IntlUS.off</v>
      </c>
      <c r="N40" s="215">
        <f t="shared" si="2"/>
        <v>685255</v>
      </c>
      <c r="O40" s="215">
        <f t="shared" si="3"/>
        <v>685255</v>
      </c>
    </row>
    <row r="41" spans="5:15">
      <c r="E41" s="213" t="s">
        <v>317</v>
      </c>
      <c r="F41" s="213" t="s">
        <v>2063</v>
      </c>
      <c r="G41" s="213" t="s">
        <v>282</v>
      </c>
      <c r="H41" s="213">
        <v>59</v>
      </c>
      <c r="I41" s="213">
        <v>59</v>
      </c>
      <c r="K41" s="214" t="str">
        <f t="shared" si="0"/>
        <v>US Equity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LITE</v>
      </c>
      <c r="M41" s="214" t="str">
        <f t="shared" si="1"/>
        <v>EQTY.IntlUS.off</v>
      </c>
      <c r="N41" s="215">
        <f t="shared" si="2"/>
        <v>59</v>
      </c>
      <c r="O41" s="215">
        <f t="shared" si="3"/>
        <v>59</v>
      </c>
    </row>
    <row r="42" spans="5:15">
      <c r="E42" s="213" t="s">
        <v>319</v>
      </c>
      <c r="F42" s="213" t="s">
        <v>2295</v>
      </c>
      <c r="G42" s="213" t="s">
        <v>282</v>
      </c>
      <c r="H42" s="213">
        <v>4</v>
      </c>
      <c r="I42" s="213">
        <v>4</v>
      </c>
      <c r="K42" s="214" t="str">
        <f t="shared" si="0"/>
        <v>US Equity Options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LITE US 03/20/26 C420</v>
      </c>
      <c r="M42" s="214" t="str">
        <f t="shared" si="1"/>
        <v>EQTY.IntlUS.off</v>
      </c>
      <c r="N42" s="215">
        <f t="shared" si="2"/>
        <v>4</v>
      </c>
      <c r="O42" s="215">
        <f t="shared" si="3"/>
        <v>4</v>
      </c>
    </row>
    <row r="43" spans="5:15">
      <c r="E43" s="213" t="s">
        <v>464</v>
      </c>
      <c r="F43" s="213" t="s">
        <v>2423</v>
      </c>
      <c r="G43" s="213" t="s">
        <v>282</v>
      </c>
      <c r="H43" s="213">
        <v>-628000</v>
      </c>
      <c r="I43" s="213">
        <v>-628000</v>
      </c>
      <c r="K43" s="214" t="str">
        <f t="shared" si="0"/>
        <v>Global Bonds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META 4.875% 11/15/35</v>
      </c>
      <c r="M43" s="214" t="str">
        <f t="shared" si="1"/>
        <v>EQTY.IntlUS.off</v>
      </c>
      <c r="N43" s="215">
        <f t="shared" si="2"/>
        <v>-628000</v>
      </c>
      <c r="O43" s="215">
        <f t="shared" si="3"/>
        <v>-628000</v>
      </c>
    </row>
    <row r="44" spans="5:15">
      <c r="E44" s="213" t="s">
        <v>317</v>
      </c>
      <c r="F44" s="213" t="s">
        <v>326</v>
      </c>
      <c r="G44" s="213" t="s">
        <v>282</v>
      </c>
      <c r="H44" s="213">
        <v>195</v>
      </c>
      <c r="I44" s="213">
        <v>-44</v>
      </c>
      <c r="K44" s="214" t="str">
        <f t="shared" si="0"/>
        <v>US Equity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META</v>
      </c>
      <c r="M44" s="214" t="str">
        <f t="shared" si="1"/>
        <v>EQTY.IntlUS.off</v>
      </c>
      <c r="N44" s="215">
        <f t="shared" si="2"/>
        <v>195</v>
      </c>
      <c r="O44" s="215">
        <f t="shared" si="3"/>
        <v>-44</v>
      </c>
    </row>
    <row r="45" spans="5:15">
      <c r="E45" s="213" t="s">
        <v>319</v>
      </c>
      <c r="F45" s="213" t="s">
        <v>2068</v>
      </c>
      <c r="G45" s="213" t="s">
        <v>282</v>
      </c>
      <c r="H45" s="213">
        <v>3</v>
      </c>
      <c r="I45" s="213">
        <v>3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META US 04/17/26 C690</v>
      </c>
      <c r="M45" s="214" t="str">
        <f t="shared" si="1"/>
        <v>EQTY.IntlUS.off</v>
      </c>
      <c r="N45" s="215">
        <f t="shared" si="2"/>
        <v>3</v>
      </c>
      <c r="O45" s="215">
        <f t="shared" si="3"/>
        <v>3</v>
      </c>
    </row>
    <row r="46" spans="5:15">
      <c r="E46" s="213" t="s">
        <v>319</v>
      </c>
      <c r="F46" s="213" t="s">
        <v>2298</v>
      </c>
      <c r="G46" s="213" t="s">
        <v>282</v>
      </c>
      <c r="H46" s="213">
        <v>0</v>
      </c>
      <c r="I46" s="213">
        <v>2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META US 07/17/26 C670</v>
      </c>
      <c r="M46" s="214" t="str">
        <f t="shared" si="1"/>
        <v>EQTY.IntlUS.off</v>
      </c>
      <c r="N46" s="215">
        <f t="shared" si="2"/>
        <v>0</v>
      </c>
      <c r="O46" s="215">
        <f t="shared" si="3"/>
        <v>2</v>
      </c>
    </row>
    <row r="47" spans="5:15">
      <c r="E47" s="213" t="s">
        <v>319</v>
      </c>
      <c r="F47" s="213" t="s">
        <v>2421</v>
      </c>
      <c r="G47" s="213" t="s">
        <v>282</v>
      </c>
      <c r="H47" s="213">
        <v>5</v>
      </c>
      <c r="I47" s="213">
        <v>0</v>
      </c>
      <c r="K47" s="214" t="str">
        <f t="shared" si="0"/>
        <v>US Equity Options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META US 07/17/26 C700</v>
      </c>
      <c r="M47" s="214" t="str">
        <f t="shared" si="1"/>
        <v>EQTY.IntlUS.off</v>
      </c>
      <c r="N47" s="215">
        <f t="shared" si="2"/>
        <v>5</v>
      </c>
      <c r="O47" s="215">
        <f t="shared" si="3"/>
        <v>0</v>
      </c>
    </row>
    <row r="48" spans="5:15">
      <c r="E48" s="213" t="s">
        <v>317</v>
      </c>
      <c r="F48" s="213" t="s">
        <v>138</v>
      </c>
      <c r="G48" s="213" t="s">
        <v>282</v>
      </c>
      <c r="H48" s="213">
        <v>-3</v>
      </c>
      <c r="I48" s="213">
        <v>-3</v>
      </c>
      <c r="K48" s="214" t="str">
        <f t="shared" si="0"/>
        <v>US Equity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MRVL</v>
      </c>
      <c r="M48" s="214" t="str">
        <f t="shared" si="1"/>
        <v>EQTY.IntlUS.off</v>
      </c>
      <c r="N48" s="215">
        <f t="shared" si="2"/>
        <v>-3</v>
      </c>
      <c r="O48" s="215">
        <f t="shared" si="3"/>
        <v>-3</v>
      </c>
    </row>
    <row r="49" spans="5:15">
      <c r="E49" s="213" t="s">
        <v>319</v>
      </c>
      <c r="F49" s="213" t="s">
        <v>2278</v>
      </c>
      <c r="G49" s="213" t="s">
        <v>282</v>
      </c>
      <c r="H49" s="213">
        <v>-9</v>
      </c>
      <c r="I49" s="213">
        <v>-9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MRVL US 03/20/26 P70</v>
      </c>
      <c r="M49" s="214" t="str">
        <f t="shared" si="1"/>
        <v>EQTY.IntlUS.off</v>
      </c>
      <c r="N49" s="215">
        <f t="shared" si="2"/>
        <v>-9</v>
      </c>
      <c r="O49" s="215">
        <f t="shared" si="3"/>
        <v>-9</v>
      </c>
    </row>
    <row r="50" spans="5:15">
      <c r="E50" s="213" t="s">
        <v>319</v>
      </c>
      <c r="F50" s="213" t="s">
        <v>2098</v>
      </c>
      <c r="G50" s="213" t="s">
        <v>282</v>
      </c>
      <c r="H50" s="213">
        <v>-12</v>
      </c>
      <c r="I50" s="213">
        <v>-12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MRVL US 03/20/26 P75</v>
      </c>
      <c r="M50" s="214" t="str">
        <f t="shared" si="1"/>
        <v>EQTY.IntlUS.off</v>
      </c>
      <c r="N50" s="215">
        <f t="shared" si="2"/>
        <v>-12</v>
      </c>
      <c r="O50" s="215">
        <f t="shared" si="3"/>
        <v>-12</v>
      </c>
    </row>
    <row r="51" spans="5:15">
      <c r="E51" s="213" t="s">
        <v>319</v>
      </c>
      <c r="F51" s="213" t="s">
        <v>2058</v>
      </c>
      <c r="G51" s="213" t="s">
        <v>282</v>
      </c>
      <c r="H51" s="213">
        <v>9</v>
      </c>
      <c r="I51" s="213">
        <v>9</v>
      </c>
      <c r="K51" s="214" t="str">
        <f t="shared" si="0"/>
        <v>US Equity Options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MRVL US 03/20/26 P80</v>
      </c>
      <c r="M51" s="214" t="str">
        <f t="shared" si="1"/>
        <v>EQTY.IntlUS.off</v>
      </c>
      <c r="N51" s="215">
        <f t="shared" si="2"/>
        <v>9</v>
      </c>
      <c r="O51" s="215">
        <f t="shared" si="3"/>
        <v>9</v>
      </c>
    </row>
    <row r="52" spans="5:15">
      <c r="E52" s="213" t="s">
        <v>319</v>
      </c>
      <c r="F52" s="213" t="s">
        <v>2097</v>
      </c>
      <c r="G52" s="213" t="s">
        <v>282</v>
      </c>
      <c r="H52" s="213">
        <v>14</v>
      </c>
      <c r="I52" s="213">
        <v>14</v>
      </c>
      <c r="K52" s="214" t="str">
        <f t="shared" si="0"/>
        <v>US Equity Options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MRVL US 03/20/26 P85</v>
      </c>
      <c r="M52" s="214" t="str">
        <f t="shared" si="1"/>
        <v>EQTY.IntlUS.off</v>
      </c>
      <c r="N52" s="215">
        <f t="shared" si="2"/>
        <v>14</v>
      </c>
      <c r="O52" s="215">
        <f t="shared" si="3"/>
        <v>14</v>
      </c>
    </row>
    <row r="53" spans="5:15">
      <c r="E53" s="213" t="s">
        <v>317</v>
      </c>
      <c r="F53" s="213" t="s">
        <v>90</v>
      </c>
      <c r="G53" s="213" t="s">
        <v>282</v>
      </c>
      <c r="H53" s="213">
        <v>-45</v>
      </c>
      <c r="I53" s="213">
        <v>88</v>
      </c>
      <c r="K53" s="214" t="str">
        <f t="shared" si="0"/>
        <v>US Equity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MSFT</v>
      </c>
      <c r="M53" s="214" t="str">
        <f t="shared" si="1"/>
        <v>EQTY.IntlUS.off</v>
      </c>
      <c r="N53" s="215">
        <f t="shared" si="2"/>
        <v>-45</v>
      </c>
      <c r="O53" s="215">
        <f t="shared" si="3"/>
        <v>88</v>
      </c>
    </row>
    <row r="54" spans="5:15">
      <c r="E54" s="213" t="s">
        <v>319</v>
      </c>
      <c r="F54" s="213" t="s">
        <v>2342</v>
      </c>
      <c r="G54" s="213" t="s">
        <v>282</v>
      </c>
      <c r="H54" s="213">
        <v>0</v>
      </c>
      <c r="I54" s="213">
        <v>2</v>
      </c>
      <c r="K54" s="214" t="str">
        <f t="shared" si="0"/>
        <v>US Equity Options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MSFT US 07/17/26 C475</v>
      </c>
      <c r="M54" s="214" t="str">
        <f t="shared" si="1"/>
        <v>EQTY.IntlUS.off</v>
      </c>
      <c r="N54" s="215">
        <f t="shared" si="2"/>
        <v>0</v>
      </c>
      <c r="O54" s="215">
        <f t="shared" si="3"/>
        <v>2</v>
      </c>
    </row>
    <row r="55" spans="5:15">
      <c r="E55" s="213" t="s">
        <v>319</v>
      </c>
      <c r="F55" s="213" t="s">
        <v>2371</v>
      </c>
      <c r="G55" s="213" t="s">
        <v>282</v>
      </c>
      <c r="H55" s="213">
        <v>12</v>
      </c>
      <c r="I55" s="213">
        <v>5</v>
      </c>
      <c r="K55" s="214" t="str">
        <f t="shared" si="0"/>
        <v>US Equity Options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MSFT US 07/17/26 C500</v>
      </c>
      <c r="M55" s="214" t="str">
        <f t="shared" si="1"/>
        <v>EQTY.IntlUS.off</v>
      </c>
      <c r="N55" s="215">
        <f t="shared" si="2"/>
        <v>12</v>
      </c>
      <c r="O55" s="215">
        <f t="shared" si="3"/>
        <v>5</v>
      </c>
    </row>
    <row r="56" spans="5:15">
      <c r="E56" s="213" t="s">
        <v>317</v>
      </c>
      <c r="F56" s="213" t="s">
        <v>94</v>
      </c>
      <c r="G56" s="213" t="s">
        <v>282</v>
      </c>
      <c r="H56" s="213">
        <v>910</v>
      </c>
      <c r="I56" s="213">
        <v>1486</v>
      </c>
      <c r="K56" s="214" t="str">
        <f t="shared" si="0"/>
        <v>US Equity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NVDA</v>
      </c>
      <c r="M56" s="214" t="str">
        <f t="shared" si="1"/>
        <v>EQTY.IntlUS.off</v>
      </c>
      <c r="N56" s="215">
        <f t="shared" si="2"/>
        <v>910</v>
      </c>
      <c r="O56" s="215">
        <f t="shared" si="3"/>
        <v>1486</v>
      </c>
    </row>
    <row r="57" spans="5:15">
      <c r="E57" s="213" t="s">
        <v>319</v>
      </c>
      <c r="F57" s="213" t="s">
        <v>2408</v>
      </c>
      <c r="G57" s="213" t="s">
        <v>282</v>
      </c>
      <c r="H57" s="213">
        <v>121</v>
      </c>
      <c r="I57" s="213">
        <v>0</v>
      </c>
      <c r="K57" s="214" t="str">
        <f t="shared" si="0"/>
        <v>US Equity Options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NVDA US 02/06/26 C197.5</v>
      </c>
      <c r="M57" s="214" t="str">
        <f t="shared" si="1"/>
        <v>EQTY.IntlUS.off</v>
      </c>
      <c r="N57" s="215">
        <f t="shared" si="2"/>
        <v>121</v>
      </c>
      <c r="O57" s="215">
        <f t="shared" si="3"/>
        <v>0</v>
      </c>
    </row>
    <row r="58" spans="5:15">
      <c r="E58" s="213" t="s">
        <v>319</v>
      </c>
      <c r="F58" s="213" t="s">
        <v>2409</v>
      </c>
      <c r="G58" s="213" t="s">
        <v>282</v>
      </c>
      <c r="H58" s="213">
        <v>-121</v>
      </c>
      <c r="I58" s="213">
        <v>0</v>
      </c>
      <c r="K58" s="214" t="str">
        <f t="shared" si="0"/>
        <v>US Equity Options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NVDA US 02/13/26 C202.5</v>
      </c>
      <c r="M58" s="214" t="str">
        <f t="shared" si="1"/>
        <v>EQTY.IntlUS.off</v>
      </c>
      <c r="N58" s="215">
        <f t="shared" si="2"/>
        <v>-121</v>
      </c>
      <c r="O58" s="215">
        <f t="shared" si="3"/>
        <v>0</v>
      </c>
    </row>
    <row r="59" spans="5:15">
      <c r="E59" s="213" t="s">
        <v>319</v>
      </c>
      <c r="F59" s="213" t="s">
        <v>2405</v>
      </c>
      <c r="G59" s="213" t="s">
        <v>282</v>
      </c>
      <c r="H59" s="213">
        <v>8</v>
      </c>
      <c r="I59" s="213">
        <v>0</v>
      </c>
      <c r="K59" s="214" t="str">
        <f t="shared" si="0"/>
        <v>US Equity Options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NVDA US 05/15/26 C200</v>
      </c>
      <c r="M59" s="214" t="str">
        <f t="shared" si="1"/>
        <v>EQTY.IntlUS.off</v>
      </c>
      <c r="N59" s="215">
        <f t="shared" si="2"/>
        <v>8</v>
      </c>
      <c r="O59" s="215">
        <f t="shared" si="3"/>
        <v>0</v>
      </c>
    </row>
    <row r="60" spans="5:15">
      <c r="E60" s="213" t="s">
        <v>318</v>
      </c>
      <c r="F60" s="213" t="s">
        <v>2424</v>
      </c>
      <c r="G60" s="213" t="s">
        <v>282</v>
      </c>
      <c r="H60" s="213">
        <v>995.58</v>
      </c>
      <c r="I60" s="213">
        <v>0</v>
      </c>
      <c r="K60" s="214" t="str">
        <f t="shared" si="0"/>
        <v>Provisions and Costs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Provision Equity Total Return Swap USD_</v>
      </c>
      <c r="M60" s="214" t="str">
        <f t="shared" si="1"/>
        <v>EQTY.IntlUS.off</v>
      </c>
      <c r="N60" s="215">
        <f t="shared" si="2"/>
        <v>995.58</v>
      </c>
      <c r="O60" s="215">
        <f t="shared" si="3"/>
        <v>0</v>
      </c>
    </row>
    <row r="61" spans="5:15">
      <c r="E61" s="213" t="s">
        <v>318</v>
      </c>
      <c r="F61" s="213" t="s">
        <v>336</v>
      </c>
      <c r="G61" s="213" t="s">
        <v>282</v>
      </c>
      <c r="H61" s="213">
        <v>0</v>
      </c>
      <c r="I61" s="213">
        <v>-1461</v>
      </c>
      <c r="K61" s="214" t="str">
        <f t="shared" si="0"/>
        <v>Provisions and Costs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Provision ETF Options USD_</v>
      </c>
      <c r="M61" s="214" t="str">
        <f t="shared" si="1"/>
        <v>EQTY.IntlUS.off</v>
      </c>
      <c r="N61" s="215">
        <f t="shared" si="2"/>
        <v>0</v>
      </c>
      <c r="O61" s="215">
        <f t="shared" si="3"/>
        <v>-1461</v>
      </c>
    </row>
    <row r="62" spans="5:15">
      <c r="E62" s="213" t="s">
        <v>318</v>
      </c>
      <c r="F62" s="213" t="s">
        <v>306</v>
      </c>
      <c r="G62" s="213" t="s">
        <v>282</v>
      </c>
      <c r="H62" s="213">
        <v>-110367.76</v>
      </c>
      <c r="I62" s="213">
        <v>-37787.99</v>
      </c>
      <c r="K62" s="214" t="str">
        <f t="shared" si="0"/>
        <v>Provisions and Costs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Provision ETF USD_</v>
      </c>
      <c r="M62" s="214" t="str">
        <f t="shared" si="1"/>
        <v>EQTY.IntlUS.off</v>
      </c>
      <c r="N62" s="215">
        <f t="shared" si="2"/>
        <v>-110367.76</v>
      </c>
      <c r="O62" s="215">
        <f t="shared" si="3"/>
        <v>-37787.99</v>
      </c>
    </row>
    <row r="63" spans="5:15">
      <c r="E63" s="213" t="s">
        <v>318</v>
      </c>
      <c r="F63" s="213" t="s">
        <v>2425</v>
      </c>
      <c r="G63" s="213" t="s">
        <v>282</v>
      </c>
      <c r="H63" s="213">
        <v>19926.7</v>
      </c>
      <c r="I63" s="213">
        <v>609160</v>
      </c>
      <c r="K63" s="214" t="str">
        <f t="shared" si="0"/>
        <v>Provisions and Costs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Provision Global Bonds USD_</v>
      </c>
      <c r="M63" s="214" t="str">
        <f t="shared" si="1"/>
        <v>EQTY.IntlUS.off</v>
      </c>
      <c r="N63" s="215">
        <f t="shared" si="2"/>
        <v>19926.7</v>
      </c>
      <c r="O63" s="215">
        <f t="shared" si="3"/>
        <v>609160</v>
      </c>
    </row>
    <row r="64" spans="5:15">
      <c r="E64" s="213" t="s">
        <v>318</v>
      </c>
      <c r="F64" s="213" t="s">
        <v>1666</v>
      </c>
      <c r="G64" s="213" t="s">
        <v>282</v>
      </c>
      <c r="H64" s="213">
        <v>0</v>
      </c>
      <c r="I64" s="213">
        <v>29240.880000000001</v>
      </c>
      <c r="K64" s="214" t="str">
        <f t="shared" si="0"/>
        <v>Provisions and Costs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Provision NYSE USD_</v>
      </c>
      <c r="M64" s="214" t="str">
        <f t="shared" si="1"/>
        <v>EQTY.IntlUS.off</v>
      </c>
      <c r="N64" s="215">
        <f t="shared" si="2"/>
        <v>0</v>
      </c>
      <c r="O64" s="215">
        <f t="shared" si="3"/>
        <v>29240.880000000001</v>
      </c>
    </row>
    <row r="65" spans="5:15">
      <c r="E65" s="213" t="s">
        <v>318</v>
      </c>
      <c r="F65" s="213" t="s">
        <v>2426</v>
      </c>
      <c r="G65" s="213" t="s">
        <v>282</v>
      </c>
      <c r="H65" s="213">
        <v>0</v>
      </c>
      <c r="I65" s="213">
        <v>-602909.59</v>
      </c>
      <c r="K65" s="214" t="str">
        <f t="shared" si="0"/>
        <v>Provisions and Costs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Provision TBOND USD_</v>
      </c>
      <c r="M65" s="214" t="str">
        <f t="shared" si="1"/>
        <v>EQTY.IntlUS.off</v>
      </c>
      <c r="N65" s="215">
        <f t="shared" si="2"/>
        <v>0</v>
      </c>
      <c r="O65" s="215">
        <f t="shared" si="3"/>
        <v>-602909.59</v>
      </c>
    </row>
    <row r="66" spans="5:15">
      <c r="E66" s="213" t="s">
        <v>318</v>
      </c>
      <c r="F66" s="213" t="s">
        <v>337</v>
      </c>
      <c r="G66" s="213" t="s">
        <v>282</v>
      </c>
      <c r="H66" s="213">
        <v>-38025</v>
      </c>
      <c r="I66" s="213">
        <v>-4114</v>
      </c>
      <c r="K66" s="214" t="str">
        <f t="shared" si="0"/>
        <v>Provisions and Costs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Provision US Equity Options USD_</v>
      </c>
      <c r="M66" s="214" t="str">
        <f t="shared" si="1"/>
        <v>EQTY.IntlUS.off</v>
      </c>
      <c r="N66" s="215">
        <f t="shared" si="2"/>
        <v>-38025</v>
      </c>
      <c r="O66" s="215">
        <f t="shared" si="3"/>
        <v>-4114</v>
      </c>
    </row>
    <row r="67" spans="5:15">
      <c r="E67" s="213" t="s">
        <v>318</v>
      </c>
      <c r="F67" s="213" t="s">
        <v>307</v>
      </c>
      <c r="G67" s="213" t="s">
        <v>282</v>
      </c>
      <c r="H67" s="213">
        <v>27853.08</v>
      </c>
      <c r="I67" s="213">
        <v>61956.54</v>
      </c>
      <c r="K67" s="214" t="str">
        <f t="shared" ref="K67:K130" si="4">IF(E67="","",E67)</f>
        <v>Provisions and Costs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Provision US Equity USD_</v>
      </c>
      <c r="M67" s="214" t="str">
        <f t="shared" ref="M67:M130" si="5">IF(E67="","",G67)</f>
        <v>EQTY.IntlUS.off</v>
      </c>
      <c r="N67" s="215">
        <f t="shared" ref="N67:N130" si="6">IF(E67="","",H67)</f>
        <v>27853.08</v>
      </c>
      <c r="O67" s="215">
        <f t="shared" ref="O67:O130" si="7">IF(E67="","",I67)</f>
        <v>61956.54</v>
      </c>
    </row>
    <row r="68" spans="5:15">
      <c r="E68" s="213" t="s">
        <v>324</v>
      </c>
      <c r="F68" s="213" t="s">
        <v>2374</v>
      </c>
      <c r="G68" s="213" t="s">
        <v>282</v>
      </c>
      <c r="H68" s="213">
        <v>9</v>
      </c>
      <c r="I68" s="213">
        <v>9</v>
      </c>
      <c r="K68" s="214" t="str">
        <f t="shared" si="4"/>
        <v>ETF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QQQ US 01/29/26 P628</v>
      </c>
      <c r="M68" s="214" t="str">
        <f t="shared" si="5"/>
        <v>EQTY.IntlUS.off</v>
      </c>
      <c r="N68" s="215">
        <f t="shared" si="6"/>
        <v>9</v>
      </c>
      <c r="O68" s="215">
        <f t="shared" si="7"/>
        <v>9</v>
      </c>
    </row>
    <row r="69" spans="5:15">
      <c r="E69" s="213" t="s">
        <v>317</v>
      </c>
      <c r="F69" s="213" t="s">
        <v>2131</v>
      </c>
      <c r="G69" s="213" t="s">
        <v>282</v>
      </c>
      <c r="H69" s="213">
        <v>2028</v>
      </c>
      <c r="I69" s="213">
        <v>2028</v>
      </c>
      <c r="K69" s="214" t="str">
        <f t="shared" si="4"/>
        <v>US Equity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RIOT</v>
      </c>
      <c r="M69" s="214" t="str">
        <f t="shared" si="5"/>
        <v>EQTY.IntlUS.off</v>
      </c>
      <c r="N69" s="215">
        <f t="shared" si="6"/>
        <v>2028</v>
      </c>
      <c r="O69" s="215">
        <f t="shared" si="7"/>
        <v>2028</v>
      </c>
    </row>
    <row r="70" spans="5:15">
      <c r="E70" s="213" t="s">
        <v>320</v>
      </c>
      <c r="F70" s="213" t="s">
        <v>3</v>
      </c>
      <c r="G70" s="213" t="s">
        <v>282</v>
      </c>
      <c r="H70" s="213">
        <v>-799</v>
      </c>
      <c r="I70" s="213">
        <v>-799</v>
      </c>
      <c r="K70" s="214" t="str">
        <f t="shared" si="4"/>
        <v>ETF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RSP</v>
      </c>
      <c r="M70" s="214" t="str">
        <f t="shared" si="5"/>
        <v>EQTY.IntlUS.off</v>
      </c>
      <c r="N70" s="215">
        <f t="shared" si="6"/>
        <v>-799</v>
      </c>
      <c r="O70" s="215">
        <f t="shared" si="7"/>
        <v>-799</v>
      </c>
    </row>
    <row r="71" spans="5:15">
      <c r="E71" s="213" t="s">
        <v>2133</v>
      </c>
      <c r="F71" s="213" t="s">
        <v>2303</v>
      </c>
      <c r="G71" s="213" t="s">
        <v>282</v>
      </c>
      <c r="H71" s="213">
        <v>0</v>
      </c>
      <c r="I71" s="213">
        <v>57</v>
      </c>
      <c r="K71" s="214" t="str">
        <f t="shared" si="4"/>
        <v>Equity Total Return Swap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SWAP 000660 KP 23JAN2026 25JAN2027 509.6192</v>
      </c>
      <c r="M71" s="214" t="str">
        <f t="shared" si="5"/>
        <v>EQTY.IntlUS.off</v>
      </c>
      <c r="N71" s="215">
        <f t="shared" si="6"/>
        <v>0</v>
      </c>
      <c r="O71" s="215">
        <f t="shared" si="7"/>
        <v>57</v>
      </c>
    </row>
    <row r="72" spans="5:15">
      <c r="E72" s="213" t="s">
        <v>2133</v>
      </c>
      <c r="F72" s="213" t="s">
        <v>2134</v>
      </c>
      <c r="G72" s="213" t="s">
        <v>282</v>
      </c>
      <c r="H72" s="213">
        <v>100</v>
      </c>
      <c r="I72" s="213">
        <v>100</v>
      </c>
      <c r="K72" s="214" t="str">
        <f t="shared" si="4"/>
        <v>Equity Total Return Swap</v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>000660 KS</v>
      </c>
      <c r="M72" s="214" t="str">
        <f t="shared" si="5"/>
        <v>EQTY.IntlUS.off</v>
      </c>
      <c r="N72" s="215">
        <f t="shared" si="6"/>
        <v>100</v>
      </c>
      <c r="O72" s="215">
        <f t="shared" si="7"/>
        <v>100</v>
      </c>
    </row>
    <row r="73" spans="5:15">
      <c r="E73" s="213" t="s">
        <v>2133</v>
      </c>
      <c r="F73" s="213" t="s">
        <v>2338</v>
      </c>
      <c r="G73" s="213" t="s">
        <v>282</v>
      </c>
      <c r="H73" s="213">
        <v>43</v>
      </c>
      <c r="I73" s="213">
        <v>56</v>
      </c>
      <c r="K73" s="214" t="str">
        <f t="shared" si="4"/>
        <v>Equity Total Return Swap</v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>SWAP 000660 KS 26JAN2026 26JAN2027 509.6192</v>
      </c>
      <c r="M73" s="214" t="str">
        <f t="shared" si="5"/>
        <v>EQTY.IntlUS.off</v>
      </c>
      <c r="N73" s="215">
        <f t="shared" si="6"/>
        <v>43</v>
      </c>
      <c r="O73" s="215">
        <f t="shared" si="7"/>
        <v>56</v>
      </c>
    </row>
    <row r="74" spans="5:15">
      <c r="E74" s="213" t="s">
        <v>2133</v>
      </c>
      <c r="F74" s="213" t="s">
        <v>2427</v>
      </c>
      <c r="G74" s="213" t="s">
        <v>282</v>
      </c>
      <c r="H74" s="213">
        <v>130</v>
      </c>
      <c r="I74" s="213">
        <v>0</v>
      </c>
      <c r="K74" s="214" t="str">
        <f t="shared" si="4"/>
        <v>Equity Total Return Swap</v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>SWAP 300502 CH 30JAN2026 01FEB2027 57.9966</v>
      </c>
      <c r="M74" s="214" t="str">
        <f t="shared" si="5"/>
        <v>EQTY.IntlUS.off</v>
      </c>
      <c r="N74" s="215">
        <f t="shared" si="6"/>
        <v>130</v>
      </c>
      <c r="O74" s="215">
        <f t="shared" si="7"/>
        <v>0</v>
      </c>
    </row>
    <row r="75" spans="5:15">
      <c r="E75" s="213" t="s">
        <v>2428</v>
      </c>
      <c r="F75" s="213" t="s">
        <v>2429</v>
      </c>
      <c r="G75" s="213" t="s">
        <v>282</v>
      </c>
      <c r="H75" s="213">
        <v>609160</v>
      </c>
      <c r="I75" s="213">
        <v>609160</v>
      </c>
      <c r="K75" s="214" t="str">
        <f t="shared" si="4"/>
        <v>TBOND</v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>T 4.000% 11/15/35</v>
      </c>
      <c r="M75" s="214" t="str">
        <f t="shared" si="5"/>
        <v>EQTY.IntlUS.off</v>
      </c>
      <c r="N75" s="215">
        <f t="shared" si="6"/>
        <v>609160</v>
      </c>
      <c r="O75" s="215">
        <f t="shared" si="7"/>
        <v>609160</v>
      </c>
    </row>
    <row r="76" spans="5:15">
      <c r="E76" s="213" t="s">
        <v>39</v>
      </c>
      <c r="F76" s="213" t="s">
        <v>96</v>
      </c>
      <c r="G76" s="213" t="s">
        <v>282</v>
      </c>
      <c r="H76" s="213">
        <v>208</v>
      </c>
      <c r="I76" s="213">
        <v>208</v>
      </c>
      <c r="K76" s="214" t="str">
        <f t="shared" si="4"/>
        <v>ADR</v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>TSM</v>
      </c>
      <c r="M76" s="214" t="str">
        <f t="shared" si="5"/>
        <v>EQTY.IntlUS.off</v>
      </c>
      <c r="N76" s="215">
        <f t="shared" si="6"/>
        <v>208</v>
      </c>
      <c r="O76" s="215">
        <f t="shared" si="7"/>
        <v>208</v>
      </c>
    </row>
    <row r="77" spans="5:15">
      <c r="E77" s="213" t="s">
        <v>327</v>
      </c>
      <c r="F77" s="213" t="s">
        <v>2228</v>
      </c>
      <c r="G77" s="213" t="s">
        <v>282</v>
      </c>
      <c r="H77" s="213">
        <v>97</v>
      </c>
      <c r="I77" s="213">
        <v>97</v>
      </c>
      <c r="K77" s="214" t="str">
        <f t="shared" si="4"/>
        <v>ADR Options</v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>TSM US 06/18/26 C340</v>
      </c>
      <c r="M77" s="214" t="str">
        <f t="shared" si="5"/>
        <v>EQTY.IntlUS.off</v>
      </c>
      <c r="N77" s="215">
        <f t="shared" si="6"/>
        <v>97</v>
      </c>
      <c r="O77" s="215">
        <f t="shared" si="7"/>
        <v>97</v>
      </c>
    </row>
    <row r="78" spans="5:15">
      <c r="E78" s="213" t="s">
        <v>327</v>
      </c>
      <c r="F78" s="213" t="s">
        <v>2229</v>
      </c>
      <c r="G78" s="213" t="s">
        <v>282</v>
      </c>
      <c r="H78" s="213">
        <v>-88</v>
      </c>
      <c r="I78" s="213">
        <v>-88</v>
      </c>
      <c r="K78" s="214" t="str">
        <f t="shared" si="4"/>
        <v>ADR Options</v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>TSM US 06/18/26 C380</v>
      </c>
      <c r="M78" s="214" t="str">
        <f t="shared" si="5"/>
        <v>EQTY.IntlUS.off</v>
      </c>
      <c r="N78" s="215">
        <f t="shared" si="6"/>
        <v>-88</v>
      </c>
      <c r="O78" s="215">
        <f t="shared" si="7"/>
        <v>-88</v>
      </c>
    </row>
    <row r="79" spans="5:15">
      <c r="E79" s="213" t="s">
        <v>320</v>
      </c>
      <c r="F79" s="213" t="s">
        <v>88</v>
      </c>
      <c r="G79" s="213" t="s">
        <v>282</v>
      </c>
      <c r="H79" s="213">
        <v>2885</v>
      </c>
      <c r="I79" s="213">
        <v>2885</v>
      </c>
      <c r="K79" s="214" t="str">
        <f t="shared" si="4"/>
        <v>ETF</v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>XLF</v>
      </c>
      <c r="M79" s="214" t="str">
        <f t="shared" si="5"/>
        <v>EQTY.IntlUS.off</v>
      </c>
      <c r="N79" s="215">
        <f t="shared" si="6"/>
        <v>2885</v>
      </c>
      <c r="O79" s="215">
        <f t="shared" si="7"/>
        <v>2885</v>
      </c>
    </row>
    <row r="80" spans="5:15">
      <c r="E80" s="213" t="s">
        <v>320</v>
      </c>
      <c r="F80" s="213" t="s">
        <v>4</v>
      </c>
      <c r="G80" s="213" t="s">
        <v>282</v>
      </c>
      <c r="H80" s="213">
        <v>-1735</v>
      </c>
      <c r="I80" s="213">
        <v>-1735</v>
      </c>
      <c r="K80" s="214" t="str">
        <f t="shared" si="4"/>
        <v>ETF</v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>XLP</v>
      </c>
      <c r="M80" s="214" t="str">
        <f t="shared" si="5"/>
        <v>EQTY.IntlUS.off</v>
      </c>
      <c r="N80" s="215">
        <f t="shared" si="6"/>
        <v>-1735</v>
      </c>
      <c r="O80" s="215">
        <f t="shared" si="7"/>
        <v>-1735</v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195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195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-45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-45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-799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-799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208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208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46051</v>
      </c>
      <c r="C2" s="210">
        <v>0</v>
      </c>
    </row>
    <row r="3" spans="1:7">
      <c r="A3" s="208" t="s">
        <v>342</v>
      </c>
      <c r="B3" s="236">
        <f ca="1">B2-1</f>
        <v>46050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Daniel\BooksOverviewResume28Jan2026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Daniel\BooksOverviewResume28Jan2026_zenith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2134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1857</v>
      </c>
      <c r="G22" s="353" t="s">
        <v>1854</v>
      </c>
    </row>
    <row r="23" spans="6:7">
      <c r="F23" s="213" t="s">
        <v>1857</v>
      </c>
      <c r="G23" s="353" t="s">
        <v>1854</v>
      </c>
    </row>
    <row r="24" spans="6:7">
      <c r="F24" s="213" t="s">
        <v>1864</v>
      </c>
      <c r="G24" s="353" t="s">
        <v>1854</v>
      </c>
    </row>
    <row r="25" spans="6:7">
      <c r="F25" s="213" t="s">
        <v>1864</v>
      </c>
      <c r="G25" s="353" t="s">
        <v>1854</v>
      </c>
    </row>
    <row r="26" spans="6:7">
      <c r="F26" s="213" t="s">
        <v>1867</v>
      </c>
      <c r="G26" s="353" t="s">
        <v>1854</v>
      </c>
    </row>
    <row r="27" spans="6:7">
      <c r="F27" s="213" t="s">
        <v>1867</v>
      </c>
      <c r="G27" s="353" t="s">
        <v>1854</v>
      </c>
    </row>
    <row r="28" spans="6:7">
      <c r="F28" s="213" t="s">
        <v>1870</v>
      </c>
      <c r="G28" s="353" t="s">
        <v>1854</v>
      </c>
    </row>
    <row r="29" spans="6:7">
      <c r="F29" s="213" t="s">
        <v>1870</v>
      </c>
      <c r="G29" s="353" t="s">
        <v>1854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1885</v>
      </c>
      <c r="G34" s="22" t="s">
        <v>1742</v>
      </c>
    </row>
    <row r="35" spans="6:7">
      <c r="F35" s="362" t="s">
        <v>1884</v>
      </c>
      <c r="G35" s="163" t="s">
        <v>1881</v>
      </c>
    </row>
    <row r="36" spans="6:7">
      <c r="F36" s="362" t="s">
        <v>1883</v>
      </c>
      <c r="G36" s="22" t="s">
        <v>1882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1886</v>
      </c>
      <c r="G39" s="22" t="s">
        <v>2</v>
      </c>
    </row>
    <row r="40" spans="6:7">
      <c r="F40" t="s">
        <v>131</v>
      </c>
      <c r="G40" s="22" t="s">
        <v>2139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1908</v>
      </c>
      <c r="G50" s="22" t="s">
        <v>1909</v>
      </c>
    </row>
    <row r="51" spans="6:7">
      <c r="F51" s="22" t="s">
        <v>1845</v>
      </c>
      <c r="G51" s="22" t="s">
        <v>1844</v>
      </c>
    </row>
    <row r="52" spans="6:7">
      <c r="F52" s="22" t="s">
        <v>358</v>
      </c>
      <c r="G52" s="22" t="s">
        <v>2</v>
      </c>
    </row>
    <row r="53" spans="6:7">
      <c r="F53" s="213" t="s">
        <v>1868</v>
      </c>
      <c r="G53" s="353" t="s">
        <v>1853</v>
      </c>
    </row>
    <row r="54" spans="6:7">
      <c r="F54" s="213" t="s">
        <v>1868</v>
      </c>
      <c r="G54" s="353" t="s">
        <v>1853</v>
      </c>
    </row>
    <row r="55" spans="6:7">
      <c r="F55" s="213" t="s">
        <v>1865</v>
      </c>
      <c r="G55" s="353" t="s">
        <v>1853</v>
      </c>
    </row>
    <row r="56" spans="6:7">
      <c r="F56" s="213" t="s">
        <v>1865</v>
      </c>
      <c r="G56" s="353" t="s">
        <v>1853</v>
      </c>
    </row>
    <row r="57" spans="6:7">
      <c r="F57" s="213" t="s">
        <v>1869</v>
      </c>
      <c r="G57" s="353" t="s">
        <v>1853</v>
      </c>
    </row>
    <row r="58" spans="6:7">
      <c r="F58" s="213" t="s">
        <v>1869</v>
      </c>
      <c r="G58" s="353" t="s">
        <v>1853</v>
      </c>
    </row>
    <row r="59" spans="6:7">
      <c r="F59" s="213" t="s">
        <v>1871</v>
      </c>
      <c r="G59" s="353" t="s">
        <v>1853</v>
      </c>
    </row>
    <row r="60" spans="6:7">
      <c r="F60" s="213" t="s">
        <v>1871</v>
      </c>
      <c r="G60" s="353" t="s">
        <v>1853</v>
      </c>
    </row>
    <row r="61" spans="6:7">
      <c r="F61" s="22" t="s">
        <v>1851</v>
      </c>
      <c r="G61" s="22" t="s">
        <v>1844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2139</v>
      </c>
      <c r="G98" s="22" t="s">
        <v>2139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1857</v>
      </c>
      <c r="G104" s="22" t="s">
        <v>1854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1856</v>
      </c>
      <c r="G112" s="22" t="s">
        <v>1855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1858</v>
      </c>
      <c r="G126" s="22" t="s">
        <v>1853</v>
      </c>
    </row>
    <row r="127" spans="6:7">
      <c r="F127" s="22" t="s">
        <v>1865</v>
      </c>
      <c r="G127" s="22" t="s">
        <v>1853</v>
      </c>
    </row>
    <row r="128" spans="6:7">
      <c r="F128" s="22" t="s">
        <v>1864</v>
      </c>
      <c r="G128" s="22" t="s">
        <v>1854</v>
      </c>
    </row>
    <row r="129" spans="6:7">
      <c r="F129" s="22" t="s">
        <v>1866</v>
      </c>
      <c r="G129" s="22" t="s">
        <v>1852</v>
      </c>
    </row>
    <row r="130" spans="6:7">
      <c r="F130" s="22" t="s">
        <v>1862</v>
      </c>
      <c r="G130" s="22" t="s">
        <v>1761</v>
      </c>
    </row>
    <row r="131" spans="6:7">
      <c r="F131" s="22" t="s">
        <v>1863</v>
      </c>
      <c r="G131" s="22" t="s">
        <v>1761</v>
      </c>
    </row>
    <row r="132" spans="6:7">
      <c r="F132" s="22" t="s">
        <v>1860</v>
      </c>
      <c r="G132" s="22" t="s">
        <v>1742</v>
      </c>
    </row>
    <row r="133" spans="6:7">
      <c r="F133" s="22" t="s">
        <v>1861</v>
      </c>
      <c r="G133" s="22" t="s">
        <v>1859</v>
      </c>
    </row>
    <row r="134" spans="6:7">
      <c r="F134" s="22" t="s">
        <v>1868</v>
      </c>
      <c r="G134" s="22" t="s">
        <v>1853</v>
      </c>
    </row>
    <row r="135" spans="6:7">
      <c r="F135" s="22" t="s">
        <v>1869</v>
      </c>
      <c r="G135" s="22" t="s">
        <v>1853</v>
      </c>
    </row>
    <row r="136" spans="6:7">
      <c r="F136" s="22" t="s">
        <v>1867</v>
      </c>
      <c r="G136" s="22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IF(R2="","",IF(LEN(R2)&gt;9,SUMIFS(Options!$AZ$3:$AZ$25,Options!$B$3:$B$25,'Check result'!R2),SUMIFS('Master P&amp;L'!$AE$11:$AE$101,'Master P&amp;L'!$B$11:$B$101,'Check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IF(R3="","",IF(LEN(R3)&gt;9,SUMIFS(Options!$AZ$3:$AZ$25,Options!$B$3:$B$25,'Check result'!R3),SUMIFS('Master P&amp;L'!$AE$11:$AE$101,'Master P&amp;L'!$B$11:$B$101,'Check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IF(R4="","",IF(LEN(R4)&gt;9,SUMIFS(Options!$AZ$3:$AZ$25,Options!$B$3:$B$25,'Check result'!R4),SUMIFS('Master P&amp;L'!$AE$11:$AE$101,'Master P&amp;L'!$B$11:$B$101,'Check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IF(R5="","",IF(LEN(R5)&gt;9,SUMIFS(Options!$AZ$3:$AZ$25,Options!$B$3:$B$25,'Check result'!R5),SUMIFS('Master P&amp;L'!$AE$11:$AE$101,'Master P&amp;L'!$B$11:$B$101,'Check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IF(R6="","",IF(LEN(R6)&gt;9,SUMIFS(Options!$AZ$3:$AZ$25,Options!$B$3:$B$25,'Check result'!R6),SUMIFS('Master P&amp;L'!$AE$11:$AE$101,'Master P&amp;L'!$B$11:$B$101,'Check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IF(R7="","",IF(LEN(R7)&gt;9,SUMIFS(Options!$AZ$3:$AZ$25,Options!$B$3:$B$25,'Check result'!R7),SUMIFS('Master P&amp;L'!$AE$11:$AE$101,'Master P&amp;L'!$B$11:$B$101,'Check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IF(R8="","",IF(LEN(R8)&gt;9,SUMIFS(Options!$AZ$3:$AZ$25,Options!$B$3:$B$25,'Check result'!R8),SUMIFS('Master P&amp;L'!$AE$11:$AE$101,'Master P&amp;L'!$B$11:$B$101,'Check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IF(R9="","",IF(LEN(R9)&gt;9,SUMIFS(Options!$AZ$3:$AZ$25,Options!$B$3:$B$25,'Check result'!R9),SUMIFS('Master P&amp;L'!$AE$11:$AE$101,'Master P&amp;L'!$B$11:$B$101,'Check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IF(R10="","",IF(LEN(R10)&gt;9,SUMIFS(Options!$AZ$3:$AZ$25,Options!$B$3:$B$25,'Check result'!R10),SUMIFS('Master P&amp;L'!$AE$11:$AE$101,'Master P&amp;L'!$B$11:$B$101,'Check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IF(R11="","",IF(LEN(R11)&gt;9,SUMIFS(Options!$AZ$3:$AZ$25,Options!$B$3:$B$25,'Check result'!R11),SUMIFS('Master P&amp;L'!$AE$11:$AE$101,'Master P&amp;L'!$B$11:$B$101,'Check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IF(R12="","",IF(LEN(R12)&gt;9,SUMIFS(Options!$AZ$3:$AZ$25,Options!$B$3:$B$25,'Check result'!R12),SUMIFS('Master P&amp;L'!$AE$11:$AE$101,'Master P&amp;L'!$B$11:$B$101,'Check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IF(R13="","",IF(LEN(R13)&gt;9,SUMIFS(Options!$AZ$3:$AZ$25,Options!$B$3:$B$25,'Check result'!R13),SUMIFS('Master P&amp;L'!$AE$11:$AE$101,'Master P&amp;L'!$B$11:$B$101,'Check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IF(R14="","",IF(LEN(R14)&gt;9,SUMIFS(Options!$AZ$3:$AZ$25,Options!$B$3:$B$25,'Check result'!R14),SUMIFS('Master P&amp;L'!$AE$11:$AE$101,'Master P&amp;L'!$B$11:$B$101,'Check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IF(R15="","",IF(LEN(R15)&gt;9,SUMIFS(Options!$AZ$3:$AZ$25,Options!$B$3:$B$25,'Check result'!R15),SUMIFS('Master P&amp;L'!$AE$11:$AE$101,'Master P&amp;L'!$B$11:$B$101,'Check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IF(R16="","",IF(LEN(R16)&gt;9,SUMIFS(Options!$AZ$3:$AZ$25,Options!$B$3:$B$25,'Check result'!R16),SUMIFS('Master P&amp;L'!$AE$11:$AE$101,'Master P&amp;L'!$B$11:$B$101,'Check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IF(R17="","",IF(LEN(R17)&gt;9,SUMIFS(Options!$AZ$3:$AZ$25,Options!$B$3:$B$25,'Check result'!R17),SUMIFS('Master P&amp;L'!$AE$11:$AE$101,'Master P&amp;L'!$B$11:$B$101,'Check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IF(R18="","",IF(LEN(R18)&gt;9,SUMIFS(Options!$AZ$3:$AZ$25,Options!$B$3:$B$25,'Check result'!R18),SUMIFS('Master P&amp;L'!$AE$11:$AE$101,'Master P&amp;L'!$B$11:$B$101,'Check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IF(R19="","",IF(LEN(R19)&gt;9,SUMIFS(Options!$AZ$3:$AZ$25,Options!$B$3:$B$25,'Check result'!R19),SUMIFS('Master P&amp;L'!$AE$11:$AE$101,'Master P&amp;L'!$B$11:$B$101,'Check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IF(R20="","",IF(LEN(R20)&gt;9,SUMIFS(Options!$AZ$3:$AZ$25,Options!$B$3:$B$25,'Check result'!R20),SUMIFS('Master P&amp;L'!$AE$11:$AE$101,'Master P&amp;L'!$B$11:$B$101,'Check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IF(R21="","",IF(LEN(R21)&gt;9,SUMIFS(Options!$AZ$3:$AZ$25,Options!$B$3:$B$25,'Check result'!R21),SUMIFS('Master P&amp;L'!$AE$11:$AE$101,'Master P&amp;L'!$B$11:$B$101,'Check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IF(R22="","",IF(LEN(R22)&gt;9,SUMIFS(Options!$AZ$3:$AZ$25,Options!$B$3:$B$25,'Check result'!R22),SUMIFS('Master P&amp;L'!$AE$11:$AE$101,'Master P&amp;L'!$B$11:$B$101,'Check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IF(R23="","",IF(LEN(R23)&gt;9,SUMIFS(Options!$AZ$3:$AZ$25,Options!$B$3:$B$25,'Check result'!R23),SUMIFS('Master P&amp;L'!$AE$11:$AE$101,'Master P&amp;L'!$B$11:$B$101,'Check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IF(R24="","",IF(LEN(R24)&gt;9,SUMIFS(Options!$AZ$3:$AZ$25,Options!$B$3:$B$25,'Check result'!R24),SUMIFS('Master P&amp;L'!$AE$11:$AE$101,'Master P&amp;L'!$B$11:$B$101,'Check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IF(R25="","",IF(LEN(R25)&gt;9,SUMIFS(Options!$AZ$3:$AZ$25,Options!$B$3:$B$25,'Check result'!R25),SUMIFS('Master P&amp;L'!$AE$11:$AE$101,'Master P&amp;L'!$B$11:$B$101,'Check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IF(R26="","",IF(LEN(R26)&gt;9,SUMIFS(Options!$AZ$3:$AZ$25,Options!$B$3:$B$25,'Check result'!R26),SUMIFS('Master P&amp;L'!$AE$11:$AE$101,'Master P&amp;L'!$B$11:$B$101,'Check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IF(R27="","",IF(LEN(R27)&gt;9,SUMIFS(Options!$AZ$3:$AZ$25,Options!$B$3:$B$25,'Check result'!R27),SUMIFS('Master P&amp;L'!$AE$11:$AE$101,'Master P&amp;L'!$B$11:$B$101,'Check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IF(R28="","",IF(LEN(R28)&gt;9,SUMIFS(Options!$AZ$3:$AZ$25,Options!$B$3:$B$25,'Check result'!R28),SUMIFS('Master P&amp;L'!$AE$11:$AE$101,'Master P&amp;L'!$B$11:$B$101,'Check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IF(R29="","",IF(LEN(R29)&gt;9,SUMIFS(Options!$AZ$3:$AZ$25,Options!$B$3:$B$25,'Check result'!R29),SUMIFS('Master P&amp;L'!$AE$11:$AE$101,'Master P&amp;L'!$B$11:$B$101,'Check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IF(R30="","",IF(LEN(R30)&gt;9,SUMIFS(Options!$AZ$3:$AZ$25,Options!$B$3:$B$25,'Check result'!R30),SUMIFS('Master P&amp;L'!$AE$11:$AE$101,'Master P&amp;L'!$B$11:$B$101,'Check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IF(R31="","",IF(LEN(R31)&gt;9,SUMIFS(Options!$AZ$3:$AZ$25,Options!$B$3:$B$25,'Check result'!R31),SUMIFS('Master P&amp;L'!$AE$11:$AE$101,'Master P&amp;L'!$B$11:$B$101,'Check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IF(R32="","",IF(LEN(R32)&gt;9,SUMIFS(Options!$AZ$3:$AZ$25,Options!$B$3:$B$25,'Check result'!R32),SUMIFS('Master P&amp;L'!$AE$11:$AE$101,'Master P&amp;L'!$B$11:$B$101,'Check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IF(R33="","",IF(LEN(R33)&gt;9,SUMIFS(Options!$AZ$3:$AZ$25,Options!$B$3:$B$25,'Check result'!R33),SUMIFS('Master P&amp;L'!$AE$11:$AE$101,'Master P&amp;L'!$B$11:$B$101,'Check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IF(R34="","",IF(LEN(R34)&gt;9,SUMIFS(Options!$AZ$3:$AZ$25,Options!$B$3:$B$25,'Check result'!R34),SUMIFS('Master P&amp;L'!$AE$11:$AE$101,'Master P&amp;L'!$B$11:$B$101,'Check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IF(R35="","",IF(LEN(R35)&gt;9,SUMIFS(Options!$AZ$3:$AZ$25,Options!$B$3:$B$25,'Check result'!R35),SUMIFS('Master P&amp;L'!$AE$11:$AE$101,'Master P&amp;L'!$B$11:$B$101,'Check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IF(R36="","",IF(LEN(R36)&gt;9,SUMIFS(Options!$AZ$3:$AZ$25,Options!$B$3:$B$25,'Check result'!R36),SUMIFS('Master P&amp;L'!$AE$11:$AE$101,'Master P&amp;L'!$B$11:$B$101,'Check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IF(R37="","",IF(LEN(R37)&gt;9,SUMIFS(Options!$AZ$3:$AZ$25,Options!$B$3:$B$25,'Check result'!R37),SUMIFS('Master P&amp;L'!$AE$11:$AE$101,'Master P&amp;L'!$B$11:$B$101,'Check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IF(R38="","",IF(LEN(R38)&gt;9,SUMIFS(Options!$AZ$3:$AZ$25,Options!$B$3:$B$25,'Check result'!R38),SUMIFS('Master P&amp;L'!$AE$11:$AE$101,'Master P&amp;L'!$B$11:$B$101,'Check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IF(R39="","",IF(LEN(R39)&gt;9,SUMIFS(Options!$AZ$3:$AZ$25,Options!$B$3:$B$25,'Check result'!R39),SUMIFS('Master P&amp;L'!$AE$11:$AE$101,'Master P&amp;L'!$B$11:$B$101,'Check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IF(R40="","",IF(LEN(R40)&gt;9,SUMIFS(Options!$AZ$3:$AZ$25,Options!$B$3:$B$25,'Check result'!R40),SUMIFS('Master P&amp;L'!$AE$11:$AE$101,'Master P&amp;L'!$B$11:$B$101,'Check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IF(R41="","",IF(LEN(R41)&gt;9,SUMIFS(Options!$AZ$3:$AZ$25,Options!$B$3:$B$25,'Check result'!R41),SUMIFS('Master P&amp;L'!$AE$11:$AE$101,'Master P&amp;L'!$B$11:$B$101,'Check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IF(R42="","",IF(LEN(R42)&gt;9,SUMIFS(Options!$AZ$3:$AZ$25,Options!$B$3:$B$25,'Check result'!R42),SUMIFS('Master P&amp;L'!$AE$11:$AE$101,'Master P&amp;L'!$B$11:$B$101,'Check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IF(R43="","",IF(LEN(R43)&gt;9,SUMIFS(Options!$AZ$3:$AZ$25,Options!$B$3:$B$25,'Check result'!R43),SUMIFS('Master P&amp;L'!$AE$11:$AE$101,'Master P&amp;L'!$B$11:$B$101,'Check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IF(R44="","",IF(LEN(R44)&gt;9,SUMIFS(Options!$AZ$3:$AZ$25,Options!$B$3:$B$25,'Check result'!R44),SUMIFS('Master P&amp;L'!$AE$11:$AE$101,'Master P&amp;L'!$B$11:$B$101,'Check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IF(R45="","",IF(LEN(R45)&gt;9,SUMIFS(Options!$AZ$3:$AZ$25,Options!$B$3:$B$25,'Check result'!R45),SUMIFS('Master P&amp;L'!$AE$11:$AE$101,'Master P&amp;L'!$B$11:$B$101,'Check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IF(R46="","",IF(LEN(R46)&gt;9,SUMIFS(Options!$AZ$3:$AZ$25,Options!$B$3:$B$25,'Check result'!R46),SUMIFS('Master P&amp;L'!$AE$11:$AE$101,'Master P&amp;L'!$B$11:$B$101,'Check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IF(R47="","",IF(LEN(R47)&gt;9,SUMIFS(Options!$AZ$3:$AZ$25,Options!$B$3:$B$25,'Check result'!R47),SUMIFS('Master P&amp;L'!$AE$11:$AE$101,'Master P&amp;L'!$B$11:$B$101,'Check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IF(R48="","",IF(LEN(R48)&gt;9,SUMIFS(Options!$AZ$3:$AZ$25,Options!$B$3:$B$25,'Check result'!R48),SUMIFS('Master P&amp;L'!$AE$11:$AE$101,'Master P&amp;L'!$B$11:$B$101,'Check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IF(R49="","",IF(LEN(R49)&gt;9,SUMIFS(Options!$AZ$3:$AZ$25,Options!$B$3:$B$25,'Check result'!R49),SUMIFS('Master P&amp;L'!$AE$11:$AE$101,'Master P&amp;L'!$B$11:$B$101,'Check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IF(R50="","",IF(LEN(R50)&gt;9,SUMIFS(Options!$AZ$3:$AZ$25,Options!$B$3:$B$25,'Check result'!R50),SUMIFS('Master P&amp;L'!$AE$11:$AE$101,'Master P&amp;L'!$B$11:$B$101,'Check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IF(R51="","",IF(LEN(R51)&gt;9,SUMIFS(Options!$AZ$3:$AZ$25,Options!$B$3:$B$25,'Check result'!R51),SUMIFS('Master P&amp;L'!$AE$11:$AE$101,'Master P&amp;L'!$B$11:$B$101,'Check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IF(R52="","",IF(LEN(R52)&gt;9,SUMIFS(Options!$AZ$3:$AZ$25,Options!$B$3:$B$25,'Check result'!R52),SUMIFS('Master P&amp;L'!$AE$11:$AE$101,'Master P&amp;L'!$B$11:$B$101,'Check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IF(R53="","",IF(LEN(R53)&gt;9,SUMIFS(Options!$AZ$3:$AZ$25,Options!$B$3:$B$25,'Check result'!R53),SUMIFS('Master P&amp;L'!$AE$11:$AE$101,'Master P&amp;L'!$B$11:$B$101,'Check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IF(R54="","",IF(LEN(R54)&gt;9,SUMIFS(Options!$AZ$3:$AZ$25,Options!$B$3:$B$25,'Check result'!R54),SUMIFS('Master P&amp;L'!$AE$11:$AE$101,'Master P&amp;L'!$B$11:$B$101,'Check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IF(R55="","",IF(LEN(R55)&gt;9,SUMIFS(Options!$AZ$3:$AZ$25,Options!$B$3:$B$25,'Check result'!R55),SUMIFS('Master P&amp;L'!$AE$11:$AE$101,'Master P&amp;L'!$B$11:$B$101,'Check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IF(R56="","",IF(LEN(R56)&gt;9,SUMIFS(Options!$AZ$3:$AZ$25,Options!$B$3:$B$25,'Check result'!R56),SUMIFS('Master P&amp;L'!$AE$11:$AE$101,'Master P&amp;L'!$B$11:$B$101,'Check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IF(R57="","",IF(LEN(R57)&gt;9,SUMIFS(Options!$AZ$3:$AZ$25,Options!$B$3:$B$25,'Check result'!R57),SUMIFS('Master P&amp;L'!$AE$11:$AE$101,'Master P&amp;L'!$B$11:$B$101,'Check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IF(R58="","",IF(LEN(R58)&gt;9,SUMIFS(Options!$AZ$3:$AZ$25,Options!$B$3:$B$25,'Check result'!R58),SUMIFS('Master P&amp;L'!$AE$11:$AE$101,'Master P&amp;L'!$B$11:$B$101,'Check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IF(R59="","",IF(LEN(R59)&gt;9,SUMIFS(Options!$AZ$3:$AZ$25,Options!$B$3:$B$25,'Check result'!R59),SUMIFS('Master P&amp;L'!$AE$11:$AE$101,'Master P&amp;L'!$B$11:$B$101,'Check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IF(R60="","",IF(LEN(R60)&gt;9,SUMIFS(Options!$AZ$3:$AZ$25,Options!$B$3:$B$25,'Check result'!R60),SUMIFS('Master P&amp;L'!$AE$11:$AE$101,'Master P&amp;L'!$B$11:$B$101,'Check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IF(R61="","",IF(LEN(R61)&gt;9,SUMIFS(Options!$AZ$3:$AZ$25,Options!$B$3:$B$25,'Check result'!R61),SUMIFS('Master P&amp;L'!$AE$11:$AE$101,'Master P&amp;L'!$B$11:$B$101,'Check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IF(R62="","",IF(LEN(R62)&gt;9,SUMIFS(Options!$AZ$3:$AZ$25,Options!$B$3:$B$25,'Check result'!R62),SUMIFS('Master P&amp;L'!$AE$11:$AE$101,'Master P&amp;L'!$B$11:$B$101,'Check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IF(R63="","",IF(LEN(R63)&gt;9,SUMIFS(Options!$AZ$3:$AZ$25,Options!$B$3:$B$25,'Check result'!R63),SUMIFS('Master P&amp;L'!$AE$11:$AE$101,'Master P&amp;L'!$B$11:$B$101,'Check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IF(R64="","",IF(LEN(R64)&gt;9,SUMIFS(Options!$AZ$3:$AZ$25,Options!$B$3:$B$25,'Check result'!R64),SUMIFS('Master P&amp;L'!$AE$11:$AE$101,'Master P&amp;L'!$B$11:$B$101,'Check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IF(R65="","",IF(LEN(R65)&gt;9,SUMIFS(Options!$AZ$3:$AZ$25,Options!$B$3:$B$25,'Check result'!R65),SUMIFS('Master P&amp;L'!$AE$11:$AE$101,'Master P&amp;L'!$B$11:$B$101,'Check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IF(R66="","",IF(LEN(R66)&gt;9,SUMIFS(Options!$AZ$3:$AZ$25,Options!$B$3:$B$25,'Check result'!R66),SUMIFS('Master P&amp;L'!$AE$11:$AE$101,'Master P&amp;L'!$B$11:$B$101,'Check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IF(R67="","",IF(LEN(R67)&gt;9,SUMIFS(Options!$AZ$3:$AZ$25,Options!$B$3:$B$25,'Check result'!R67),SUMIFS('Master P&amp;L'!$AE$11:$AE$101,'Master P&amp;L'!$B$11:$B$101,'Check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IF(R68="","",IF(LEN(R68)&gt;9,SUMIFS(Options!$AZ$3:$AZ$25,Options!$B$3:$B$25,'Check result'!R68),SUMIFS('Master P&amp;L'!$AE$11:$AE$101,'Master P&amp;L'!$B$11:$B$101,'Check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IF(R69="","",IF(LEN(R69)&gt;9,SUMIFS(Options!$AZ$3:$AZ$25,Options!$B$3:$B$25,'Check result'!R69),SUMIFS('Master P&amp;L'!$AE$11:$AE$101,'Master P&amp;L'!$B$11:$B$101,'Check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IF(R70="","",IF(LEN(R70)&gt;9,SUMIFS(Options!$AZ$3:$AZ$25,Options!$B$3:$B$25,'Check result'!R70),SUMIFS('Master P&amp;L'!$AE$11:$AE$101,'Master P&amp;L'!$B$11:$B$101,'Check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IF(R71="","",IF(LEN(R71)&gt;9,SUMIFS(Options!$AZ$3:$AZ$25,Options!$B$3:$B$25,'Check result'!R71),SUMIFS('Master P&amp;L'!$AE$11:$AE$101,'Master P&amp;L'!$B$11:$B$101,'Check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IF(R72="","",IF(LEN(R72)&gt;9,SUMIFS(Options!$AZ$3:$AZ$25,Options!$B$3:$B$25,'Check result'!R72),SUMIFS('Master P&amp;L'!$AE$11:$AE$101,'Master P&amp;L'!$B$11:$B$101,'Check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IF(R73="","",IF(LEN(R73)&gt;9,SUMIFS(Options!$AZ$3:$AZ$25,Options!$B$3:$B$25,'Check result'!R73),SUMIFS('Master P&amp;L'!$AE$11:$AE$101,'Master P&amp;L'!$B$11:$B$101,'Check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IF(R74="","",IF(LEN(R74)&gt;9,SUMIFS(Options!$AZ$3:$AZ$25,Options!$B$3:$B$25,'Check result'!R74),SUMIFS('Master P&amp;L'!$AE$11:$AE$101,'Master P&amp;L'!$B$11:$B$101,'Check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IF(R75="","",IF(LEN(R75)&gt;9,SUMIFS(Options!$AZ$3:$AZ$25,Options!$B$3:$B$25,'Check result'!R75),SUMIFS('Master P&amp;L'!$AE$11:$AE$101,'Master P&amp;L'!$B$11:$B$101,'Check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IF(R76="","",IF(LEN(R76)&gt;9,SUMIFS(Options!$AZ$3:$AZ$25,Options!$B$3:$B$25,'Check result'!R76),SUMIFS('Master P&amp;L'!$AE$11:$AE$101,'Master P&amp;L'!$B$11:$B$101,'Check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IF(R77="","",IF(LEN(R77)&gt;9,SUMIFS(Options!$AZ$3:$AZ$25,Options!$B$3:$B$25,'Check result'!R77),SUMIFS('Master P&amp;L'!$AE$11:$AE$101,'Master P&amp;L'!$B$11:$B$101,'Check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IF(R78="","",IF(LEN(R78)&gt;9,SUMIFS(Options!$AZ$3:$AZ$25,Options!$B$3:$B$25,'Check result'!R78),SUMIFS('Master P&amp;L'!$AE$11:$AE$101,'Master P&amp;L'!$B$11:$B$101,'Check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IF(R79="","",IF(LEN(R79)&gt;9,SUMIFS(Options!$AZ$3:$AZ$25,Options!$B$3:$B$25,'Check result'!R79),SUMIFS('Master P&amp;L'!$AE$11:$AE$101,'Master P&amp;L'!$B$11:$B$101,'Check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IF(R80="","",IF(LEN(R80)&gt;9,SUMIFS(Options!$AZ$3:$AZ$25,Options!$B$3:$B$25,'Check result'!R80),SUMIFS('Master P&amp;L'!$AE$11:$AE$101,'Master P&amp;L'!$B$11:$B$101,'Check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IF(R81="","",IF(LEN(R81)&gt;9,SUMIFS(Options!$AZ$3:$AZ$25,Options!$B$3:$B$25,'Check result'!R81),SUMIFS('Master P&amp;L'!$AE$11:$AE$101,'Master P&amp;L'!$B$11:$B$101,'Check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IF(R82="","",IF(LEN(R82)&gt;9,SUMIFS(Options!$AZ$3:$AZ$25,Options!$B$3:$B$25,'Check result'!R82),SUMIFS('Master P&amp;L'!$AE$11:$AE$101,'Master P&amp;L'!$B$11:$B$101,'Check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IF(R83="","",IF(LEN(R83)&gt;9,SUMIFS(Options!$AZ$3:$AZ$25,Options!$B$3:$B$25,'Check result'!R83),SUMIFS('Master P&amp;L'!$AE$11:$AE$101,'Master P&amp;L'!$B$11:$B$101,'Check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IF(R84="","",IF(LEN(R84)&gt;9,SUMIFS(Options!$AZ$3:$AZ$25,Options!$B$3:$B$25,'Check result'!R84),SUMIFS('Master P&amp;L'!$AE$11:$AE$101,'Master P&amp;L'!$B$11:$B$101,'Check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IF(R85="","",IF(LEN(R85)&gt;9,SUMIFS(Options!$AZ$3:$AZ$25,Options!$B$3:$B$25,'Check result'!R85),SUMIFS('Master P&amp;L'!$AE$11:$AE$101,'Master P&amp;L'!$B$11:$B$101,'Check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IF(R86="","",IF(LEN(R86)&gt;9,SUMIFS(Options!$AZ$3:$AZ$25,Options!$B$3:$B$25,'Check result'!R86),SUMIFS('Master P&amp;L'!$AE$11:$AE$101,'Master P&amp;L'!$B$11:$B$101,'Check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IF(R87="","",IF(LEN(R87)&gt;9,SUMIFS(Options!$AZ$3:$AZ$25,Options!$B$3:$B$25,'Check result'!R87),SUMIFS('Master P&amp;L'!$AE$11:$AE$101,'Master P&amp;L'!$B$11:$B$101,'Check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IF(R88="","",IF(LEN(R88)&gt;9,SUMIFS(Options!$AZ$3:$AZ$25,Options!$B$3:$B$25,'Check result'!R88),SUMIFS('Master P&amp;L'!$AE$11:$AE$101,'Master P&amp;L'!$B$11:$B$101,'Check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IF(R89="","",IF(LEN(R89)&gt;9,SUMIFS(Options!$AZ$3:$AZ$25,Options!$B$3:$B$25,'Check result'!R89),SUMIFS('Master P&amp;L'!$AE$11:$AE$101,'Master P&amp;L'!$B$11:$B$101,'Check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IF(R90="","",IF(LEN(R90)&gt;9,SUMIFS(Options!$AZ$3:$AZ$25,Options!$B$3:$B$25,'Check result'!R90),SUMIFS('Master P&amp;L'!$AE$11:$AE$101,'Master P&amp;L'!$B$11:$B$101,'Check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IF(R91="","",IF(LEN(R91)&gt;9,SUMIFS(Options!$AZ$3:$AZ$25,Options!$B$3:$B$25,'Check result'!R91),SUMIFS('Master P&amp;L'!$AE$11:$AE$101,'Master P&amp;L'!$B$11:$B$101,'Check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IF(R92="","",IF(LEN(R92)&gt;9,SUMIFS(Options!$AZ$3:$AZ$25,Options!$B$3:$B$25,'Check result'!R92),SUMIFS('Master P&amp;L'!$AE$11:$AE$101,'Master P&amp;L'!$B$11:$B$101,'Check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IF(R93="","",IF(LEN(R93)&gt;9,SUMIFS(Options!$AZ$3:$AZ$25,Options!$B$3:$B$25,'Check result'!R93),SUMIFS('Master P&amp;L'!$AE$11:$AE$101,'Master P&amp;L'!$B$11:$B$101,'Check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IF(R94="","",IF(LEN(R94)&gt;9,SUMIFS(Options!$AZ$3:$AZ$25,Options!$B$3:$B$25,'Check result'!R94),SUMIFS('Master P&amp;L'!$AE$11:$AE$101,'Master P&amp;L'!$B$11:$B$101,'Check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IF(R95="","",IF(LEN(R95)&gt;9,SUMIFS(Options!$AZ$3:$AZ$25,Options!$B$3:$B$25,'Check result'!R95),SUMIFS('Master P&amp;L'!$AE$11:$AE$101,'Master P&amp;L'!$B$11:$B$101,'Check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IF(R96="","",IF(LEN(R96)&gt;9,SUMIFS(Options!$AZ$3:$AZ$25,Options!$B$3:$B$25,'Check result'!R96),SUMIFS('Master P&amp;L'!$AE$11:$AE$101,'Master P&amp;L'!$B$11:$B$101,'Check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IF(R97="","",IF(LEN(R97)&gt;9,SUMIFS(Options!$AZ$3:$AZ$25,Options!$B$3:$B$25,'Check result'!R97),SUMIFS('Master P&amp;L'!$AE$11:$AE$101,'Master P&amp;L'!$B$11:$B$101,'Check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IF(R98="","",IF(LEN(R98)&gt;9,SUMIFS(Options!$AZ$3:$AZ$25,Options!$B$3:$B$25,'Check result'!R98),SUMIFS('Master P&amp;L'!$AE$11:$AE$101,'Master P&amp;L'!$B$11:$B$101,'Check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IF(R99="","",IF(LEN(R99)&gt;9,SUMIFS(Options!$AZ$3:$AZ$25,Options!$B$3:$B$25,'Check result'!R99),SUMIFS('Master P&amp;L'!$AE$11:$AE$101,'Master P&amp;L'!$B$11:$B$101,'Check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IF(R100="","",IF(LEN(R100)&gt;9,SUMIFS(Options!$AZ$3:$AZ$25,Options!$B$3:$B$25,'Check result'!R100),SUMIFS('Master P&amp;L'!$AE$11:$AE$101,'Master P&amp;L'!$B$11:$B$101,'Check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IF(R101="","",IF(LEN(R101)&gt;9,SUMIFS(Options!$AZ$3:$AZ$25,Options!$B$3:$B$25,'Check result'!R101),SUMIFS('Master P&amp;L'!$AE$11:$AE$101,'Master P&amp;L'!$B$11:$B$101,'Check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IF(R102="","",IF(LEN(R102)&gt;9,SUMIFS(Options!$AZ$3:$AZ$25,Options!$B$3:$B$25,'Check result'!R102),SUMIFS('Master P&amp;L'!$AE$11:$AE$101,'Master P&amp;L'!$B$11:$B$101,'Check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IF(R103="","",IF(LEN(R103)&gt;9,SUMIFS(Options!$AZ$3:$AZ$25,Options!$B$3:$B$25,'Check result'!R103),SUMIFS('Master P&amp;L'!$AE$11:$AE$101,'Master P&amp;L'!$B$11:$B$101,'Check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IF(R104="","",IF(LEN(R104)&gt;9,SUMIFS(Options!$AZ$3:$AZ$25,Options!$B$3:$B$25,'Check result'!R104),SUMIFS('Master P&amp;L'!$AE$11:$AE$101,'Master P&amp;L'!$B$11:$B$101,'Check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IF(R105="","",IF(LEN(R105)&gt;9,SUMIFS(Options!$AZ$3:$AZ$25,Options!$B$3:$B$25,'Check result'!R105),SUMIFS('Master P&amp;L'!$AE$11:$AE$101,'Master P&amp;L'!$B$11:$B$101,'Check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IF(R106="","",IF(LEN(R106)&gt;9,SUMIFS(Options!$AZ$3:$AZ$25,Options!$B$3:$B$25,'Check result'!R106),SUMIFS('Master P&amp;L'!$AE$11:$AE$101,'Master P&amp;L'!$B$11:$B$101,'Check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IF(R107="","",IF(LEN(R107)&gt;9,SUMIFS(Options!$AZ$3:$AZ$25,Options!$B$3:$B$25,'Check result'!R107),SUMIFS('Master P&amp;L'!$AE$11:$AE$101,'Master P&amp;L'!$B$11:$B$101,'Check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IF(R108="","",IF(LEN(R108)&gt;9,SUMIFS(Options!$AZ$3:$AZ$25,Options!$B$3:$B$25,'Check result'!R108),SUMIFS('Master P&amp;L'!$AE$11:$AE$101,'Master P&amp;L'!$B$11:$B$101,'Check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IF(R109="","",IF(LEN(R109)&gt;9,SUMIFS(Options!$AZ$3:$AZ$25,Options!$B$3:$B$25,'Check result'!R109),SUMIFS('Master P&amp;L'!$AE$11:$AE$101,'Master P&amp;L'!$B$11:$B$101,'Check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IF(R110="","",IF(LEN(R110)&gt;9,SUMIFS(Options!$AZ$3:$AZ$25,Options!$B$3:$B$25,'Check result'!R110),SUMIFS('Master P&amp;L'!$AE$11:$AE$101,'Master P&amp;L'!$B$11:$B$101,'Check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IF(R111="","",IF(LEN(R111)&gt;9,SUMIFS(Options!$AZ$3:$AZ$25,Options!$B$3:$B$25,'Check result'!R111),SUMIFS('Master P&amp;L'!$AE$11:$AE$101,'Master P&amp;L'!$B$11:$B$101,'Check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IF(R112="","",IF(LEN(R112)&gt;9,SUMIFS(Options!$AZ$3:$AZ$25,Options!$B$3:$B$25,'Check result'!R112),SUMIFS('Master P&amp;L'!$AE$11:$AE$101,'Master P&amp;L'!$B$11:$B$101,'Check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IF(R113="","",IF(LEN(R113)&gt;9,SUMIFS(Options!$AZ$3:$AZ$25,Options!$B$3:$B$25,'Check result'!R113),SUMIFS('Master P&amp;L'!$AE$11:$AE$101,'Master P&amp;L'!$B$11:$B$101,'Check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IF(R114="","",IF(LEN(R114)&gt;9,SUMIFS(Options!$AZ$3:$AZ$25,Options!$B$3:$B$25,'Check result'!R114),SUMIFS('Master P&amp;L'!$AE$11:$AE$101,'Master P&amp;L'!$B$11:$B$101,'Check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IF(R115="","",IF(LEN(R115)&gt;9,SUMIFS(Options!$AZ$3:$AZ$25,Options!$B$3:$B$25,'Check result'!R115),SUMIFS('Master P&amp;L'!$AE$11:$AE$101,'Master P&amp;L'!$B$11:$B$101,'Check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IF(R116="","",IF(LEN(R116)&gt;9,SUMIFS(Options!$AZ$3:$AZ$25,Options!$B$3:$B$25,'Check result'!R116),SUMIFS('Master P&amp;L'!$AE$11:$AE$101,'Master P&amp;L'!$B$11:$B$101,'Check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IF(R117="","",IF(LEN(R117)&gt;9,SUMIFS(Options!$AZ$3:$AZ$25,Options!$B$3:$B$25,'Check result'!R117),SUMIFS('Master P&amp;L'!$AE$11:$AE$101,'Master P&amp;L'!$B$11:$B$101,'Check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IF(R118="","",IF(LEN(R118)&gt;9,SUMIFS(Options!$AZ$3:$AZ$25,Options!$B$3:$B$25,'Check result'!R118),SUMIFS('Master P&amp;L'!$AE$11:$AE$101,'Master P&amp;L'!$B$11:$B$101,'Check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IF(R119="","",IF(LEN(R119)&gt;9,SUMIFS(Options!$AZ$3:$AZ$25,Options!$B$3:$B$25,'Check result'!R119),SUMIFS('Master P&amp;L'!$AE$11:$AE$101,'Master P&amp;L'!$B$11:$B$101,'Check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IF(R120="","",IF(LEN(R120)&gt;9,SUMIFS(Options!$AZ$3:$AZ$25,Options!$B$3:$B$25,'Check result'!R120),SUMIFS('Master P&amp;L'!$AE$11:$AE$101,'Master P&amp;L'!$B$11:$B$101,'Check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IF(R121="","",IF(LEN(R121)&gt;9,SUMIFS(Options!$AZ$3:$AZ$25,Options!$B$3:$B$25,'Check result'!R121),SUMIFS('Master P&amp;L'!$AE$11:$AE$101,'Master P&amp;L'!$B$11:$B$101,'Check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IF(R122="","",IF(LEN(R122)&gt;9,SUMIFS(Options!$AZ$3:$AZ$25,Options!$B$3:$B$25,'Check result'!R122),SUMIFS('Master P&amp;L'!$AE$11:$AE$101,'Master P&amp;L'!$B$11:$B$101,'Check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IF(R123="","",IF(LEN(R123)&gt;9,SUMIFS(Options!$AZ$3:$AZ$25,Options!$B$3:$B$25,'Check result'!R123),SUMIFS('Master P&amp;L'!$AE$11:$AE$101,'Master P&amp;L'!$B$11:$B$101,'Check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IF(R124="","",IF(LEN(R124)&gt;9,SUMIFS(Options!$AZ$3:$AZ$25,Options!$B$3:$B$25,'Check result'!R124),SUMIFS('Master P&amp;L'!$AE$11:$AE$101,'Master P&amp;L'!$B$11:$B$101,'Check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IF(R125="","",IF(LEN(R125)&gt;9,SUMIFS(Options!$AZ$3:$AZ$25,Options!$B$3:$B$25,'Check result'!R125),SUMIFS('Master P&amp;L'!$AE$11:$AE$101,'Master P&amp;L'!$B$11:$B$101,'Check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IF(R126="","",IF(LEN(R126)&gt;9,SUMIFS(Options!$AZ$3:$AZ$25,Options!$B$3:$B$25,'Check result'!R126),SUMIFS('Master P&amp;L'!$AE$11:$AE$101,'Master P&amp;L'!$B$11:$B$101,'Check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IF(R127="","",IF(LEN(R127)&gt;9,SUMIFS(Options!$AZ$3:$AZ$25,Options!$B$3:$B$25,'Check result'!R127),SUMIFS('Master P&amp;L'!$AE$11:$AE$101,'Master P&amp;L'!$B$11:$B$101,'Check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IF(R128="","",IF(LEN(R128)&gt;9,SUMIFS(Options!$AZ$3:$AZ$25,Options!$B$3:$B$25,'Check result'!R128),SUMIFS('Master P&amp;L'!$AE$11:$AE$101,'Master P&amp;L'!$B$11:$B$101,'Check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IF(R129="","",IF(LEN(R129)&gt;9,SUMIFS(Options!$AZ$3:$AZ$25,Options!$B$3:$B$25,'Check result'!R129),SUMIFS('Master P&amp;L'!$AE$11:$AE$101,'Master P&amp;L'!$B$11:$B$101,'Check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IF(R130="","",IF(LEN(R130)&gt;9,SUMIFS(Options!$AZ$3:$AZ$25,Options!$B$3:$B$25,'Check result'!R130),SUMIFS('Master P&amp;L'!$AE$11:$AE$101,'Master P&amp;L'!$B$11:$B$101,'Check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IF(R131="","",IF(LEN(R131)&gt;9,SUMIFS(Options!$AZ$3:$AZ$25,Options!$B$3:$B$25,'Check result'!R131),SUMIFS('Master P&amp;L'!$AE$11:$AE$101,'Master P&amp;L'!$B$11:$B$101,'Check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IF(R132="","",IF(LEN(R132)&gt;9,SUMIFS(Options!$AZ$3:$AZ$25,Options!$B$3:$B$25,'Check result'!R132),SUMIFS('Master P&amp;L'!$AE$11:$AE$101,'Master P&amp;L'!$B$11:$B$101,'Check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IF(R133="","",IF(LEN(R133)&gt;9,SUMIFS(Options!$AZ$3:$AZ$25,Options!$B$3:$B$25,'Check result'!R133),SUMIFS('Master P&amp;L'!$AE$11:$AE$101,'Master P&amp;L'!$B$11:$B$101,'Check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IF(R134="","",IF(LEN(R134)&gt;9,SUMIFS(Options!$AZ$3:$AZ$25,Options!$B$3:$B$25,'Check result'!R134),SUMIFS('Master P&amp;L'!$AE$11:$AE$101,'Master P&amp;L'!$B$11:$B$101,'Check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IF(R135="","",IF(LEN(R135)&gt;9,SUMIFS(Options!$AZ$3:$AZ$25,Options!$B$3:$B$25,'Check result'!R135),SUMIFS('Master P&amp;L'!$AE$11:$AE$101,'Master P&amp;L'!$B$11:$B$101,'Check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IF(R136="","",IF(LEN(R136)&gt;9,SUMIFS(Options!$AZ$3:$AZ$25,Options!$B$3:$B$25,'Check result'!R136),SUMIFS('Master P&amp;L'!$AE$11:$AE$101,'Master P&amp;L'!$B$11:$B$101,'Check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IF(R137="","",IF(LEN(R137)&gt;9,SUMIFS(Options!$AZ$3:$AZ$25,Options!$B$3:$B$25,'Check result'!R137),SUMIFS('Master P&amp;L'!$AE$11:$AE$101,'Master P&amp;L'!$B$11:$B$101,'Check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IF(R138="","",IF(LEN(R138)&gt;9,SUMIFS(Options!$AZ$3:$AZ$25,Options!$B$3:$B$25,'Check result'!R138),SUMIFS('Master P&amp;L'!$AE$11:$AE$101,'Master P&amp;L'!$B$11:$B$101,'Check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IF(R139="","",IF(LEN(R139)&gt;9,SUMIFS(Options!$AZ$3:$AZ$25,Options!$B$3:$B$25,'Check result'!R139),SUMIFS('Master P&amp;L'!$AE$11:$AE$101,'Master P&amp;L'!$B$11:$B$101,'Check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IF(R140="","",IF(LEN(R140)&gt;9,SUMIFS(Options!$AZ$3:$AZ$25,Options!$B$3:$B$25,'Check result'!R140),SUMIFS('Master P&amp;L'!$AE$11:$AE$101,'Master P&amp;L'!$B$11:$B$101,'Check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IF(R141="","",IF(LEN(R141)&gt;9,SUMIFS(Options!$AZ$3:$AZ$25,Options!$B$3:$B$25,'Check result'!R141),SUMIFS('Master P&amp;L'!$AE$11:$AE$101,'Master P&amp;L'!$B$11:$B$101,'Check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IF(R142="","",IF(LEN(R142)&gt;9,SUMIFS(Options!$AZ$3:$AZ$25,Options!$B$3:$B$25,'Check result'!R142),SUMIFS('Master P&amp;L'!$AE$11:$AE$101,'Master P&amp;L'!$B$11:$B$101,'Check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IF(R143="","",IF(LEN(R143)&gt;9,SUMIFS(Options!$AZ$3:$AZ$25,Options!$B$3:$B$25,'Check result'!R143),SUMIFS('Master P&amp;L'!$AE$11:$AE$101,'Master P&amp;L'!$B$11:$B$101,'Check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IF(R144="","",IF(LEN(R144)&gt;9,SUMIFS(Options!$AZ$3:$AZ$25,Options!$B$3:$B$25,'Check result'!R144),SUMIFS('Master P&amp;L'!$AE$11:$AE$101,'Master P&amp;L'!$B$11:$B$101,'Check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IF(R145="","",IF(LEN(R145)&gt;9,SUMIFS(Options!$AZ$3:$AZ$25,Options!$B$3:$B$25,'Check result'!R145),SUMIFS('Master P&amp;L'!$AE$11:$AE$101,'Master P&amp;L'!$B$11:$B$101,'Check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IF(R146="","",IF(LEN(R146)&gt;9,SUMIFS(Options!$AZ$3:$AZ$25,Options!$B$3:$B$25,'Check result'!R146),SUMIFS('Master P&amp;L'!$AE$11:$AE$101,'Master P&amp;L'!$B$11:$B$101,'Check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IF(R147="","",IF(LEN(R147)&gt;9,SUMIFS(Options!$AZ$3:$AZ$25,Options!$B$3:$B$25,'Check result'!R147),SUMIFS('Master P&amp;L'!$AE$11:$AE$101,'Master P&amp;L'!$B$11:$B$101,'Check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IF(R148="","",IF(LEN(R148)&gt;9,SUMIFS(Options!$AZ$3:$AZ$25,Options!$B$3:$B$25,'Check result'!R148),SUMIFS('Master P&amp;L'!$AE$11:$AE$101,'Master P&amp;L'!$B$11:$B$101,'Check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IF(R149="","",IF(LEN(R149)&gt;9,SUMIFS(Options!$AZ$3:$AZ$25,Options!$B$3:$B$25,'Check result'!R149),SUMIFS('Master P&amp;L'!$AE$11:$AE$101,'Master P&amp;L'!$B$11:$B$101,'Check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IF(R150="","",IF(LEN(R150)&gt;9,SUMIFS(Options!$AZ$3:$AZ$25,Options!$B$3:$B$25,'Check result'!R150),SUMIFS('Master P&amp;L'!$AE$11:$AE$101,'Master P&amp;L'!$B$11:$B$101,'Check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IF(R151="","",IF(LEN(R151)&gt;9,SUMIFS(Options!$AZ$3:$AZ$25,Options!$B$3:$B$25,'Check result'!R151),SUMIFS('Master P&amp;L'!$AE$11:$AE$101,'Master P&amp;L'!$B$11:$B$101,'Check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IF(R152="","",IF(LEN(R152)&gt;9,SUMIFS(Options!$AZ$3:$AZ$25,Options!$B$3:$B$25,'Check result'!R152),SUMIFS('Master P&amp;L'!$AE$11:$AE$101,'Master P&amp;L'!$B$11:$B$101,'Check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IF(R153="","",IF(LEN(R153)&gt;9,SUMIFS(Options!$AZ$3:$AZ$25,Options!$B$3:$B$25,'Check result'!R153),SUMIFS('Master P&amp;L'!$AE$11:$AE$101,'Master P&amp;L'!$B$11:$B$101,'Check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IF(R154="","",IF(LEN(R154)&gt;9,SUMIFS(Options!$AZ$3:$AZ$25,Options!$B$3:$B$25,'Check result'!R154),SUMIFS('Master P&amp;L'!$AE$11:$AE$101,'Master P&amp;L'!$B$11:$B$101,'Check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IF(R155="","",IF(LEN(R155)&gt;9,SUMIFS(Options!$AZ$3:$AZ$25,Options!$B$3:$B$25,'Check result'!R155),SUMIFS('Master P&amp;L'!$AE$11:$AE$101,'Master P&amp;L'!$B$11:$B$101,'Check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IF(R156="","",IF(LEN(R156)&gt;9,SUMIFS(Options!$AZ$3:$AZ$25,Options!$B$3:$B$25,'Check result'!R156),SUMIFS('Master P&amp;L'!$AE$11:$AE$101,'Master P&amp;L'!$B$11:$B$101,'Check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IF(R157="","",IF(LEN(R157)&gt;9,SUMIFS(Options!$AZ$3:$AZ$25,Options!$B$3:$B$25,'Check result'!R157),SUMIFS('Master P&amp;L'!$AE$11:$AE$101,'Master P&amp;L'!$B$11:$B$101,'Check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IF(R158="","",IF(LEN(R158)&gt;9,SUMIFS(Options!$AZ$3:$AZ$25,Options!$B$3:$B$25,'Check result'!R158),SUMIFS('Master P&amp;L'!$AE$11:$AE$101,'Master P&amp;L'!$B$11:$B$101,'Check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IF(R159="","",IF(LEN(R159)&gt;9,SUMIFS(Options!$AZ$3:$AZ$25,Options!$B$3:$B$25,'Check result'!R159),SUMIFS('Master P&amp;L'!$AE$11:$AE$101,'Master P&amp;L'!$B$11:$B$101,'Check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IF(R160="","",IF(LEN(R160)&gt;9,SUMIFS(Options!$AZ$3:$AZ$25,Options!$B$3:$B$25,'Check result'!R160),SUMIFS('Master P&amp;L'!$AE$11:$AE$101,'Master P&amp;L'!$B$11:$B$101,'Check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IF(R161="","",IF(LEN(R161)&gt;9,SUMIFS(Options!$AZ$3:$AZ$25,Options!$B$3:$B$25,'Check result'!R161),SUMIFS('Master P&amp;L'!$AE$11:$AE$101,'Master P&amp;L'!$B$11:$B$101,'Check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IF(R162="","",IF(LEN(R162)&gt;9,SUMIFS(Options!$AZ$3:$AZ$25,Options!$B$3:$B$25,'Check result'!R162),SUMIFS('Master P&amp;L'!$AE$11:$AE$101,'Master P&amp;L'!$B$11:$B$101,'Check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IF(R163="","",IF(LEN(R163)&gt;9,SUMIFS(Options!$AZ$3:$AZ$25,Options!$B$3:$B$25,'Check result'!R163),SUMIFS('Master P&amp;L'!$AE$11:$AE$101,'Master P&amp;L'!$B$11:$B$101,'Check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IF(R164="","",IF(LEN(R164)&gt;9,SUMIFS(Options!$AZ$3:$AZ$25,Options!$B$3:$B$25,'Check result'!R164),SUMIFS('Master P&amp;L'!$AE$11:$AE$101,'Master P&amp;L'!$B$11:$B$101,'Check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IF(R165="","",IF(LEN(R165)&gt;9,SUMIFS(Options!$AZ$3:$AZ$25,Options!$B$3:$B$25,'Check result'!R165),SUMIFS('Master P&amp;L'!$AE$11:$AE$101,'Master P&amp;L'!$B$11:$B$101,'Check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38"/>
  <sheetViews>
    <sheetView workbookViewId="0">
      <selection sqref="A1:Q138"/>
    </sheetView>
  </sheetViews>
  <sheetFormatPr defaultRowHeight="15"/>
  <sheetData>
    <row r="1" spans="1:24">
      <c r="A1" s="561" t="s">
        <v>339</v>
      </c>
      <c r="B1" s="562" t="s">
        <v>1913</v>
      </c>
      <c r="C1" s="563" t="s">
        <v>1914</v>
      </c>
      <c r="D1" s="564" t="s">
        <v>1915</v>
      </c>
      <c r="E1" s="565" t="s">
        <v>1916</v>
      </c>
      <c r="F1" s="565" t="s">
        <v>1917</v>
      </c>
      <c r="G1" s="565" t="s">
        <v>203</v>
      </c>
      <c r="H1" s="565" t="s">
        <v>218</v>
      </c>
      <c r="I1" s="565" t="s">
        <v>1918</v>
      </c>
      <c r="J1" s="565" t="s">
        <v>1919</v>
      </c>
      <c r="K1" s="566" t="s">
        <v>1920</v>
      </c>
      <c r="L1" s="567" t="s">
        <v>1921</v>
      </c>
      <c r="M1" s="568" t="s">
        <v>1922</v>
      </c>
      <c r="N1" s="564" t="s">
        <v>1923</v>
      </c>
      <c r="O1" s="558" t="s">
        <v>1924</v>
      </c>
      <c r="P1" s="569" t="s">
        <v>1</v>
      </c>
      <c r="Q1" s="586" t="s">
        <v>1925</v>
      </c>
    </row>
    <row r="2" spans="1:24">
      <c r="A2" s="555">
        <v>46050</v>
      </c>
      <c r="B2" s="570" t="s">
        <v>1896</v>
      </c>
      <c r="C2" s="571" t="s">
        <v>1929</v>
      </c>
      <c r="D2" s="556" t="s">
        <v>1930</v>
      </c>
      <c r="E2" s="557">
        <v>46101</v>
      </c>
      <c r="F2" s="556" t="s">
        <v>1931</v>
      </c>
      <c r="G2" s="556" t="s">
        <v>1932</v>
      </c>
      <c r="H2" s="556" t="s">
        <v>2149</v>
      </c>
      <c r="I2" s="556" t="s">
        <v>1927</v>
      </c>
      <c r="J2" s="572">
        <v>113.86</v>
      </c>
      <c r="K2" s="556">
        <v>9.86</v>
      </c>
      <c r="L2" s="573">
        <v>10.68</v>
      </c>
      <c r="M2" s="574">
        <v>10.68</v>
      </c>
      <c r="N2" s="572">
        <v>10.68</v>
      </c>
      <c r="O2" s="575">
        <v>10.68</v>
      </c>
      <c r="P2" s="560">
        <v>25.157892199999999</v>
      </c>
      <c r="Q2" s="587" t="s">
        <v>1928</v>
      </c>
      <c r="R2" s="414">
        <f>L2-L3</f>
        <v>8.02</v>
      </c>
      <c r="T2" s="450">
        <v>8.64</v>
      </c>
      <c r="U2" s="414">
        <f>T2-T3</f>
        <v>7.08</v>
      </c>
      <c r="W2" s="450">
        <v>11.6</v>
      </c>
      <c r="X2" s="414">
        <f>W2-W3</f>
        <v>8.8999999999999986</v>
      </c>
    </row>
    <row r="3" spans="1:24">
      <c r="A3" s="555">
        <v>46050</v>
      </c>
      <c r="B3" s="570" t="s">
        <v>1897</v>
      </c>
      <c r="C3" s="571" t="s">
        <v>1934</v>
      </c>
      <c r="D3" s="556" t="s">
        <v>1930</v>
      </c>
      <c r="E3" s="557">
        <v>46101</v>
      </c>
      <c r="F3" s="556" t="s">
        <v>1931</v>
      </c>
      <c r="G3" s="556" t="s">
        <v>1932</v>
      </c>
      <c r="H3" s="556" t="s">
        <v>2150</v>
      </c>
      <c r="I3" s="556" t="s">
        <v>1927</v>
      </c>
      <c r="J3" s="572">
        <v>113.86</v>
      </c>
      <c r="K3" s="556">
        <v>0</v>
      </c>
      <c r="L3" s="573">
        <v>2.66</v>
      </c>
      <c r="M3" s="574">
        <v>2.66</v>
      </c>
      <c r="N3" s="572">
        <v>2.66</v>
      </c>
      <c r="O3" s="575">
        <v>2.66</v>
      </c>
      <c r="P3" s="560">
        <v>27.897141210000001</v>
      </c>
      <c r="Q3" s="587" t="s">
        <v>1933</v>
      </c>
      <c r="T3" s="450">
        <v>1.56</v>
      </c>
      <c r="W3" s="450">
        <v>2.7</v>
      </c>
    </row>
    <row r="4" spans="1:24">
      <c r="A4" s="555">
        <v>46050</v>
      </c>
      <c r="B4" s="570" t="s">
        <v>1939</v>
      </c>
      <c r="C4" s="571" t="s">
        <v>1940</v>
      </c>
      <c r="D4" s="556" t="s">
        <v>1941</v>
      </c>
      <c r="E4" s="557">
        <v>46280</v>
      </c>
      <c r="F4" s="556" t="s">
        <v>1931</v>
      </c>
      <c r="G4" s="556" t="s">
        <v>1932</v>
      </c>
      <c r="H4" s="556" t="s">
        <v>2151</v>
      </c>
      <c r="I4" s="556" t="s">
        <v>1927</v>
      </c>
      <c r="J4" s="576">
        <v>8523.2900000000009</v>
      </c>
      <c r="K4" s="556">
        <v>1036.0410000000011</v>
      </c>
      <c r="L4" s="577">
        <v>1169.6085210038896</v>
      </c>
      <c r="M4" s="578">
        <v>1169.6085210038896</v>
      </c>
      <c r="N4" s="556">
        <v>1169.6085210038896</v>
      </c>
      <c r="O4" s="579">
        <v>1142.0830239351467</v>
      </c>
      <c r="P4" s="580">
        <v>19.980979850051245</v>
      </c>
      <c r="Q4" s="587" t="s">
        <v>1928</v>
      </c>
    </row>
    <row r="5" spans="1:24">
      <c r="A5" s="555">
        <v>46050</v>
      </c>
      <c r="B5" s="570" t="s">
        <v>1942</v>
      </c>
      <c r="C5" s="571" t="s">
        <v>1943</v>
      </c>
      <c r="D5" s="556" t="s">
        <v>1941</v>
      </c>
      <c r="E5" s="557">
        <v>46280</v>
      </c>
      <c r="F5" s="556" t="s">
        <v>1931</v>
      </c>
      <c r="G5" s="556" t="s">
        <v>1932</v>
      </c>
      <c r="H5" s="556" t="s">
        <v>2152</v>
      </c>
      <c r="I5" s="556" t="s">
        <v>1927</v>
      </c>
      <c r="J5" s="576">
        <v>8523.2900000000009</v>
      </c>
      <c r="K5" s="556">
        <v>322.96970000000147</v>
      </c>
      <c r="L5" s="577">
        <v>696.74172337937443</v>
      </c>
      <c r="M5" s="578">
        <v>696.74172337937443</v>
      </c>
      <c r="N5" s="556">
        <v>696.74172337937443</v>
      </c>
      <c r="O5" s="579">
        <v>676.1517720796403</v>
      </c>
      <c r="P5" s="580">
        <v>19.980979850051245</v>
      </c>
      <c r="Q5" s="587" t="s">
        <v>1928</v>
      </c>
    </row>
    <row r="6" spans="1:24">
      <c r="A6" s="555">
        <v>46050</v>
      </c>
      <c r="B6" s="580" t="s">
        <v>1944</v>
      </c>
      <c r="C6" s="571" t="s">
        <v>1945</v>
      </c>
      <c r="D6" s="556" t="s">
        <v>1946</v>
      </c>
      <c r="E6" s="557">
        <v>46129</v>
      </c>
      <c r="F6" s="556" t="s">
        <v>1931</v>
      </c>
      <c r="G6" s="556" t="s">
        <v>194</v>
      </c>
      <c r="H6" s="556" t="s">
        <v>2153</v>
      </c>
      <c r="I6" s="556"/>
      <c r="J6" s="581">
        <v>2.83</v>
      </c>
      <c r="K6" s="556">
        <v>0.28000000000000025</v>
      </c>
      <c r="L6" s="582">
        <v>0.3609919216123349</v>
      </c>
      <c r="M6" s="583">
        <v>0.3609919216123349</v>
      </c>
      <c r="N6" s="556">
        <v>0.3609919216123349</v>
      </c>
      <c r="O6" s="556">
        <v>0.3609919216123349</v>
      </c>
      <c r="P6" s="580">
        <v>33.385320283991646</v>
      </c>
      <c r="Q6" s="587" t="s">
        <v>1928</v>
      </c>
    </row>
    <row r="7" spans="1:24">
      <c r="A7" s="555">
        <v>46050</v>
      </c>
      <c r="B7" s="580" t="s">
        <v>1947</v>
      </c>
      <c r="C7" s="571" t="s">
        <v>1948</v>
      </c>
      <c r="D7" s="556" t="s">
        <v>1946</v>
      </c>
      <c r="E7" s="557">
        <v>46129</v>
      </c>
      <c r="F7" s="556" t="s">
        <v>1926</v>
      </c>
      <c r="G7" s="556" t="s">
        <v>194</v>
      </c>
      <c r="H7" s="556" t="s">
        <v>2154</v>
      </c>
      <c r="I7" s="556"/>
      <c r="J7" s="581">
        <v>2.83</v>
      </c>
      <c r="K7" s="556">
        <v>0</v>
      </c>
      <c r="L7" s="582">
        <v>2.9224922816799666E-2</v>
      </c>
      <c r="M7" s="583">
        <v>2.9224922816799666E-2</v>
      </c>
      <c r="N7" s="556">
        <v>2.9224922816799666E-2</v>
      </c>
      <c r="O7" s="556">
        <v>2.9224922816799666E-2</v>
      </c>
      <c r="P7" s="580">
        <v>62.122673382890007</v>
      </c>
      <c r="Q7" s="587" t="s">
        <v>1928</v>
      </c>
    </row>
    <row r="8" spans="1:24">
      <c r="A8" s="555">
        <v>46050</v>
      </c>
      <c r="B8" s="580" t="s">
        <v>1949</v>
      </c>
      <c r="C8" s="571" t="s">
        <v>1950</v>
      </c>
      <c r="D8" s="556" t="s">
        <v>1946</v>
      </c>
      <c r="E8" s="557">
        <v>46129</v>
      </c>
      <c r="F8" s="556" t="s">
        <v>1926</v>
      </c>
      <c r="G8" s="556" t="s">
        <v>194</v>
      </c>
      <c r="H8" s="556" t="s">
        <v>2155</v>
      </c>
      <c r="I8" s="556"/>
      <c r="J8" s="581">
        <v>2.83</v>
      </c>
      <c r="K8" s="556">
        <v>0</v>
      </c>
      <c r="L8" s="582">
        <v>3.6336829660732844E-2</v>
      </c>
      <c r="M8" s="583">
        <v>3.6336829660732844E-2</v>
      </c>
      <c r="N8" s="556">
        <v>3.6336829660732844E-2</v>
      </c>
      <c r="O8" s="556">
        <v>3.6336829660732844E-2</v>
      </c>
      <c r="P8" s="580">
        <v>46.253612371257908</v>
      </c>
      <c r="Q8" s="587" t="s">
        <v>1928</v>
      </c>
    </row>
    <row r="9" spans="1:24">
      <c r="A9" s="555">
        <v>46050</v>
      </c>
      <c r="B9" s="580" t="s">
        <v>2017</v>
      </c>
      <c r="C9" s="571" t="s">
        <v>2023</v>
      </c>
      <c r="D9" s="556" t="s">
        <v>1938</v>
      </c>
      <c r="E9" s="557">
        <v>46191</v>
      </c>
      <c r="F9" s="556" t="s">
        <v>1931</v>
      </c>
      <c r="G9" s="556" t="s">
        <v>194</v>
      </c>
      <c r="H9" s="556" t="s">
        <v>2156</v>
      </c>
      <c r="I9" s="556"/>
      <c r="J9" s="581">
        <v>342.3</v>
      </c>
      <c r="K9" s="556">
        <v>42.300000000000011</v>
      </c>
      <c r="L9" s="582">
        <v>59.2</v>
      </c>
      <c r="M9" s="583">
        <v>61.15</v>
      </c>
      <c r="N9" s="556">
        <v>60.174999999999997</v>
      </c>
      <c r="O9" s="556">
        <v>60.174999999999997</v>
      </c>
      <c r="P9" s="580"/>
      <c r="Q9" s="587" t="s">
        <v>1935</v>
      </c>
    </row>
    <row r="10" spans="1:24">
      <c r="A10" s="555">
        <v>46050</v>
      </c>
      <c r="B10" s="580" t="s">
        <v>2016</v>
      </c>
      <c r="C10" s="571" t="s">
        <v>2024</v>
      </c>
      <c r="D10" s="556" t="s">
        <v>1938</v>
      </c>
      <c r="E10" s="557">
        <v>46191</v>
      </c>
      <c r="F10" s="556" t="s">
        <v>1931</v>
      </c>
      <c r="G10" s="556" t="s">
        <v>194</v>
      </c>
      <c r="H10" s="556" t="s">
        <v>2157</v>
      </c>
      <c r="I10" s="556"/>
      <c r="J10" s="581">
        <v>342.3</v>
      </c>
      <c r="K10" s="556">
        <v>0</v>
      </c>
      <c r="L10" s="582">
        <v>22.9</v>
      </c>
      <c r="M10" s="583">
        <v>24.45</v>
      </c>
      <c r="N10" s="556">
        <v>23.674999999999997</v>
      </c>
      <c r="O10" s="556">
        <v>23.674999999999997</v>
      </c>
      <c r="P10" s="580"/>
      <c r="Q10" s="587" t="s">
        <v>1935</v>
      </c>
    </row>
    <row r="11" spans="1:24">
      <c r="A11" s="555">
        <v>46050</v>
      </c>
      <c r="B11" s="580" t="s">
        <v>2019</v>
      </c>
      <c r="C11" s="571" t="s">
        <v>2025</v>
      </c>
      <c r="D11" s="556" t="s">
        <v>1938</v>
      </c>
      <c r="E11" s="557">
        <v>46191</v>
      </c>
      <c r="F11" s="556" t="s">
        <v>1926</v>
      </c>
      <c r="G11" s="556" t="s">
        <v>194</v>
      </c>
      <c r="H11" s="556" t="s">
        <v>2158</v>
      </c>
      <c r="I11" s="556"/>
      <c r="J11" s="581">
        <v>342.3</v>
      </c>
      <c r="K11" s="556">
        <v>0</v>
      </c>
      <c r="L11" s="582">
        <v>4.75</v>
      </c>
      <c r="M11" s="583">
        <v>4.95</v>
      </c>
      <c r="N11" s="556">
        <v>4.8499999999999996</v>
      </c>
      <c r="O11" s="556">
        <v>4.8499999999999996</v>
      </c>
      <c r="P11" s="580"/>
      <c r="Q11" s="587" t="s">
        <v>1935</v>
      </c>
    </row>
    <row r="12" spans="1:24">
      <c r="A12" s="555">
        <v>46050</v>
      </c>
      <c r="B12" s="580" t="s">
        <v>2018</v>
      </c>
      <c r="C12" s="571" t="s">
        <v>2026</v>
      </c>
      <c r="D12" s="556" t="s">
        <v>1938</v>
      </c>
      <c r="E12" s="557">
        <v>46191</v>
      </c>
      <c r="F12" s="556" t="s">
        <v>1926</v>
      </c>
      <c r="G12" s="556" t="s">
        <v>194</v>
      </c>
      <c r="H12" s="556" t="s">
        <v>2159</v>
      </c>
      <c r="I12" s="556"/>
      <c r="J12" s="581">
        <v>342.3</v>
      </c>
      <c r="K12" s="556">
        <v>0</v>
      </c>
      <c r="L12" s="582">
        <v>2</v>
      </c>
      <c r="M12" s="583">
        <v>2.72</v>
      </c>
      <c r="N12" s="556">
        <v>2.3600000000000003</v>
      </c>
      <c r="O12" s="556">
        <v>2.3600000000000003</v>
      </c>
      <c r="P12" s="580"/>
      <c r="Q12" s="587" t="s">
        <v>1935</v>
      </c>
    </row>
    <row r="13" spans="1:24">
      <c r="A13" s="555">
        <v>46050</v>
      </c>
      <c r="B13" s="580" t="s">
        <v>2022</v>
      </c>
      <c r="C13" s="571" t="s">
        <v>2027</v>
      </c>
      <c r="D13" s="556" t="s">
        <v>1937</v>
      </c>
      <c r="E13" s="557">
        <v>46191</v>
      </c>
      <c r="F13" s="556" t="s">
        <v>1926</v>
      </c>
      <c r="G13" s="556" t="s">
        <v>194</v>
      </c>
      <c r="H13" s="556" t="s">
        <v>2160</v>
      </c>
      <c r="I13" s="556"/>
      <c r="J13" s="581">
        <v>481.63</v>
      </c>
      <c r="K13" s="556">
        <v>0</v>
      </c>
      <c r="L13" s="582">
        <v>11.65</v>
      </c>
      <c r="M13" s="583">
        <v>11.9</v>
      </c>
      <c r="N13" s="556">
        <v>11.775</v>
      </c>
      <c r="O13" s="556">
        <v>11.775</v>
      </c>
      <c r="P13" s="580"/>
      <c r="Q13" s="587" t="s">
        <v>1935</v>
      </c>
    </row>
    <row r="14" spans="1:24">
      <c r="A14" s="555">
        <v>46050</v>
      </c>
      <c r="B14" s="580" t="s">
        <v>2021</v>
      </c>
      <c r="C14" s="571" t="s">
        <v>2028</v>
      </c>
      <c r="D14" s="556" t="s">
        <v>1937</v>
      </c>
      <c r="E14" s="557">
        <v>46191</v>
      </c>
      <c r="F14" s="556" t="s">
        <v>1931</v>
      </c>
      <c r="G14" s="556" t="s">
        <v>194</v>
      </c>
      <c r="H14" s="556" t="s">
        <v>2161</v>
      </c>
      <c r="I14" s="556"/>
      <c r="J14" s="581">
        <v>481.63</v>
      </c>
      <c r="K14" s="556">
        <v>0</v>
      </c>
      <c r="L14" s="582">
        <v>22.65</v>
      </c>
      <c r="M14" s="583">
        <v>22.85</v>
      </c>
      <c r="N14" s="556">
        <v>22.75</v>
      </c>
      <c r="O14" s="556">
        <v>22.75</v>
      </c>
      <c r="P14" s="580"/>
      <c r="Q14" s="587" t="s">
        <v>1935</v>
      </c>
    </row>
    <row r="15" spans="1:24">
      <c r="A15" s="555">
        <v>46050</v>
      </c>
      <c r="B15" s="580" t="s">
        <v>2020</v>
      </c>
      <c r="C15" s="571" t="s">
        <v>2029</v>
      </c>
      <c r="D15" s="556" t="s">
        <v>1937</v>
      </c>
      <c r="E15" s="557">
        <v>46191</v>
      </c>
      <c r="F15" s="556" t="s">
        <v>1931</v>
      </c>
      <c r="G15" s="556" t="s">
        <v>194</v>
      </c>
      <c r="H15" s="556" t="s">
        <v>2162</v>
      </c>
      <c r="I15" s="556"/>
      <c r="J15" s="581">
        <v>481.63</v>
      </c>
      <c r="K15" s="556">
        <v>0</v>
      </c>
      <c r="L15" s="582">
        <v>6.7</v>
      </c>
      <c r="M15" s="583">
        <v>6.85</v>
      </c>
      <c r="N15" s="556">
        <v>6.7750000000000004</v>
      </c>
      <c r="O15" s="556">
        <v>6.7750000000000004</v>
      </c>
      <c r="P15" s="580"/>
      <c r="Q15" s="587" t="s">
        <v>1935</v>
      </c>
    </row>
    <row r="16" spans="1:24">
      <c r="A16" s="555">
        <v>46050</v>
      </c>
      <c r="B16" s="580" t="s">
        <v>2031</v>
      </c>
      <c r="C16" s="571" t="s">
        <v>2032</v>
      </c>
      <c r="D16" s="556" t="s">
        <v>1951</v>
      </c>
      <c r="E16" s="557">
        <v>46101</v>
      </c>
      <c r="F16" s="556" t="s">
        <v>1926</v>
      </c>
      <c r="G16" s="556" t="s">
        <v>194</v>
      </c>
      <c r="H16" s="556" t="s">
        <v>2163</v>
      </c>
      <c r="I16" s="556"/>
      <c r="J16" s="581">
        <v>633.22</v>
      </c>
      <c r="K16" s="556">
        <v>0</v>
      </c>
      <c r="L16" s="582">
        <v>2.38</v>
      </c>
      <c r="M16" s="583">
        <v>2.4500000000000002</v>
      </c>
      <c r="N16" s="556">
        <v>2.415</v>
      </c>
      <c r="O16" s="556">
        <v>2.415</v>
      </c>
      <c r="P16" s="580"/>
      <c r="Q16" s="587" t="s">
        <v>1935</v>
      </c>
    </row>
    <row r="17" spans="1:17">
      <c r="A17" s="555">
        <v>46050</v>
      </c>
      <c r="B17" s="580" t="s">
        <v>2030</v>
      </c>
      <c r="C17" s="571" t="s">
        <v>2034</v>
      </c>
      <c r="D17" s="556" t="s">
        <v>1951</v>
      </c>
      <c r="E17" s="557">
        <v>46101</v>
      </c>
      <c r="F17" s="556" t="s">
        <v>1926</v>
      </c>
      <c r="G17" s="556" t="s">
        <v>194</v>
      </c>
      <c r="H17" s="556" t="s">
        <v>2164</v>
      </c>
      <c r="I17" s="556"/>
      <c r="J17" s="581">
        <v>633.22</v>
      </c>
      <c r="K17" s="556">
        <v>0</v>
      </c>
      <c r="L17" s="582">
        <v>4.6100000000000003</v>
      </c>
      <c r="M17" s="583">
        <v>4.7</v>
      </c>
      <c r="N17" s="556">
        <v>4.6550000000000002</v>
      </c>
      <c r="O17" s="556">
        <v>4.6550000000000002</v>
      </c>
      <c r="P17" s="580"/>
      <c r="Q17" s="587" t="s">
        <v>1935</v>
      </c>
    </row>
    <row r="18" spans="1:17">
      <c r="A18" s="555">
        <v>46050</v>
      </c>
      <c r="B18" s="580" t="s">
        <v>2035</v>
      </c>
      <c r="C18" s="571" t="s">
        <v>2038</v>
      </c>
      <c r="D18" s="556" t="s">
        <v>2033</v>
      </c>
      <c r="E18" s="557">
        <v>46191</v>
      </c>
      <c r="F18" s="556" t="s">
        <v>1931</v>
      </c>
      <c r="G18" s="556" t="s">
        <v>194</v>
      </c>
      <c r="H18" s="556" t="s">
        <v>2165</v>
      </c>
      <c r="I18" s="556"/>
      <c r="J18" s="581">
        <v>243.01</v>
      </c>
      <c r="K18" s="556">
        <v>13.009999999999991</v>
      </c>
      <c r="L18" s="582">
        <v>29.4</v>
      </c>
      <c r="M18" s="583">
        <v>30.65</v>
      </c>
      <c r="N18" s="556">
        <v>30.024999999999999</v>
      </c>
      <c r="O18" s="556">
        <v>30.024999999999999</v>
      </c>
      <c r="P18" s="580"/>
      <c r="Q18" s="587" t="s">
        <v>1935</v>
      </c>
    </row>
    <row r="19" spans="1:17">
      <c r="A19" s="555">
        <v>46050</v>
      </c>
      <c r="B19" s="580" t="s">
        <v>2036</v>
      </c>
      <c r="C19" s="571" t="s">
        <v>2039</v>
      </c>
      <c r="D19" s="556" t="s">
        <v>2033</v>
      </c>
      <c r="E19" s="557">
        <v>46191</v>
      </c>
      <c r="F19" s="556" t="s">
        <v>1931</v>
      </c>
      <c r="G19" s="556" t="s">
        <v>194</v>
      </c>
      <c r="H19" s="556" t="s">
        <v>2166</v>
      </c>
      <c r="I19" s="556"/>
      <c r="J19" s="581">
        <v>243.01</v>
      </c>
      <c r="K19" s="556">
        <v>0</v>
      </c>
      <c r="L19" s="582">
        <v>15.45</v>
      </c>
      <c r="M19" s="583">
        <v>15.65</v>
      </c>
      <c r="N19" s="556">
        <v>15.55</v>
      </c>
      <c r="O19" s="556">
        <v>15.55</v>
      </c>
      <c r="P19" s="580"/>
      <c r="Q19" s="587" t="s">
        <v>1935</v>
      </c>
    </row>
    <row r="20" spans="1:17">
      <c r="A20" s="555">
        <v>46050</v>
      </c>
      <c r="B20" s="580" t="s">
        <v>2037</v>
      </c>
      <c r="C20" s="571" t="s">
        <v>2040</v>
      </c>
      <c r="D20" s="556" t="s">
        <v>2033</v>
      </c>
      <c r="E20" s="557">
        <v>46191</v>
      </c>
      <c r="F20" s="556" t="s">
        <v>1926</v>
      </c>
      <c r="G20" s="556" t="s">
        <v>194</v>
      </c>
      <c r="H20" s="556" t="s">
        <v>2167</v>
      </c>
      <c r="I20" s="556"/>
      <c r="J20" s="581">
        <v>243.01</v>
      </c>
      <c r="K20" s="556">
        <v>0</v>
      </c>
      <c r="L20" s="582">
        <v>5.35</v>
      </c>
      <c r="M20" s="583">
        <v>5.5</v>
      </c>
      <c r="N20" s="556">
        <v>5.4249999999999998</v>
      </c>
      <c r="O20" s="556">
        <v>5.4249999999999998</v>
      </c>
      <c r="P20" s="580"/>
      <c r="Q20" s="587" t="s">
        <v>1935</v>
      </c>
    </row>
    <row r="21" spans="1:17">
      <c r="A21" s="555">
        <v>46050</v>
      </c>
      <c r="B21" s="580" t="s">
        <v>2048</v>
      </c>
      <c r="C21" s="571" t="s">
        <v>2051</v>
      </c>
      <c r="D21" s="556" t="s">
        <v>1937</v>
      </c>
      <c r="E21" s="557">
        <v>46101</v>
      </c>
      <c r="F21" s="556" t="s">
        <v>1931</v>
      </c>
      <c r="G21" s="556" t="s">
        <v>194</v>
      </c>
      <c r="H21" s="556" t="s">
        <v>2169</v>
      </c>
      <c r="I21" s="556"/>
      <c r="J21" s="581">
        <v>481.63</v>
      </c>
      <c r="K21" s="556">
        <v>0</v>
      </c>
      <c r="L21" s="582">
        <v>18.600000000000001</v>
      </c>
      <c r="M21" s="583">
        <v>18.8</v>
      </c>
      <c r="N21" s="556">
        <v>18.700000000000003</v>
      </c>
      <c r="O21" s="556">
        <v>18.700000000000003</v>
      </c>
      <c r="P21" s="580"/>
      <c r="Q21" s="587" t="s">
        <v>1935</v>
      </c>
    </row>
    <row r="22" spans="1:17">
      <c r="A22" s="555">
        <v>46050</v>
      </c>
      <c r="B22" s="580" t="s">
        <v>2047</v>
      </c>
      <c r="C22" s="571" t="s">
        <v>2052</v>
      </c>
      <c r="D22" s="556" t="s">
        <v>1937</v>
      </c>
      <c r="E22" s="557">
        <v>46101</v>
      </c>
      <c r="F22" s="556" t="s">
        <v>1931</v>
      </c>
      <c r="G22" s="556" t="s">
        <v>194</v>
      </c>
      <c r="H22" s="556" t="s">
        <v>2161</v>
      </c>
      <c r="I22" s="556"/>
      <c r="J22" s="581">
        <v>481.63</v>
      </c>
      <c r="K22" s="556">
        <v>0</v>
      </c>
      <c r="L22" s="582">
        <v>9.65</v>
      </c>
      <c r="M22" s="583">
        <v>9.8000000000000007</v>
      </c>
      <c r="N22" s="556">
        <v>9.7250000000000014</v>
      </c>
      <c r="O22" s="556">
        <v>9.7250000000000014</v>
      </c>
      <c r="P22" s="580"/>
      <c r="Q22" s="587" t="s">
        <v>1935</v>
      </c>
    </row>
    <row r="23" spans="1:17" ht="45">
      <c r="A23" s="555">
        <v>46050</v>
      </c>
      <c r="B23" s="559" t="s">
        <v>2050</v>
      </c>
      <c r="C23" s="571" t="s">
        <v>2053</v>
      </c>
      <c r="D23" s="556" t="s">
        <v>1937</v>
      </c>
      <c r="E23" s="557">
        <v>46101</v>
      </c>
      <c r="F23" s="556" t="s">
        <v>1926</v>
      </c>
      <c r="G23" s="556" t="s">
        <v>194</v>
      </c>
      <c r="H23" s="556" t="s">
        <v>2170</v>
      </c>
      <c r="I23" s="556"/>
      <c r="J23" s="581">
        <v>481.63</v>
      </c>
      <c r="K23" s="556">
        <v>0</v>
      </c>
      <c r="L23" s="582">
        <v>10.25</v>
      </c>
      <c r="M23" s="583">
        <v>10.4</v>
      </c>
      <c r="N23" s="556">
        <v>10.324999999999999</v>
      </c>
      <c r="O23" s="556">
        <v>10.324999999999999</v>
      </c>
      <c r="P23" s="580"/>
      <c r="Q23" s="587" t="s">
        <v>1935</v>
      </c>
    </row>
    <row r="24" spans="1:17" ht="45">
      <c r="A24" s="555">
        <v>46050</v>
      </c>
      <c r="B24" s="559" t="s">
        <v>2049</v>
      </c>
      <c r="C24" s="571" t="s">
        <v>2054</v>
      </c>
      <c r="D24" s="556" t="s">
        <v>1937</v>
      </c>
      <c r="E24" s="557">
        <v>46101</v>
      </c>
      <c r="F24" s="556" t="s">
        <v>1926</v>
      </c>
      <c r="G24" s="556" t="s">
        <v>194</v>
      </c>
      <c r="H24" s="556" t="s">
        <v>2171</v>
      </c>
      <c r="I24" s="556"/>
      <c r="J24" s="581">
        <v>481.63</v>
      </c>
      <c r="K24" s="556">
        <v>0</v>
      </c>
      <c r="L24" s="582">
        <v>13.55</v>
      </c>
      <c r="M24" s="583">
        <v>13.7</v>
      </c>
      <c r="N24" s="556">
        <v>13.625</v>
      </c>
      <c r="O24" s="556">
        <v>13.625</v>
      </c>
      <c r="P24" s="580"/>
      <c r="Q24" s="587" t="s">
        <v>1935</v>
      </c>
    </row>
    <row r="25" spans="1:17" ht="45">
      <c r="A25" s="555">
        <v>46050</v>
      </c>
      <c r="B25" s="559" t="s">
        <v>2058</v>
      </c>
      <c r="C25" s="571" t="s">
        <v>2060</v>
      </c>
      <c r="D25" s="556" t="s">
        <v>2061</v>
      </c>
      <c r="E25" s="557">
        <v>46101</v>
      </c>
      <c r="F25" s="556" t="s">
        <v>1926</v>
      </c>
      <c r="G25" s="556" t="s">
        <v>194</v>
      </c>
      <c r="H25" s="556" t="s">
        <v>2172</v>
      </c>
      <c r="I25" s="556"/>
      <c r="J25" s="581">
        <v>83.62</v>
      </c>
      <c r="K25" s="556">
        <v>0</v>
      </c>
      <c r="L25" s="582">
        <v>5.5</v>
      </c>
      <c r="M25" s="583">
        <v>5.8</v>
      </c>
      <c r="N25" s="556">
        <v>5.65</v>
      </c>
      <c r="O25" s="556">
        <v>5.65</v>
      </c>
      <c r="P25" s="580"/>
      <c r="Q25" s="587" t="s">
        <v>1935</v>
      </c>
    </row>
    <row r="26" spans="1:17" ht="45">
      <c r="A26" s="555">
        <v>46050</v>
      </c>
      <c r="B26" s="559" t="s">
        <v>2059</v>
      </c>
      <c r="C26" s="571" t="s">
        <v>2062</v>
      </c>
      <c r="D26" s="556" t="s">
        <v>2061</v>
      </c>
      <c r="E26" s="557">
        <v>46101</v>
      </c>
      <c r="F26" s="556" t="s">
        <v>1926</v>
      </c>
      <c r="G26" s="556" t="s">
        <v>194</v>
      </c>
      <c r="H26" s="556" t="s">
        <v>2173</v>
      </c>
      <c r="I26" s="556"/>
      <c r="J26" s="581">
        <v>83.62</v>
      </c>
      <c r="K26" s="556">
        <v>6.3799999999999955</v>
      </c>
      <c r="L26" s="582">
        <v>11</v>
      </c>
      <c r="M26" s="583">
        <v>11.2</v>
      </c>
      <c r="N26" s="556">
        <v>11.1</v>
      </c>
      <c r="O26" s="556">
        <v>11.1</v>
      </c>
      <c r="P26" s="580"/>
      <c r="Q26" s="587" t="s">
        <v>1935</v>
      </c>
    </row>
    <row r="27" spans="1:17" ht="45">
      <c r="A27" s="555">
        <v>46050</v>
      </c>
      <c r="B27" s="559" t="s">
        <v>2065</v>
      </c>
      <c r="C27" s="571" t="s">
        <v>2066</v>
      </c>
      <c r="D27" s="556" t="s">
        <v>1936</v>
      </c>
      <c r="E27" s="557">
        <v>46038</v>
      </c>
      <c r="F27" s="556" t="s">
        <v>1926</v>
      </c>
      <c r="G27" s="556" t="s">
        <v>194</v>
      </c>
      <c r="H27" s="556" t="s">
        <v>2174</v>
      </c>
      <c r="I27" s="556"/>
      <c r="J27" s="576">
        <v>38.33</v>
      </c>
      <c r="K27" s="556">
        <v>0</v>
      </c>
      <c r="L27" s="577">
        <v>0.83499999999999996</v>
      </c>
      <c r="M27" s="578">
        <v>0.83499999999999996</v>
      </c>
      <c r="N27" s="556">
        <v>0.83499999999999996</v>
      </c>
      <c r="O27" s="556">
        <v>0.83499999999999996</v>
      </c>
      <c r="P27" s="580">
        <v>0</v>
      </c>
      <c r="Q27" s="587" t="s">
        <v>1928</v>
      </c>
    </row>
    <row r="28" spans="1:17" ht="45">
      <c r="A28" s="555">
        <v>46050</v>
      </c>
      <c r="B28" s="559" t="s">
        <v>2068</v>
      </c>
      <c r="C28" s="571" t="s">
        <v>2070</v>
      </c>
      <c r="D28" s="556" t="s">
        <v>2071</v>
      </c>
      <c r="E28" s="557">
        <v>46129</v>
      </c>
      <c r="F28" s="556" t="s">
        <v>1931</v>
      </c>
      <c r="G28" s="556" t="s">
        <v>194</v>
      </c>
      <c r="H28" s="556" t="s">
        <v>2175</v>
      </c>
      <c r="I28" s="556"/>
      <c r="J28" s="581">
        <v>668.73</v>
      </c>
      <c r="K28" s="556">
        <v>0</v>
      </c>
      <c r="L28" s="582">
        <v>37.299999999999997</v>
      </c>
      <c r="M28" s="583">
        <v>37.700000000000003</v>
      </c>
      <c r="N28" s="556">
        <v>37.5</v>
      </c>
      <c r="O28" s="556">
        <v>37.5</v>
      </c>
      <c r="P28" s="580"/>
      <c r="Q28" s="587" t="s">
        <v>1935</v>
      </c>
    </row>
    <row r="29" spans="1:17">
      <c r="A29" s="555">
        <v>46050</v>
      </c>
      <c r="B29" s="570" t="s">
        <v>2067</v>
      </c>
      <c r="C29" s="571" t="s">
        <v>2072</v>
      </c>
      <c r="D29" s="556" t="s">
        <v>2071</v>
      </c>
      <c r="E29" s="557">
        <v>46129</v>
      </c>
      <c r="F29" s="556" t="s">
        <v>1931</v>
      </c>
      <c r="G29" s="556" t="s">
        <v>194</v>
      </c>
      <c r="H29" s="556" t="s">
        <v>2176</v>
      </c>
      <c r="I29" s="556"/>
      <c r="J29" s="581">
        <v>668.73</v>
      </c>
      <c r="K29" s="556">
        <v>0</v>
      </c>
      <c r="L29" s="582">
        <v>18.8</v>
      </c>
      <c r="M29" s="583">
        <v>19</v>
      </c>
      <c r="N29" s="556">
        <v>18.899999999999999</v>
      </c>
      <c r="O29" s="556">
        <v>18.899999999999999</v>
      </c>
      <c r="P29" s="580"/>
      <c r="Q29" s="587" t="s">
        <v>1935</v>
      </c>
    </row>
    <row r="30" spans="1:17" ht="45">
      <c r="A30" s="555">
        <v>46050</v>
      </c>
      <c r="B30" s="559" t="s">
        <v>2069</v>
      </c>
      <c r="C30" s="571" t="s">
        <v>2073</v>
      </c>
      <c r="D30" s="556" t="s">
        <v>2071</v>
      </c>
      <c r="E30" s="557">
        <v>46129</v>
      </c>
      <c r="F30" s="556" t="s">
        <v>1926</v>
      </c>
      <c r="G30" s="556" t="s">
        <v>194</v>
      </c>
      <c r="H30" s="556" t="s">
        <v>2177</v>
      </c>
      <c r="I30" s="556"/>
      <c r="J30" s="581">
        <v>668.73</v>
      </c>
      <c r="K30" s="556">
        <v>0</v>
      </c>
      <c r="L30" s="582">
        <v>14.25</v>
      </c>
      <c r="M30" s="583">
        <v>16.3</v>
      </c>
      <c r="N30" s="556">
        <v>15.275</v>
      </c>
      <c r="O30" s="556">
        <v>15.275</v>
      </c>
      <c r="P30" s="580"/>
      <c r="Q30" s="587" t="s">
        <v>1935</v>
      </c>
    </row>
    <row r="31" spans="1:17" ht="45">
      <c r="A31" s="555">
        <v>46050</v>
      </c>
      <c r="B31" s="559" t="s">
        <v>2075</v>
      </c>
      <c r="C31" s="571" t="s">
        <v>2080</v>
      </c>
      <c r="D31" s="556" t="s">
        <v>2081</v>
      </c>
      <c r="E31" s="557">
        <v>46073</v>
      </c>
      <c r="F31" s="556" t="s">
        <v>1931</v>
      </c>
      <c r="G31" s="556" t="s">
        <v>194</v>
      </c>
      <c r="H31" s="556" t="s">
        <v>2178</v>
      </c>
      <c r="I31" s="556"/>
      <c r="J31" s="581">
        <v>385</v>
      </c>
      <c r="K31" s="556">
        <v>0</v>
      </c>
      <c r="L31" s="582">
        <v>23.3</v>
      </c>
      <c r="M31" s="583">
        <v>26.5</v>
      </c>
      <c r="N31" s="556">
        <v>24.9</v>
      </c>
      <c r="O31" s="556">
        <v>24.9</v>
      </c>
      <c r="P31" s="580"/>
      <c r="Q31" s="587" t="s">
        <v>1935</v>
      </c>
    </row>
    <row r="32" spans="1:17" ht="45">
      <c r="A32" s="555">
        <v>46050</v>
      </c>
      <c r="B32" s="559" t="s">
        <v>2074</v>
      </c>
      <c r="C32" s="571" t="s">
        <v>2082</v>
      </c>
      <c r="D32" s="556" t="s">
        <v>2081</v>
      </c>
      <c r="E32" s="557">
        <v>46073</v>
      </c>
      <c r="F32" s="556" t="s">
        <v>1931</v>
      </c>
      <c r="G32" s="556" t="s">
        <v>194</v>
      </c>
      <c r="H32" s="556" t="s">
        <v>2179</v>
      </c>
      <c r="I32" s="556"/>
      <c r="J32" s="581">
        <v>385</v>
      </c>
      <c r="K32" s="556">
        <v>0</v>
      </c>
      <c r="L32" s="582">
        <v>39.6</v>
      </c>
      <c r="M32" s="583">
        <v>42.6</v>
      </c>
      <c r="N32" s="556">
        <v>41.1</v>
      </c>
      <c r="O32" s="556">
        <v>41.1</v>
      </c>
      <c r="P32" s="580"/>
      <c r="Q32" s="587" t="s">
        <v>1935</v>
      </c>
    </row>
    <row r="33" spans="1:17" ht="45">
      <c r="A33" s="555">
        <v>46050</v>
      </c>
      <c r="B33" s="559" t="s">
        <v>2078</v>
      </c>
      <c r="C33" s="571" t="s">
        <v>2083</v>
      </c>
      <c r="D33" s="556" t="s">
        <v>2084</v>
      </c>
      <c r="E33" s="557">
        <v>46101</v>
      </c>
      <c r="F33" s="556" t="s">
        <v>1931</v>
      </c>
      <c r="G33" s="556" t="s">
        <v>194</v>
      </c>
      <c r="H33" s="556" t="s">
        <v>2159</v>
      </c>
      <c r="I33" s="556"/>
      <c r="J33" s="581">
        <v>221.14</v>
      </c>
      <c r="K33" s="556">
        <v>11.139999999999986</v>
      </c>
      <c r="L33" s="582">
        <v>33.700000000000003</v>
      </c>
      <c r="M33" s="583">
        <v>35</v>
      </c>
      <c r="N33" s="556">
        <v>34.35</v>
      </c>
      <c r="O33" s="556">
        <v>34.35</v>
      </c>
      <c r="P33" s="580"/>
      <c r="Q33" s="587" t="s">
        <v>1935</v>
      </c>
    </row>
    <row r="34" spans="1:17" ht="45">
      <c r="A34" s="555">
        <v>46050</v>
      </c>
      <c r="B34" s="559" t="s">
        <v>2079</v>
      </c>
      <c r="C34" s="571" t="s">
        <v>2085</v>
      </c>
      <c r="D34" s="556" t="s">
        <v>2084</v>
      </c>
      <c r="E34" s="557">
        <v>46101</v>
      </c>
      <c r="F34" s="556" t="s">
        <v>1931</v>
      </c>
      <c r="G34" s="556" t="s">
        <v>194</v>
      </c>
      <c r="H34" s="556" t="s">
        <v>2158</v>
      </c>
      <c r="I34" s="556"/>
      <c r="J34" s="581">
        <v>221.14</v>
      </c>
      <c r="K34" s="556">
        <v>0</v>
      </c>
      <c r="L34" s="582">
        <v>17.399999999999999</v>
      </c>
      <c r="M34" s="583">
        <v>19.7</v>
      </c>
      <c r="N34" s="556">
        <v>18.549999999999997</v>
      </c>
      <c r="O34" s="556">
        <v>18.549999999999997</v>
      </c>
      <c r="P34" s="580"/>
      <c r="Q34" s="587" t="s">
        <v>1935</v>
      </c>
    </row>
    <row r="35" spans="1:17" ht="45">
      <c r="A35" s="555">
        <v>46050</v>
      </c>
      <c r="B35" s="559" t="s">
        <v>2091</v>
      </c>
      <c r="C35" s="571" t="s">
        <v>2093</v>
      </c>
      <c r="D35" s="556" t="s">
        <v>2094</v>
      </c>
      <c r="E35" s="557">
        <v>46101</v>
      </c>
      <c r="F35" s="556" t="s">
        <v>1931</v>
      </c>
      <c r="G35" s="556" t="s">
        <v>194</v>
      </c>
      <c r="H35" s="556" t="s">
        <v>2149</v>
      </c>
      <c r="I35" s="556"/>
      <c r="J35" s="581">
        <v>84.64</v>
      </c>
      <c r="K35" s="556">
        <v>0</v>
      </c>
      <c r="L35" s="582">
        <v>0.31</v>
      </c>
      <c r="M35" s="583">
        <v>0.37</v>
      </c>
      <c r="N35" s="556">
        <v>0.33999999999999997</v>
      </c>
      <c r="O35" s="556">
        <v>0.33999999999999997</v>
      </c>
      <c r="P35" s="580"/>
      <c r="Q35" s="587" t="s">
        <v>1935</v>
      </c>
    </row>
    <row r="36" spans="1:17" ht="45">
      <c r="A36" s="555">
        <v>46050</v>
      </c>
      <c r="B36" s="559" t="s">
        <v>2092</v>
      </c>
      <c r="C36" s="571" t="s">
        <v>2095</v>
      </c>
      <c r="D36" s="556" t="s">
        <v>2094</v>
      </c>
      <c r="E36" s="557">
        <v>46101</v>
      </c>
      <c r="F36" s="556" t="s">
        <v>1926</v>
      </c>
      <c r="G36" s="556" t="s">
        <v>194</v>
      </c>
      <c r="H36" s="556" t="s">
        <v>2180</v>
      </c>
      <c r="I36" s="556"/>
      <c r="J36" s="581">
        <v>84.64</v>
      </c>
      <c r="K36" s="556">
        <v>0</v>
      </c>
      <c r="L36" s="582">
        <v>2.82</v>
      </c>
      <c r="M36" s="583">
        <v>2.97</v>
      </c>
      <c r="N36" s="556">
        <v>2.895</v>
      </c>
      <c r="O36" s="556">
        <v>2.895</v>
      </c>
      <c r="P36" s="580"/>
      <c r="Q36" s="587" t="s">
        <v>1935</v>
      </c>
    </row>
    <row r="37" spans="1:17" ht="45">
      <c r="A37" s="555">
        <v>46050</v>
      </c>
      <c r="B37" s="559" t="s">
        <v>2090</v>
      </c>
      <c r="C37" s="571" t="s">
        <v>2096</v>
      </c>
      <c r="D37" s="556" t="s">
        <v>2094</v>
      </c>
      <c r="E37" s="557">
        <v>46101</v>
      </c>
      <c r="F37" s="556" t="s">
        <v>1926</v>
      </c>
      <c r="G37" s="556" t="s">
        <v>194</v>
      </c>
      <c r="H37" s="556" t="s">
        <v>2181</v>
      </c>
      <c r="I37" s="556"/>
      <c r="J37" s="581">
        <v>84.64</v>
      </c>
      <c r="K37" s="556">
        <v>7.3599999999999994</v>
      </c>
      <c r="L37" s="582">
        <v>8.1999999999999993</v>
      </c>
      <c r="M37" s="583">
        <v>8.6999999999999993</v>
      </c>
      <c r="N37" s="556">
        <v>8.4499999999999993</v>
      </c>
      <c r="O37" s="556">
        <v>8.4499999999999993</v>
      </c>
      <c r="P37" s="580"/>
      <c r="Q37" s="587" t="s">
        <v>1935</v>
      </c>
    </row>
    <row r="38" spans="1:17" ht="45">
      <c r="A38" s="555">
        <v>46050</v>
      </c>
      <c r="B38" s="559" t="s">
        <v>2098</v>
      </c>
      <c r="C38" s="571" t="s">
        <v>2101</v>
      </c>
      <c r="D38" s="556" t="s">
        <v>2061</v>
      </c>
      <c r="E38" s="557">
        <v>46101</v>
      </c>
      <c r="F38" s="556" t="s">
        <v>1926</v>
      </c>
      <c r="G38" s="556" t="s">
        <v>194</v>
      </c>
      <c r="H38" s="556" t="s">
        <v>2182</v>
      </c>
      <c r="I38" s="556"/>
      <c r="J38" s="581">
        <v>83.62</v>
      </c>
      <c r="K38" s="556">
        <v>0</v>
      </c>
      <c r="L38" s="582">
        <v>3.6</v>
      </c>
      <c r="M38" s="583">
        <v>3.75</v>
      </c>
      <c r="N38" s="556">
        <v>3.6749999999999998</v>
      </c>
      <c r="O38" s="556">
        <v>3.6749999999999998</v>
      </c>
      <c r="P38" s="580"/>
      <c r="Q38" s="587" t="s">
        <v>1935</v>
      </c>
    </row>
    <row r="39" spans="1:17" ht="45">
      <c r="A39" s="555">
        <v>46050</v>
      </c>
      <c r="B39" s="559" t="s">
        <v>2097</v>
      </c>
      <c r="C39" s="571" t="s">
        <v>2102</v>
      </c>
      <c r="D39" s="556" t="s">
        <v>2061</v>
      </c>
      <c r="E39" s="557">
        <v>46101</v>
      </c>
      <c r="F39" s="556" t="s">
        <v>1926</v>
      </c>
      <c r="G39" s="556" t="s">
        <v>194</v>
      </c>
      <c r="H39" s="556" t="s">
        <v>2183</v>
      </c>
      <c r="I39" s="556"/>
      <c r="J39" s="581">
        <v>83.62</v>
      </c>
      <c r="K39" s="556">
        <v>1.3799999999999955</v>
      </c>
      <c r="L39" s="582">
        <v>8</v>
      </c>
      <c r="M39" s="583">
        <v>8.15</v>
      </c>
      <c r="N39" s="556">
        <v>8.0749999999999993</v>
      </c>
      <c r="O39" s="556">
        <v>8.0749999999999993</v>
      </c>
      <c r="P39" s="580"/>
      <c r="Q39" s="587" t="s">
        <v>1935</v>
      </c>
    </row>
    <row r="40" spans="1:17" ht="45">
      <c r="A40" s="555">
        <v>46050</v>
      </c>
      <c r="B40" s="559" t="s">
        <v>2105</v>
      </c>
      <c r="C40" s="571" t="s">
        <v>2111</v>
      </c>
      <c r="D40" s="556" t="s">
        <v>2112</v>
      </c>
      <c r="E40" s="557">
        <v>46191</v>
      </c>
      <c r="F40" s="556" t="s">
        <v>1931</v>
      </c>
      <c r="G40" s="556" t="s">
        <v>194</v>
      </c>
      <c r="H40" s="556" t="s">
        <v>2184</v>
      </c>
      <c r="I40" s="556"/>
      <c r="J40" s="581">
        <v>333.24</v>
      </c>
      <c r="K40" s="556">
        <v>0</v>
      </c>
      <c r="L40" s="582">
        <v>36</v>
      </c>
      <c r="M40" s="583">
        <v>37.6</v>
      </c>
      <c r="N40" s="556">
        <v>36.799999999999997</v>
      </c>
      <c r="O40" s="556">
        <v>36.799999999999997</v>
      </c>
      <c r="P40" s="580"/>
      <c r="Q40" s="587" t="s">
        <v>1935</v>
      </c>
    </row>
    <row r="41" spans="1:17" ht="45">
      <c r="A41" s="555">
        <v>46050</v>
      </c>
      <c r="B41" s="559" t="s">
        <v>2107</v>
      </c>
      <c r="C41" s="571" t="s">
        <v>2113</v>
      </c>
      <c r="D41" s="556" t="s">
        <v>2112</v>
      </c>
      <c r="E41" s="557">
        <v>46191</v>
      </c>
      <c r="F41" s="556" t="s">
        <v>1931</v>
      </c>
      <c r="G41" s="556" t="s">
        <v>194</v>
      </c>
      <c r="H41" s="556" t="s">
        <v>2185</v>
      </c>
      <c r="I41" s="556"/>
      <c r="J41" s="581">
        <v>333.24</v>
      </c>
      <c r="K41" s="556">
        <v>0</v>
      </c>
      <c r="L41" s="582">
        <v>17.75</v>
      </c>
      <c r="M41" s="583">
        <v>18.100000000000001</v>
      </c>
      <c r="N41" s="556">
        <v>17.925000000000001</v>
      </c>
      <c r="O41" s="556">
        <v>17.925000000000001</v>
      </c>
      <c r="P41" s="580"/>
      <c r="Q41" s="587" t="s">
        <v>1935</v>
      </c>
    </row>
    <row r="42" spans="1:17" ht="45">
      <c r="A42" s="555">
        <v>46050</v>
      </c>
      <c r="B42" s="559" t="s">
        <v>2106</v>
      </c>
      <c r="C42" s="571" t="s">
        <v>2114</v>
      </c>
      <c r="D42" s="556" t="s">
        <v>2112</v>
      </c>
      <c r="E42" s="557">
        <v>46191</v>
      </c>
      <c r="F42" s="556" t="s">
        <v>1926</v>
      </c>
      <c r="G42" s="556" t="s">
        <v>194</v>
      </c>
      <c r="H42" s="556" t="s">
        <v>2186</v>
      </c>
      <c r="I42" s="556"/>
      <c r="J42" s="581">
        <v>333.24</v>
      </c>
      <c r="K42" s="556">
        <v>0</v>
      </c>
      <c r="L42" s="582">
        <v>14.35</v>
      </c>
      <c r="M42" s="583">
        <v>14.7</v>
      </c>
      <c r="N42" s="556">
        <v>14.524999999999999</v>
      </c>
      <c r="O42" s="556">
        <v>14.524999999999999</v>
      </c>
      <c r="P42" s="580"/>
      <c r="Q42" s="587" t="s">
        <v>1935</v>
      </c>
    </row>
    <row r="43" spans="1:17" ht="45">
      <c r="A43" s="555">
        <v>46050</v>
      </c>
      <c r="B43" s="559" t="s">
        <v>2104</v>
      </c>
      <c r="C43" s="571" t="s">
        <v>2115</v>
      </c>
      <c r="D43" s="556" t="s">
        <v>2112</v>
      </c>
      <c r="E43" s="557">
        <v>46191</v>
      </c>
      <c r="F43" s="556" t="s">
        <v>1926</v>
      </c>
      <c r="G43" s="556" t="s">
        <v>194</v>
      </c>
      <c r="H43" s="556" t="s">
        <v>2156</v>
      </c>
      <c r="I43" s="556"/>
      <c r="J43" s="581">
        <v>333.24</v>
      </c>
      <c r="K43" s="556">
        <v>0</v>
      </c>
      <c r="L43" s="582">
        <v>23.95</v>
      </c>
      <c r="M43" s="583">
        <v>24.35</v>
      </c>
      <c r="N43" s="556">
        <v>24.15</v>
      </c>
      <c r="O43" s="556">
        <v>24.15</v>
      </c>
      <c r="P43" s="580"/>
      <c r="Q43" s="587" t="s">
        <v>1935</v>
      </c>
    </row>
    <row r="44" spans="1:17" ht="45">
      <c r="A44" s="555">
        <v>46050</v>
      </c>
      <c r="B44" s="559" t="s">
        <v>2108</v>
      </c>
      <c r="C44" s="571" t="s">
        <v>2116</v>
      </c>
      <c r="D44" s="556" t="s">
        <v>2071</v>
      </c>
      <c r="E44" s="557">
        <v>46129</v>
      </c>
      <c r="F44" s="556" t="s">
        <v>1926</v>
      </c>
      <c r="G44" s="556" t="s">
        <v>194</v>
      </c>
      <c r="H44" s="556" t="s">
        <v>2187</v>
      </c>
      <c r="I44" s="556"/>
      <c r="J44" s="581">
        <v>668.73</v>
      </c>
      <c r="K44" s="556">
        <v>0</v>
      </c>
      <c r="L44" s="582">
        <v>16.7</v>
      </c>
      <c r="M44" s="583">
        <v>17.100000000000001</v>
      </c>
      <c r="N44" s="556">
        <v>16.899999999999999</v>
      </c>
      <c r="O44" s="556">
        <v>16.899999999999999</v>
      </c>
      <c r="P44" s="580"/>
      <c r="Q44" s="587" t="s">
        <v>1935</v>
      </c>
    </row>
    <row r="45" spans="1:17" ht="45">
      <c r="A45" s="555">
        <v>46050</v>
      </c>
      <c r="B45" s="559" t="s">
        <v>2100</v>
      </c>
      <c r="C45" s="571" t="s">
        <v>2117</v>
      </c>
      <c r="D45" s="556" t="s">
        <v>1938</v>
      </c>
      <c r="E45" s="557">
        <v>46101</v>
      </c>
      <c r="F45" s="556" t="s">
        <v>1931</v>
      </c>
      <c r="G45" s="556" t="s">
        <v>194</v>
      </c>
      <c r="H45" s="556" t="s">
        <v>2168</v>
      </c>
      <c r="I45" s="556"/>
      <c r="J45" s="581">
        <v>342.3</v>
      </c>
      <c r="K45" s="556">
        <v>12.300000000000011</v>
      </c>
      <c r="L45" s="582">
        <v>25.8</v>
      </c>
      <c r="M45" s="583">
        <v>27.4</v>
      </c>
      <c r="N45" s="556">
        <v>26.6</v>
      </c>
      <c r="O45" s="556">
        <v>26.6</v>
      </c>
      <c r="P45" s="580"/>
      <c r="Q45" s="587" t="s">
        <v>1935</v>
      </c>
    </row>
    <row r="46" spans="1:17" ht="45">
      <c r="A46" s="555">
        <v>46050</v>
      </c>
      <c r="B46" s="559" t="s">
        <v>2099</v>
      </c>
      <c r="C46" s="571" t="s">
        <v>2118</v>
      </c>
      <c r="D46" s="556" t="s">
        <v>1938</v>
      </c>
      <c r="E46" s="557">
        <v>46101</v>
      </c>
      <c r="F46" s="556" t="s">
        <v>1931</v>
      </c>
      <c r="G46" s="556" t="s">
        <v>194</v>
      </c>
      <c r="H46" s="556" t="s">
        <v>2156</v>
      </c>
      <c r="I46" s="556"/>
      <c r="J46" s="581">
        <v>342.3</v>
      </c>
      <c r="K46" s="556">
        <v>42.300000000000011</v>
      </c>
      <c r="L46" s="582">
        <v>47.9</v>
      </c>
      <c r="M46" s="583">
        <v>49.5</v>
      </c>
      <c r="N46" s="556">
        <v>48.7</v>
      </c>
      <c r="O46" s="556">
        <v>48.7</v>
      </c>
      <c r="P46" s="580"/>
      <c r="Q46" s="587" t="s">
        <v>1935</v>
      </c>
    </row>
    <row r="47" spans="1:17" ht="45">
      <c r="A47" s="555">
        <v>46050</v>
      </c>
      <c r="B47" s="559" t="s">
        <v>2109</v>
      </c>
      <c r="C47" s="571" t="s">
        <v>2119</v>
      </c>
      <c r="D47" s="556" t="s">
        <v>2071</v>
      </c>
      <c r="E47" s="557">
        <v>46129</v>
      </c>
      <c r="F47" s="556" t="s">
        <v>1926</v>
      </c>
      <c r="G47" s="556" t="s">
        <v>194</v>
      </c>
      <c r="H47" s="556" t="s">
        <v>2188</v>
      </c>
      <c r="I47" s="556"/>
      <c r="J47" s="581">
        <v>668.73</v>
      </c>
      <c r="K47" s="556">
        <v>0</v>
      </c>
      <c r="L47" s="582">
        <v>10.199999999999999</v>
      </c>
      <c r="M47" s="583">
        <v>10.45</v>
      </c>
      <c r="N47" s="556">
        <v>10.324999999999999</v>
      </c>
      <c r="O47" s="556">
        <v>10.324999999999999</v>
      </c>
      <c r="P47" s="580"/>
      <c r="Q47" s="587" t="s">
        <v>1935</v>
      </c>
    </row>
    <row r="48" spans="1:17">
      <c r="A48" s="555">
        <v>46050</v>
      </c>
      <c r="B48" s="584" t="s">
        <v>2228</v>
      </c>
      <c r="C48" s="571" t="s">
        <v>2232</v>
      </c>
      <c r="D48" s="556" t="s">
        <v>1938</v>
      </c>
      <c r="E48" s="557">
        <v>46191</v>
      </c>
      <c r="F48" s="556" t="s">
        <v>1931</v>
      </c>
      <c r="G48" s="556" t="s">
        <v>194</v>
      </c>
      <c r="H48" s="556" t="s">
        <v>2233</v>
      </c>
      <c r="I48" s="556"/>
      <c r="J48" s="581">
        <v>342.3</v>
      </c>
      <c r="K48" s="556">
        <v>2.3000000000000114</v>
      </c>
      <c r="L48" s="582">
        <v>35.299999999999997</v>
      </c>
      <c r="M48" s="583">
        <v>36.75</v>
      </c>
      <c r="N48" s="556">
        <v>36.024999999999999</v>
      </c>
      <c r="O48" s="556">
        <v>36.024999999999999</v>
      </c>
      <c r="P48" s="580"/>
      <c r="Q48" s="587" t="s">
        <v>1935</v>
      </c>
    </row>
    <row r="49" spans="1:17">
      <c r="A49" s="555">
        <v>46050</v>
      </c>
      <c r="B49" s="584" t="s">
        <v>2229</v>
      </c>
      <c r="C49" s="571" t="s">
        <v>2234</v>
      </c>
      <c r="D49" s="556" t="s">
        <v>1938</v>
      </c>
      <c r="E49" s="557">
        <v>46191</v>
      </c>
      <c r="F49" s="556" t="s">
        <v>1931</v>
      </c>
      <c r="G49" s="556" t="s">
        <v>194</v>
      </c>
      <c r="H49" s="556" t="s">
        <v>2235</v>
      </c>
      <c r="I49" s="556"/>
      <c r="J49" s="581">
        <v>342.3</v>
      </c>
      <c r="K49" s="556">
        <v>0</v>
      </c>
      <c r="L49" s="582">
        <v>19.05</v>
      </c>
      <c r="M49" s="583">
        <v>20.95</v>
      </c>
      <c r="N49" s="556">
        <v>20</v>
      </c>
      <c r="O49" s="556">
        <v>20</v>
      </c>
      <c r="P49" s="580"/>
      <c r="Q49" s="587" t="s">
        <v>1935</v>
      </c>
    </row>
    <row r="50" spans="1:17">
      <c r="A50" s="555">
        <v>46050</v>
      </c>
      <c r="B50" s="584" t="s">
        <v>2227</v>
      </c>
      <c r="C50" s="571" t="s">
        <v>2236</v>
      </c>
      <c r="D50" s="556" t="s">
        <v>2237</v>
      </c>
      <c r="E50" s="557">
        <v>46073</v>
      </c>
      <c r="F50" s="556" t="s">
        <v>1931</v>
      </c>
      <c r="G50" s="556" t="s">
        <v>194</v>
      </c>
      <c r="H50" s="556" t="s">
        <v>2238</v>
      </c>
      <c r="I50" s="556"/>
      <c r="J50" s="576">
        <v>33.659999999999997</v>
      </c>
      <c r="K50" s="556">
        <v>0</v>
      </c>
      <c r="L50" s="577">
        <v>0.19853002618209437</v>
      </c>
      <c r="M50" s="578">
        <v>0.19853002618209437</v>
      </c>
      <c r="N50" s="556">
        <v>0.19853002618209437</v>
      </c>
      <c r="O50" s="556">
        <v>0.20057896691016081</v>
      </c>
      <c r="P50" s="580">
        <v>18.965941103451083</v>
      </c>
      <c r="Q50" s="587" t="s">
        <v>1928</v>
      </c>
    </row>
    <row r="51" spans="1:17">
      <c r="A51" s="555">
        <v>46050</v>
      </c>
      <c r="B51" s="584" t="s">
        <v>2267</v>
      </c>
      <c r="C51" s="571" t="s">
        <v>2269</v>
      </c>
      <c r="D51" s="556" t="s">
        <v>2270</v>
      </c>
      <c r="E51" s="557">
        <v>46283</v>
      </c>
      <c r="F51" s="556" t="s">
        <v>1931</v>
      </c>
      <c r="G51" s="556" t="s">
        <v>194</v>
      </c>
      <c r="H51" s="556" t="s">
        <v>2271</v>
      </c>
      <c r="I51" s="556"/>
      <c r="J51" s="581">
        <v>112.16</v>
      </c>
      <c r="K51" s="556">
        <v>0</v>
      </c>
      <c r="L51" s="582">
        <v>16.75</v>
      </c>
      <c r="M51" s="583">
        <v>16.95</v>
      </c>
      <c r="N51" s="556">
        <v>16.850000000000001</v>
      </c>
      <c r="O51" s="556">
        <v>16.850000000000001</v>
      </c>
      <c r="P51" s="580"/>
      <c r="Q51" s="587" t="s">
        <v>1935</v>
      </c>
    </row>
    <row r="52" spans="1:17">
      <c r="A52" s="555">
        <v>46050</v>
      </c>
      <c r="B52" s="584" t="s">
        <v>2266</v>
      </c>
      <c r="C52" s="571" t="s">
        <v>2272</v>
      </c>
      <c r="D52" s="556" t="s">
        <v>2270</v>
      </c>
      <c r="E52" s="557">
        <v>46283</v>
      </c>
      <c r="F52" s="556" t="s">
        <v>1931</v>
      </c>
      <c r="G52" s="556" t="s">
        <v>194</v>
      </c>
      <c r="H52" s="556" t="s">
        <v>2273</v>
      </c>
      <c r="I52" s="556"/>
      <c r="J52" s="581">
        <v>112.16</v>
      </c>
      <c r="K52" s="556">
        <v>7.1599999999999966</v>
      </c>
      <c r="L52" s="582">
        <v>19.95</v>
      </c>
      <c r="M52" s="583">
        <v>22.3</v>
      </c>
      <c r="N52" s="556">
        <v>21.125</v>
      </c>
      <c r="O52" s="556">
        <v>21.125</v>
      </c>
      <c r="P52" s="580"/>
      <c r="Q52" s="587" t="s">
        <v>1935</v>
      </c>
    </row>
    <row r="53" spans="1:17">
      <c r="A53" s="555">
        <v>46050</v>
      </c>
      <c r="B53" s="584" t="s">
        <v>2277</v>
      </c>
      <c r="C53" s="571" t="s">
        <v>2283</v>
      </c>
      <c r="D53" s="556" t="s">
        <v>2284</v>
      </c>
      <c r="E53" s="557">
        <v>46073</v>
      </c>
      <c r="F53" s="556" t="s">
        <v>1931</v>
      </c>
      <c r="G53" s="556" t="s">
        <v>194</v>
      </c>
      <c r="H53" s="556" t="s">
        <v>2285</v>
      </c>
      <c r="I53" s="556"/>
      <c r="J53" s="581">
        <v>527.63</v>
      </c>
      <c r="K53" s="556">
        <v>27.629999999999995</v>
      </c>
      <c r="L53" s="582">
        <v>72</v>
      </c>
      <c r="M53" s="583">
        <v>72.900000000000006</v>
      </c>
      <c r="N53" s="556">
        <v>72.45</v>
      </c>
      <c r="O53" s="556">
        <v>72.45</v>
      </c>
      <c r="P53" s="580"/>
      <c r="Q53" s="587" t="s">
        <v>1935</v>
      </c>
    </row>
    <row r="54" spans="1:17">
      <c r="A54" s="555">
        <v>46050</v>
      </c>
      <c r="B54" s="584" t="s">
        <v>2286</v>
      </c>
      <c r="C54" s="571" t="s">
        <v>2287</v>
      </c>
      <c r="D54" s="556" t="s">
        <v>1936</v>
      </c>
      <c r="E54" s="557">
        <v>46073</v>
      </c>
      <c r="F54" s="556" t="s">
        <v>1931</v>
      </c>
      <c r="G54" s="556" t="s">
        <v>194</v>
      </c>
      <c r="H54" s="556" t="s">
        <v>2238</v>
      </c>
      <c r="I54" s="556"/>
      <c r="J54" s="581">
        <v>38.33</v>
      </c>
      <c r="K54" s="556">
        <v>3.3299999999999983</v>
      </c>
      <c r="L54" s="582">
        <v>3.4</v>
      </c>
      <c r="M54" s="583">
        <v>3.8</v>
      </c>
      <c r="N54" s="556">
        <v>3.5999999999999996</v>
      </c>
      <c r="O54" s="556">
        <v>3.5999999999999996</v>
      </c>
      <c r="P54" s="580"/>
      <c r="Q54" s="587" t="s">
        <v>1935</v>
      </c>
    </row>
    <row r="55" spans="1:17">
      <c r="A55" s="555">
        <v>46050</v>
      </c>
      <c r="B55" s="554" t="s">
        <v>2278</v>
      </c>
      <c r="C55" s="571" t="s">
        <v>2288</v>
      </c>
      <c r="D55" s="556" t="s">
        <v>2061</v>
      </c>
      <c r="E55" s="557">
        <v>46101</v>
      </c>
      <c r="F55" s="556" t="s">
        <v>1926</v>
      </c>
      <c r="G55" s="556" t="s">
        <v>194</v>
      </c>
      <c r="H55" s="556" t="s">
        <v>2289</v>
      </c>
      <c r="I55" s="556"/>
      <c r="J55" s="581">
        <v>83.62</v>
      </c>
      <c r="K55" s="556">
        <v>0</v>
      </c>
      <c r="L55" s="582">
        <v>2.1800000000000002</v>
      </c>
      <c r="M55" s="583">
        <v>2.35</v>
      </c>
      <c r="N55" s="556">
        <v>2.2650000000000001</v>
      </c>
      <c r="O55" s="556">
        <v>2.2650000000000001</v>
      </c>
      <c r="P55" s="580"/>
      <c r="Q55" s="587" t="s">
        <v>1935</v>
      </c>
    </row>
    <row r="56" spans="1:17">
      <c r="A56" s="555">
        <v>46050</v>
      </c>
      <c r="B56" s="554" t="s">
        <v>2291</v>
      </c>
      <c r="C56" s="571" t="s">
        <v>2308</v>
      </c>
      <c r="D56" s="556" t="s">
        <v>2284</v>
      </c>
      <c r="E56" s="557">
        <v>46073</v>
      </c>
      <c r="F56" s="556" t="s">
        <v>1931</v>
      </c>
      <c r="G56" s="556" t="s">
        <v>194</v>
      </c>
      <c r="H56" s="556" t="s">
        <v>2163</v>
      </c>
      <c r="I56" s="556"/>
      <c r="J56" s="581">
        <v>527.63</v>
      </c>
      <c r="K56" s="556">
        <v>0</v>
      </c>
      <c r="L56" s="582">
        <v>47.6</v>
      </c>
      <c r="M56" s="583">
        <v>50.5</v>
      </c>
      <c r="N56" s="556">
        <v>49.05</v>
      </c>
      <c r="O56" s="556">
        <v>49.05</v>
      </c>
      <c r="P56" s="580"/>
      <c r="Q56" s="587" t="s">
        <v>1935</v>
      </c>
    </row>
    <row r="57" spans="1:17">
      <c r="A57" s="555">
        <v>46050</v>
      </c>
      <c r="B57" s="554" t="s">
        <v>2298</v>
      </c>
      <c r="C57" s="571" t="s">
        <v>2309</v>
      </c>
      <c r="D57" s="556" t="s">
        <v>2071</v>
      </c>
      <c r="E57" s="557">
        <v>46220</v>
      </c>
      <c r="F57" s="556" t="s">
        <v>1931</v>
      </c>
      <c r="G57" s="556" t="s">
        <v>194</v>
      </c>
      <c r="H57" s="556" t="s">
        <v>2310</v>
      </c>
      <c r="I57" s="556"/>
      <c r="J57" s="581">
        <v>668.73</v>
      </c>
      <c r="K57" s="556">
        <v>0</v>
      </c>
      <c r="L57" s="582">
        <v>70.2</v>
      </c>
      <c r="M57" s="583">
        <v>73.45</v>
      </c>
      <c r="N57" s="556">
        <v>71.825000000000003</v>
      </c>
      <c r="O57" s="556">
        <v>71.825000000000003</v>
      </c>
      <c r="P57" s="580"/>
      <c r="Q57" s="587" t="s">
        <v>1935</v>
      </c>
    </row>
    <row r="58" spans="1:17">
      <c r="A58" s="555">
        <v>46050</v>
      </c>
      <c r="B58" s="554" t="s">
        <v>2297</v>
      </c>
      <c r="C58" s="571" t="s">
        <v>2311</v>
      </c>
      <c r="D58" s="556" t="s">
        <v>2033</v>
      </c>
      <c r="E58" s="557">
        <v>46220</v>
      </c>
      <c r="F58" s="556" t="s">
        <v>1931</v>
      </c>
      <c r="G58" s="556" t="s">
        <v>194</v>
      </c>
      <c r="H58" s="556" t="s">
        <v>2312</v>
      </c>
      <c r="I58" s="556"/>
      <c r="J58" s="581">
        <v>243.01</v>
      </c>
      <c r="K58" s="556">
        <v>0</v>
      </c>
      <c r="L58" s="582">
        <v>24</v>
      </c>
      <c r="M58" s="583">
        <v>25</v>
      </c>
      <c r="N58" s="556">
        <v>24.5</v>
      </c>
      <c r="O58" s="556">
        <v>24.5</v>
      </c>
      <c r="P58" s="580"/>
      <c r="Q58" s="587" t="s">
        <v>1935</v>
      </c>
    </row>
    <row r="59" spans="1:17">
      <c r="A59" s="555">
        <v>46050</v>
      </c>
      <c r="B59" s="580" t="s">
        <v>2313</v>
      </c>
      <c r="C59" s="571" t="s">
        <v>2314</v>
      </c>
      <c r="D59" s="556" t="s">
        <v>2315</v>
      </c>
      <c r="E59" s="557">
        <v>46366</v>
      </c>
      <c r="F59" s="556" t="s">
        <v>1931</v>
      </c>
      <c r="G59" s="556" t="s">
        <v>2110</v>
      </c>
      <c r="H59" s="556" t="s">
        <v>2316</v>
      </c>
      <c r="I59" s="556"/>
      <c r="J59" s="576">
        <v>758.72</v>
      </c>
      <c r="K59" s="556">
        <v>0</v>
      </c>
      <c r="L59" s="576">
        <v>20.150334838468517</v>
      </c>
      <c r="M59" s="576">
        <v>20.150334838468517</v>
      </c>
      <c r="N59" s="576">
        <v>20.150334838468517</v>
      </c>
      <c r="O59" s="576">
        <v>20.114374126400332</v>
      </c>
      <c r="P59" s="556">
        <v>28.951956358903004</v>
      </c>
      <c r="Q59" s="587" t="s">
        <v>1928</v>
      </c>
    </row>
    <row r="60" spans="1:17">
      <c r="A60" s="555">
        <v>46050</v>
      </c>
      <c r="B60" s="554" t="s">
        <v>2295</v>
      </c>
      <c r="C60" s="571" t="s">
        <v>2317</v>
      </c>
      <c r="D60" s="556" t="s">
        <v>2081</v>
      </c>
      <c r="E60" s="557">
        <v>46101</v>
      </c>
      <c r="F60" s="556" t="s">
        <v>1931</v>
      </c>
      <c r="G60" s="556" t="s">
        <v>194</v>
      </c>
      <c r="H60" s="556" t="s">
        <v>2318</v>
      </c>
      <c r="I60" s="556"/>
      <c r="J60" s="581">
        <v>385</v>
      </c>
      <c r="K60" s="556">
        <v>0</v>
      </c>
      <c r="L60" s="582">
        <v>48.1</v>
      </c>
      <c r="M60" s="583">
        <v>51.3</v>
      </c>
      <c r="N60" s="556">
        <v>49.7</v>
      </c>
      <c r="O60" s="556">
        <v>49.7</v>
      </c>
      <c r="P60" s="580"/>
      <c r="Q60" s="587" t="s">
        <v>1935</v>
      </c>
    </row>
    <row r="61" spans="1:17">
      <c r="A61" s="555">
        <v>46050</v>
      </c>
      <c r="B61" s="554" t="s">
        <v>2300</v>
      </c>
      <c r="C61" s="571" t="s">
        <v>2319</v>
      </c>
      <c r="D61" s="556" t="s">
        <v>1937</v>
      </c>
      <c r="E61" s="557">
        <v>46220</v>
      </c>
      <c r="F61" s="556" t="s">
        <v>1931</v>
      </c>
      <c r="G61" s="556" t="s">
        <v>194</v>
      </c>
      <c r="H61" s="556" t="s">
        <v>2171</v>
      </c>
      <c r="I61" s="556"/>
      <c r="J61" s="581">
        <v>481.63</v>
      </c>
      <c r="K61" s="556">
        <v>16.629999999999995</v>
      </c>
      <c r="L61" s="582">
        <v>49.25</v>
      </c>
      <c r="M61" s="583">
        <v>51.15</v>
      </c>
      <c r="N61" s="556">
        <v>50.2</v>
      </c>
      <c r="O61" s="556">
        <v>50.2</v>
      </c>
      <c r="P61" s="580"/>
      <c r="Q61" s="587" t="s">
        <v>1935</v>
      </c>
    </row>
    <row r="62" spans="1:17">
      <c r="A62" s="555">
        <v>46050</v>
      </c>
      <c r="B62" s="554" t="s">
        <v>2306</v>
      </c>
      <c r="C62" s="571" t="s">
        <v>2320</v>
      </c>
      <c r="D62" s="556" t="s">
        <v>1951</v>
      </c>
      <c r="E62" s="557">
        <v>46059</v>
      </c>
      <c r="F62" s="556" t="s">
        <v>1931</v>
      </c>
      <c r="G62" s="556" t="s">
        <v>194</v>
      </c>
      <c r="H62" s="556" t="s">
        <v>2321</v>
      </c>
      <c r="I62" s="556"/>
      <c r="J62" s="581">
        <v>633.22</v>
      </c>
      <c r="K62" s="556">
        <v>3.2200000000000273</v>
      </c>
      <c r="L62" s="582">
        <v>10.119999999999999</v>
      </c>
      <c r="M62" s="583">
        <v>10.65</v>
      </c>
      <c r="N62" s="556">
        <v>10.385</v>
      </c>
      <c r="O62" s="556">
        <v>10.385</v>
      </c>
      <c r="P62" s="580"/>
      <c r="Q62" s="587" t="s">
        <v>1935</v>
      </c>
    </row>
    <row r="63" spans="1:17">
      <c r="A63" s="555">
        <v>46050</v>
      </c>
      <c r="B63" s="570" t="s">
        <v>2343</v>
      </c>
      <c r="C63" s="571" t="s">
        <v>2344</v>
      </c>
      <c r="D63" s="556" t="s">
        <v>1936</v>
      </c>
      <c r="E63" s="557">
        <v>46073</v>
      </c>
      <c r="F63" s="556" t="s">
        <v>1931</v>
      </c>
      <c r="G63" s="556" t="s">
        <v>194</v>
      </c>
      <c r="H63" s="556" t="s">
        <v>2345</v>
      </c>
      <c r="I63" s="556"/>
      <c r="J63" s="581">
        <v>38.33</v>
      </c>
      <c r="K63" s="556">
        <v>1.3299999999999983</v>
      </c>
      <c r="L63" s="582">
        <v>1.98</v>
      </c>
      <c r="M63" s="583">
        <v>2.21</v>
      </c>
      <c r="N63" s="556">
        <v>2.0949999999999998</v>
      </c>
      <c r="O63" s="556">
        <v>2.0949999999999998</v>
      </c>
      <c r="P63" s="580"/>
      <c r="Q63" s="587" t="s">
        <v>1935</v>
      </c>
    </row>
    <row r="64" spans="1:17">
      <c r="A64" s="555">
        <v>46050</v>
      </c>
      <c r="B64" s="570" t="s">
        <v>2340</v>
      </c>
      <c r="C64" s="571" t="s">
        <v>2346</v>
      </c>
      <c r="D64" s="556" t="s">
        <v>2347</v>
      </c>
      <c r="E64" s="557">
        <v>46220</v>
      </c>
      <c r="F64" s="556" t="s">
        <v>1931</v>
      </c>
      <c r="G64" s="556" t="s">
        <v>194</v>
      </c>
      <c r="H64" s="556" t="s">
        <v>2348</v>
      </c>
      <c r="I64" s="556"/>
      <c r="J64" s="581">
        <v>48.78</v>
      </c>
      <c r="K64" s="556">
        <v>0</v>
      </c>
      <c r="L64" s="582">
        <v>7.5</v>
      </c>
      <c r="M64" s="583">
        <v>7.75</v>
      </c>
      <c r="N64" s="556">
        <v>7.625</v>
      </c>
      <c r="O64" s="556">
        <v>7.625</v>
      </c>
      <c r="P64" s="580"/>
      <c r="Q64" s="587" t="s">
        <v>1935</v>
      </c>
    </row>
    <row r="65" spans="1:17">
      <c r="A65" s="555">
        <v>46050</v>
      </c>
      <c r="B65" s="570" t="s">
        <v>2341</v>
      </c>
      <c r="C65" s="571" t="s">
        <v>2349</v>
      </c>
      <c r="D65" s="556" t="s">
        <v>2347</v>
      </c>
      <c r="E65" s="557">
        <v>46220</v>
      </c>
      <c r="F65" s="556" t="s">
        <v>1931</v>
      </c>
      <c r="G65" s="556" t="s">
        <v>194</v>
      </c>
      <c r="H65" s="556" t="s">
        <v>2350</v>
      </c>
      <c r="I65" s="556"/>
      <c r="J65" s="581">
        <v>48.78</v>
      </c>
      <c r="K65" s="556">
        <v>0</v>
      </c>
      <c r="L65" s="582">
        <v>4.55</v>
      </c>
      <c r="M65" s="583">
        <v>4.8</v>
      </c>
      <c r="N65" s="556">
        <v>4.6749999999999998</v>
      </c>
      <c r="O65" s="556">
        <v>4.6749999999999998</v>
      </c>
      <c r="P65" s="580"/>
      <c r="Q65" s="587" t="s">
        <v>1935</v>
      </c>
    </row>
    <row r="66" spans="1:17">
      <c r="A66" s="555">
        <v>46050</v>
      </c>
      <c r="B66" s="570" t="s">
        <v>2339</v>
      </c>
      <c r="C66" s="571" t="s">
        <v>2351</v>
      </c>
      <c r="D66" s="556" t="s">
        <v>2347</v>
      </c>
      <c r="E66" s="557">
        <v>46220</v>
      </c>
      <c r="F66" s="556" t="s">
        <v>1926</v>
      </c>
      <c r="G66" s="556" t="s">
        <v>194</v>
      </c>
      <c r="H66" s="556" t="s">
        <v>2352</v>
      </c>
      <c r="I66" s="556"/>
      <c r="J66" s="581">
        <v>48.78</v>
      </c>
      <c r="K66" s="556">
        <v>0</v>
      </c>
      <c r="L66" s="582">
        <v>3</v>
      </c>
      <c r="M66" s="583">
        <v>3.3</v>
      </c>
      <c r="N66" s="556">
        <v>3.15</v>
      </c>
      <c r="O66" s="556">
        <v>3.15</v>
      </c>
      <c r="P66" s="580"/>
      <c r="Q66" s="587" t="s">
        <v>1935</v>
      </c>
    </row>
    <row r="67" spans="1:17">
      <c r="A67" s="555">
        <v>46050</v>
      </c>
      <c r="B67" s="570" t="s">
        <v>2342</v>
      </c>
      <c r="C67" s="571" t="s">
        <v>2353</v>
      </c>
      <c r="D67" s="556" t="s">
        <v>1937</v>
      </c>
      <c r="E67" s="557">
        <v>46220</v>
      </c>
      <c r="F67" s="556" t="s">
        <v>1931</v>
      </c>
      <c r="G67" s="556" t="s">
        <v>194</v>
      </c>
      <c r="H67" s="556" t="s">
        <v>2354</v>
      </c>
      <c r="I67" s="556"/>
      <c r="J67" s="581">
        <v>481.63</v>
      </c>
      <c r="K67" s="556">
        <v>6.6299999999999955</v>
      </c>
      <c r="L67" s="582">
        <v>43.7</v>
      </c>
      <c r="M67" s="583">
        <v>45.4</v>
      </c>
      <c r="N67" s="556">
        <v>44.55</v>
      </c>
      <c r="O67" s="556">
        <v>44.55</v>
      </c>
      <c r="P67" s="580"/>
      <c r="Q67" s="587" t="s">
        <v>1935</v>
      </c>
    </row>
    <row r="68" spans="1:17">
      <c r="A68" s="555">
        <v>46050</v>
      </c>
      <c r="B68" s="584" t="s">
        <v>2371</v>
      </c>
      <c r="C68" s="571" t="s">
        <v>2387</v>
      </c>
      <c r="D68" s="556" t="s">
        <v>1937</v>
      </c>
      <c r="E68" s="557">
        <v>46220</v>
      </c>
      <c r="F68" s="556" t="s">
        <v>1931</v>
      </c>
      <c r="G68" s="556" t="s">
        <v>194</v>
      </c>
      <c r="H68" s="556" t="s">
        <v>2285</v>
      </c>
      <c r="I68" s="556"/>
      <c r="J68" s="581">
        <v>481.63</v>
      </c>
      <c r="K68" s="556">
        <v>0</v>
      </c>
      <c r="L68" s="582">
        <v>31.75</v>
      </c>
      <c r="M68" s="583">
        <v>32.049999999999997</v>
      </c>
      <c r="N68" s="556">
        <v>31.9</v>
      </c>
      <c r="O68" s="556">
        <v>31.9</v>
      </c>
      <c r="P68" s="580"/>
      <c r="Q68" s="587" t="s">
        <v>1935</v>
      </c>
    </row>
    <row r="69" spans="1:17">
      <c r="A69" s="555">
        <v>46050</v>
      </c>
      <c r="B69" s="584" t="s">
        <v>2388</v>
      </c>
      <c r="C69" s="571" t="s">
        <v>2389</v>
      </c>
      <c r="D69" s="556" t="s">
        <v>2390</v>
      </c>
      <c r="E69" s="557">
        <v>46129</v>
      </c>
      <c r="F69" s="556" t="s">
        <v>1931</v>
      </c>
      <c r="G69" s="556" t="s">
        <v>194</v>
      </c>
      <c r="H69" s="556" t="s">
        <v>2391</v>
      </c>
      <c r="I69" s="556"/>
      <c r="J69" s="581">
        <v>60.75</v>
      </c>
      <c r="K69" s="556">
        <v>0</v>
      </c>
      <c r="L69" s="582">
        <v>2.29</v>
      </c>
      <c r="M69" s="583">
        <v>2.48</v>
      </c>
      <c r="N69" s="556">
        <v>2.3849999999999998</v>
      </c>
      <c r="O69" s="556">
        <v>2.3849999999999998</v>
      </c>
      <c r="P69" s="580"/>
      <c r="Q69" s="587" t="s">
        <v>1935</v>
      </c>
    </row>
    <row r="70" spans="1:17">
      <c r="A70" s="555">
        <v>46050</v>
      </c>
      <c r="B70" s="584" t="s">
        <v>2392</v>
      </c>
      <c r="C70" s="571" t="s">
        <v>2393</v>
      </c>
      <c r="D70" s="556" t="s">
        <v>2390</v>
      </c>
      <c r="E70" s="557">
        <v>46129</v>
      </c>
      <c r="F70" s="556" t="s">
        <v>1931</v>
      </c>
      <c r="G70" s="556" t="s">
        <v>194</v>
      </c>
      <c r="H70" s="556" t="s">
        <v>2394</v>
      </c>
      <c r="I70" s="556"/>
      <c r="J70" s="581">
        <v>60.75</v>
      </c>
      <c r="K70" s="556">
        <v>0</v>
      </c>
      <c r="L70" s="582">
        <v>0.81</v>
      </c>
      <c r="M70" s="583">
        <v>0.82</v>
      </c>
      <c r="N70" s="556">
        <v>0.81499999999999995</v>
      </c>
      <c r="O70" s="556">
        <v>0.81499999999999995</v>
      </c>
      <c r="P70" s="580"/>
      <c r="Q70" s="587" t="s">
        <v>1935</v>
      </c>
    </row>
    <row r="71" spans="1:17">
      <c r="A71" s="555">
        <v>46050</v>
      </c>
      <c r="B71" s="554" t="s">
        <v>2374</v>
      </c>
      <c r="C71" s="571" t="s">
        <v>2395</v>
      </c>
      <c r="D71" s="556" t="s">
        <v>1951</v>
      </c>
      <c r="E71" s="557">
        <v>46051</v>
      </c>
      <c r="F71" s="556" t="s">
        <v>1926</v>
      </c>
      <c r="G71" s="556" t="s">
        <v>194</v>
      </c>
      <c r="H71" s="556" t="s">
        <v>2396</v>
      </c>
      <c r="I71" s="556"/>
      <c r="J71" s="581">
        <v>633.22</v>
      </c>
      <c r="K71" s="556">
        <v>0</v>
      </c>
      <c r="L71" s="582">
        <v>1.21</v>
      </c>
      <c r="M71" s="583">
        <v>1.26</v>
      </c>
      <c r="N71" s="556">
        <v>1.2349999999999999</v>
      </c>
      <c r="O71" s="556">
        <v>1.2349999999999999</v>
      </c>
      <c r="P71" s="580"/>
      <c r="Q71" s="587" t="s">
        <v>1935</v>
      </c>
    </row>
    <row r="72" spans="1:17">
      <c r="A72" s="555">
        <v>46050</v>
      </c>
      <c r="B72" s="554" t="s">
        <v>2397</v>
      </c>
      <c r="C72" s="571" t="s">
        <v>2398</v>
      </c>
      <c r="D72" s="556" t="s">
        <v>2390</v>
      </c>
      <c r="E72" s="557">
        <v>46073</v>
      </c>
      <c r="F72" s="556" t="s">
        <v>1931</v>
      </c>
      <c r="G72" s="556" t="s">
        <v>194</v>
      </c>
      <c r="H72" s="556" t="s">
        <v>2391</v>
      </c>
      <c r="I72" s="556"/>
      <c r="J72" s="581">
        <v>60.75</v>
      </c>
      <c r="K72" s="556">
        <v>0</v>
      </c>
      <c r="L72" s="582">
        <v>1.18</v>
      </c>
      <c r="M72" s="583">
        <v>1.35</v>
      </c>
      <c r="N72" s="556">
        <v>1.2650000000000001</v>
      </c>
      <c r="O72" s="556">
        <v>1.2650000000000001</v>
      </c>
      <c r="P72" s="580"/>
      <c r="Q72" s="587" t="s">
        <v>1935</v>
      </c>
    </row>
    <row r="73" spans="1:17">
      <c r="A73" s="555">
        <v>46050</v>
      </c>
      <c r="B73" s="554" t="s">
        <v>2408</v>
      </c>
      <c r="C73" s="571" t="s">
        <v>2430</v>
      </c>
      <c r="D73" s="556" t="s">
        <v>2431</v>
      </c>
      <c r="E73" s="557">
        <v>46059</v>
      </c>
      <c r="F73" s="556" t="s">
        <v>1931</v>
      </c>
      <c r="G73" s="556" t="s">
        <v>194</v>
      </c>
      <c r="H73" s="556" t="s">
        <v>2432</v>
      </c>
      <c r="I73" s="556"/>
      <c r="J73" s="581">
        <v>191.52</v>
      </c>
      <c r="K73" s="556">
        <v>0</v>
      </c>
      <c r="L73" s="582">
        <v>2.34</v>
      </c>
      <c r="M73" s="583">
        <v>2.5499999999999998</v>
      </c>
      <c r="N73" s="556">
        <v>2.4449999999999998</v>
      </c>
      <c r="O73" s="556">
        <v>2.4449999999999998</v>
      </c>
      <c r="P73" s="580"/>
      <c r="Q73" s="587" t="s">
        <v>1935</v>
      </c>
    </row>
    <row r="74" spans="1:17">
      <c r="A74" s="555">
        <v>46050</v>
      </c>
      <c r="B74" s="554" t="s">
        <v>2409</v>
      </c>
      <c r="C74" s="571" t="s">
        <v>2433</v>
      </c>
      <c r="D74" s="556" t="s">
        <v>2431</v>
      </c>
      <c r="E74" s="557">
        <v>46066</v>
      </c>
      <c r="F74" s="556" t="s">
        <v>1931</v>
      </c>
      <c r="G74" s="556" t="s">
        <v>194</v>
      </c>
      <c r="H74" s="556" t="s">
        <v>2434</v>
      </c>
      <c r="I74" s="556"/>
      <c r="J74" s="581">
        <v>191.52</v>
      </c>
      <c r="K74" s="556">
        <v>0</v>
      </c>
      <c r="L74" s="582">
        <v>2.14</v>
      </c>
      <c r="M74" s="583">
        <v>2.1800000000000002</v>
      </c>
      <c r="N74" s="556">
        <v>2.16</v>
      </c>
      <c r="O74" s="556">
        <v>2.16</v>
      </c>
      <c r="P74" s="580"/>
      <c r="Q74" s="587" t="s">
        <v>1935</v>
      </c>
    </row>
    <row r="75" spans="1:17">
      <c r="A75" s="555">
        <v>46050</v>
      </c>
      <c r="B75" s="554" t="s">
        <v>2405</v>
      </c>
      <c r="C75" s="571" t="s">
        <v>2435</v>
      </c>
      <c r="D75" s="556" t="s">
        <v>2431</v>
      </c>
      <c r="E75" s="557">
        <v>46157</v>
      </c>
      <c r="F75" s="556" t="s">
        <v>1931</v>
      </c>
      <c r="G75" s="556" t="s">
        <v>194</v>
      </c>
      <c r="H75" s="556" t="s">
        <v>2167</v>
      </c>
      <c r="I75" s="556"/>
      <c r="J75" s="581">
        <v>191.52</v>
      </c>
      <c r="K75" s="556">
        <v>0</v>
      </c>
      <c r="L75" s="582">
        <v>14.85</v>
      </c>
      <c r="M75" s="583">
        <v>15.4</v>
      </c>
      <c r="N75" s="556">
        <v>15.125</v>
      </c>
      <c r="O75" s="556">
        <v>15.125</v>
      </c>
      <c r="P75" s="580"/>
      <c r="Q75" s="587" t="s">
        <v>1935</v>
      </c>
    </row>
    <row r="76" spans="1:17">
      <c r="A76" s="555">
        <v>46050</v>
      </c>
      <c r="B76" s="554" t="s">
        <v>2421</v>
      </c>
      <c r="C76" s="571" t="s">
        <v>2436</v>
      </c>
      <c r="D76" s="556" t="s">
        <v>2071</v>
      </c>
      <c r="E76" s="557">
        <v>46220</v>
      </c>
      <c r="F76" s="556" t="s">
        <v>1931</v>
      </c>
      <c r="G76" s="556" t="s">
        <v>194</v>
      </c>
      <c r="H76" s="556" t="s">
        <v>2437</v>
      </c>
      <c r="I76" s="556"/>
      <c r="J76" s="581">
        <v>668.73</v>
      </c>
      <c r="K76" s="556">
        <v>0</v>
      </c>
      <c r="L76" s="582">
        <v>57.3</v>
      </c>
      <c r="M76" s="583">
        <v>57.75</v>
      </c>
      <c r="N76" s="556">
        <v>57.524999999999999</v>
      </c>
      <c r="O76" s="556">
        <v>57.524999999999999</v>
      </c>
      <c r="P76" s="580"/>
      <c r="Q76" s="587" t="s">
        <v>1935</v>
      </c>
    </row>
    <row r="77" spans="1:17">
      <c r="A77" s="555">
        <v>46050</v>
      </c>
      <c r="B77" s="554" t="s">
        <v>2438</v>
      </c>
      <c r="C77" s="571" t="s">
        <v>2439</v>
      </c>
      <c r="D77" s="556" t="s">
        <v>1937</v>
      </c>
      <c r="E77" s="557">
        <v>46052</v>
      </c>
      <c r="F77" s="556" t="s">
        <v>1931</v>
      </c>
      <c r="G77" s="556" t="s">
        <v>194</v>
      </c>
      <c r="H77" s="556" t="s">
        <v>2169</v>
      </c>
      <c r="I77" s="556"/>
      <c r="J77" s="581">
        <v>481.63</v>
      </c>
      <c r="K77" s="556">
        <v>0</v>
      </c>
      <c r="L77" s="582">
        <v>9.15</v>
      </c>
      <c r="M77" s="583">
        <v>9.4</v>
      </c>
      <c r="N77" s="556">
        <v>9.2750000000000004</v>
      </c>
      <c r="O77" s="556">
        <v>9.2750000000000004</v>
      </c>
      <c r="P77" s="580"/>
      <c r="Q77" s="587" t="s">
        <v>1935</v>
      </c>
    </row>
    <row r="78" spans="1:17">
      <c r="A78" s="555">
        <v>46050</v>
      </c>
      <c r="B78" s="554" t="s">
        <v>2440</v>
      </c>
      <c r="C78" s="571" t="s">
        <v>2441</v>
      </c>
      <c r="D78" s="556" t="s">
        <v>2431</v>
      </c>
      <c r="E78" s="557">
        <v>46052</v>
      </c>
      <c r="F78" s="556" t="s">
        <v>1931</v>
      </c>
      <c r="G78" s="556" t="s">
        <v>194</v>
      </c>
      <c r="H78" s="556" t="s">
        <v>2442</v>
      </c>
      <c r="I78" s="556"/>
      <c r="J78" s="581">
        <v>191.52</v>
      </c>
      <c r="K78" s="556">
        <v>0</v>
      </c>
      <c r="L78" s="582">
        <v>1.2</v>
      </c>
      <c r="M78" s="583">
        <v>1.23</v>
      </c>
      <c r="N78" s="556">
        <v>1.2149999999999999</v>
      </c>
      <c r="O78" s="556">
        <v>1.2149999999999999</v>
      </c>
      <c r="P78" s="580"/>
      <c r="Q78" s="587" t="s">
        <v>1935</v>
      </c>
    </row>
    <row r="79" spans="1:17">
      <c r="A79" s="555">
        <v>46050</v>
      </c>
      <c r="B79" s="580" t="s">
        <v>2041</v>
      </c>
      <c r="C79" s="571" t="s">
        <v>2041</v>
      </c>
      <c r="D79" s="556" t="s">
        <v>1952</v>
      </c>
      <c r="E79" s="557">
        <v>46073</v>
      </c>
      <c r="F79" s="556" t="s">
        <v>1931</v>
      </c>
      <c r="G79" s="556" t="s">
        <v>194</v>
      </c>
      <c r="H79" s="556" t="s">
        <v>2189</v>
      </c>
      <c r="I79" s="556" t="s">
        <v>1927</v>
      </c>
      <c r="J79" s="581">
        <v>0.05</v>
      </c>
      <c r="K79" s="556">
        <v>0</v>
      </c>
      <c r="L79" s="582">
        <v>0</v>
      </c>
      <c r="M79" s="583">
        <v>0</v>
      </c>
      <c r="N79" s="556">
        <v>0</v>
      </c>
      <c r="O79" s="556">
        <v>1.9690820172158108E-3</v>
      </c>
      <c r="P79" s="580">
        <v>27.765231375565698</v>
      </c>
      <c r="Q79" s="587" t="s">
        <v>1953</v>
      </c>
    </row>
    <row r="80" spans="1:17">
      <c r="A80" s="555">
        <v>46050</v>
      </c>
      <c r="B80" s="580" t="s">
        <v>2042</v>
      </c>
      <c r="C80" s="571" t="s">
        <v>2042</v>
      </c>
      <c r="D80" s="556" t="s">
        <v>1952</v>
      </c>
      <c r="E80" s="557">
        <v>46073</v>
      </c>
      <c r="F80" s="556" t="s">
        <v>1926</v>
      </c>
      <c r="G80" s="556" t="s">
        <v>194</v>
      </c>
      <c r="H80" s="556" t="s">
        <v>2190</v>
      </c>
      <c r="I80" s="556" t="s">
        <v>1927</v>
      </c>
      <c r="J80" s="581">
        <v>0.13</v>
      </c>
      <c r="K80" s="556">
        <v>21.44</v>
      </c>
      <c r="L80" s="582">
        <v>0</v>
      </c>
      <c r="M80" s="583">
        <v>0</v>
      </c>
      <c r="N80" s="556">
        <v>0</v>
      </c>
      <c r="O80" s="556">
        <v>2.046624260536084E-2</v>
      </c>
      <c r="P80" s="580">
        <v>37.309564771386803</v>
      </c>
      <c r="Q80" s="587" t="s">
        <v>1953</v>
      </c>
    </row>
    <row r="81" spans="1:17">
      <c r="A81" s="555">
        <v>46050</v>
      </c>
      <c r="B81" s="580" t="s">
        <v>2043</v>
      </c>
      <c r="C81" s="571" t="s">
        <v>2043</v>
      </c>
      <c r="D81" s="556" t="s">
        <v>1952</v>
      </c>
      <c r="E81" s="557">
        <v>46073</v>
      </c>
      <c r="F81" s="556" t="s">
        <v>1926</v>
      </c>
      <c r="G81" s="556" t="s">
        <v>194</v>
      </c>
      <c r="H81" s="556" t="s">
        <v>2191</v>
      </c>
      <c r="I81" s="556" t="s">
        <v>1927</v>
      </c>
      <c r="J81" s="581">
        <v>1.38</v>
      </c>
      <c r="K81" s="556">
        <v>22.69</v>
      </c>
      <c r="L81" s="582">
        <v>0</v>
      </c>
      <c r="M81" s="583">
        <v>0</v>
      </c>
      <c r="N81" s="556">
        <v>0</v>
      </c>
      <c r="O81" s="556">
        <v>0.14768272971770158</v>
      </c>
      <c r="P81" s="580">
        <v>32.865641244111501</v>
      </c>
      <c r="Q81" s="587" t="s">
        <v>1953</v>
      </c>
    </row>
    <row r="82" spans="1:17">
      <c r="A82" s="555">
        <v>46050</v>
      </c>
      <c r="B82" s="580" t="s">
        <v>2044</v>
      </c>
      <c r="C82" s="571" t="s">
        <v>2044</v>
      </c>
      <c r="D82" s="556" t="s">
        <v>1952</v>
      </c>
      <c r="E82" s="557">
        <v>46073</v>
      </c>
      <c r="F82" s="556" t="s">
        <v>1931</v>
      </c>
      <c r="G82" s="556" t="s">
        <v>194</v>
      </c>
      <c r="H82" s="556" t="s">
        <v>2192</v>
      </c>
      <c r="I82" s="556" t="s">
        <v>1927</v>
      </c>
      <c r="J82" s="581">
        <v>0.04</v>
      </c>
      <c r="K82" s="556">
        <v>0</v>
      </c>
      <c r="L82" s="582">
        <v>0</v>
      </c>
      <c r="M82" s="583">
        <v>0</v>
      </c>
      <c r="N82" s="556">
        <v>0</v>
      </c>
      <c r="O82" s="556">
        <v>4.5037426896897564E-4</v>
      </c>
      <c r="P82" s="580">
        <v>26.988021982883801</v>
      </c>
      <c r="Q82" s="587" t="s">
        <v>1953</v>
      </c>
    </row>
    <row r="83" spans="1:17">
      <c r="A83" s="555">
        <v>46050</v>
      </c>
      <c r="B83" s="580" t="s">
        <v>2045</v>
      </c>
      <c r="C83" s="571" t="s">
        <v>2045</v>
      </c>
      <c r="D83" s="556" t="s">
        <v>1952</v>
      </c>
      <c r="E83" s="557">
        <v>46073</v>
      </c>
      <c r="F83" s="556" t="s">
        <v>1926</v>
      </c>
      <c r="G83" s="556" t="s">
        <v>194</v>
      </c>
      <c r="H83" s="556" t="s">
        <v>2193</v>
      </c>
      <c r="I83" s="556" t="s">
        <v>1927</v>
      </c>
      <c r="J83" s="581">
        <v>0.94</v>
      </c>
      <c r="K83" s="556">
        <v>22.88</v>
      </c>
      <c r="L83" s="582">
        <v>0</v>
      </c>
      <c r="M83" s="583">
        <v>0</v>
      </c>
      <c r="N83" s="556">
        <v>0</v>
      </c>
      <c r="O83" s="556">
        <v>0.12561286801604921</v>
      </c>
      <c r="P83" s="580">
        <v>33.309005270960199</v>
      </c>
      <c r="Q83" s="587" t="s">
        <v>1953</v>
      </c>
    </row>
    <row r="84" spans="1:17">
      <c r="A84" s="555">
        <v>46050</v>
      </c>
      <c r="B84" s="580" t="s">
        <v>2046</v>
      </c>
      <c r="C84" s="571" t="s">
        <v>2046</v>
      </c>
      <c r="D84" s="556" t="s">
        <v>1952</v>
      </c>
      <c r="E84" s="557">
        <v>46073</v>
      </c>
      <c r="F84" s="556" t="s">
        <v>1926</v>
      </c>
      <c r="G84" s="556" t="s">
        <v>194</v>
      </c>
      <c r="H84" s="556" t="s">
        <v>2194</v>
      </c>
      <c r="I84" s="556" t="s">
        <v>1927</v>
      </c>
      <c r="J84" s="581">
        <v>2.61</v>
      </c>
      <c r="K84" s="556">
        <v>23.71</v>
      </c>
      <c r="L84" s="582">
        <v>0</v>
      </c>
      <c r="M84" s="583">
        <v>0</v>
      </c>
      <c r="N84" s="556">
        <v>0</v>
      </c>
      <c r="O84" s="556">
        <v>0.45474672598545912</v>
      </c>
      <c r="P84" s="580">
        <v>29.306121684969401</v>
      </c>
      <c r="Q84" s="587" t="s">
        <v>1953</v>
      </c>
    </row>
    <row r="85" spans="1:17">
      <c r="A85" s="555">
        <v>46050</v>
      </c>
      <c r="B85" s="580" t="s">
        <v>2055</v>
      </c>
      <c r="C85" s="571" t="s">
        <v>2055</v>
      </c>
      <c r="D85" s="556" t="s">
        <v>2056</v>
      </c>
      <c r="E85" s="557">
        <v>46073</v>
      </c>
      <c r="F85" s="556" t="s">
        <v>1926</v>
      </c>
      <c r="G85" s="556" t="s">
        <v>194</v>
      </c>
      <c r="H85" s="556" t="s">
        <v>2195</v>
      </c>
      <c r="I85" s="556" t="s">
        <v>1927</v>
      </c>
      <c r="J85" s="581">
        <v>0.12</v>
      </c>
      <c r="K85" s="556">
        <v>18.88</v>
      </c>
      <c r="L85" s="582">
        <v>0</v>
      </c>
      <c r="M85" s="583">
        <v>0</v>
      </c>
      <c r="N85" s="556">
        <v>0</v>
      </c>
      <c r="O85" s="556">
        <v>4.3367856509644712E-2</v>
      </c>
      <c r="P85" s="580">
        <v>54.827074437080398</v>
      </c>
      <c r="Q85" s="587" t="s">
        <v>1953</v>
      </c>
    </row>
    <row r="86" spans="1:17">
      <c r="A86" s="555">
        <v>46050</v>
      </c>
      <c r="B86" s="580" t="s">
        <v>2057</v>
      </c>
      <c r="C86" s="571" t="s">
        <v>2057</v>
      </c>
      <c r="D86" s="556" t="s">
        <v>2056</v>
      </c>
      <c r="E86" s="557">
        <v>46073</v>
      </c>
      <c r="F86" s="556" t="s">
        <v>1926</v>
      </c>
      <c r="G86" s="556" t="s">
        <v>194</v>
      </c>
      <c r="H86" s="556" t="s">
        <v>2196</v>
      </c>
      <c r="I86" s="556" t="s">
        <v>1927</v>
      </c>
      <c r="J86" s="581">
        <v>0.41</v>
      </c>
      <c r="K86" s="556">
        <v>20.09</v>
      </c>
      <c r="L86" s="582">
        <v>0</v>
      </c>
      <c r="M86" s="583">
        <v>0</v>
      </c>
      <c r="N86" s="556">
        <v>0</v>
      </c>
      <c r="O86" s="556">
        <v>0.10880337948553699</v>
      </c>
      <c r="P86" s="580">
        <v>52.074953160679001</v>
      </c>
      <c r="Q86" s="587" t="s">
        <v>1953</v>
      </c>
    </row>
    <row r="87" spans="1:17">
      <c r="A87" s="555">
        <v>46050</v>
      </c>
      <c r="B87" s="580" t="s">
        <v>2076</v>
      </c>
      <c r="C87" s="571" t="s">
        <v>2076</v>
      </c>
      <c r="D87" s="556" t="s">
        <v>1954</v>
      </c>
      <c r="E87" s="557">
        <v>46073</v>
      </c>
      <c r="F87" s="556" t="s">
        <v>1926</v>
      </c>
      <c r="G87" s="556" t="s">
        <v>194</v>
      </c>
      <c r="H87" s="556" t="s">
        <v>2197</v>
      </c>
      <c r="I87" s="556" t="s">
        <v>1927</v>
      </c>
      <c r="J87" s="581">
        <v>0.01</v>
      </c>
      <c r="K87" s="556">
        <v>12.1</v>
      </c>
      <c r="L87" s="582">
        <v>0</v>
      </c>
      <c r="M87" s="583">
        <v>0</v>
      </c>
      <c r="N87" s="556">
        <v>0</v>
      </c>
      <c r="O87" s="556">
        <v>6.0980823017388977E-5</v>
      </c>
      <c r="P87" s="580">
        <v>36.357738770027304</v>
      </c>
      <c r="Q87" s="587" t="s">
        <v>1953</v>
      </c>
    </row>
    <row r="88" spans="1:17">
      <c r="A88" s="555">
        <v>46050</v>
      </c>
      <c r="B88" s="580" t="s">
        <v>2077</v>
      </c>
      <c r="C88" s="571" t="s">
        <v>2077</v>
      </c>
      <c r="D88" s="556" t="s">
        <v>1954</v>
      </c>
      <c r="E88" s="557">
        <v>46073</v>
      </c>
      <c r="F88" s="556" t="s">
        <v>1926</v>
      </c>
      <c r="G88" s="556" t="s">
        <v>194</v>
      </c>
      <c r="H88" s="556" t="s">
        <v>2198</v>
      </c>
      <c r="I88" s="556" t="s">
        <v>1927</v>
      </c>
      <c r="J88" s="581">
        <v>0.04</v>
      </c>
      <c r="K88" s="556">
        <v>13.32</v>
      </c>
      <c r="L88" s="582">
        <v>0</v>
      </c>
      <c r="M88" s="583">
        <v>0</v>
      </c>
      <c r="N88" s="556">
        <v>0</v>
      </c>
      <c r="O88" s="556">
        <v>2.1358661516138614E-3</v>
      </c>
      <c r="P88" s="580">
        <v>35.5731766732181</v>
      </c>
      <c r="Q88" s="587" t="s">
        <v>1953</v>
      </c>
    </row>
    <row r="89" spans="1:17">
      <c r="A89" s="555">
        <v>46050</v>
      </c>
      <c r="B89" s="580" t="s">
        <v>2120</v>
      </c>
      <c r="C89" s="571" t="s">
        <v>2120</v>
      </c>
      <c r="D89" s="556" t="s">
        <v>2121</v>
      </c>
      <c r="E89" s="557">
        <v>46073</v>
      </c>
      <c r="F89" s="556" t="s">
        <v>1931</v>
      </c>
      <c r="G89" s="556" t="s">
        <v>194</v>
      </c>
      <c r="H89" s="556" t="s">
        <v>2199</v>
      </c>
      <c r="I89" s="556" t="s">
        <v>1927</v>
      </c>
      <c r="J89" s="581">
        <v>5.92</v>
      </c>
      <c r="K89" s="556">
        <v>0</v>
      </c>
      <c r="L89" s="582">
        <v>0</v>
      </c>
      <c r="M89" s="583">
        <v>0</v>
      </c>
      <c r="N89" s="556">
        <v>0</v>
      </c>
      <c r="O89" s="556">
        <v>1.1475806876791428</v>
      </c>
      <c r="P89" s="580">
        <v>38.9901372027457</v>
      </c>
      <c r="Q89" s="587" t="s">
        <v>1953</v>
      </c>
    </row>
    <row r="90" spans="1:17">
      <c r="A90" s="555">
        <v>46050</v>
      </c>
      <c r="B90" s="580" t="s">
        <v>2122</v>
      </c>
      <c r="C90" s="571" t="s">
        <v>2122</v>
      </c>
      <c r="D90" s="556" t="s">
        <v>2121</v>
      </c>
      <c r="E90" s="557">
        <v>46073</v>
      </c>
      <c r="F90" s="556" t="s">
        <v>1926</v>
      </c>
      <c r="G90" s="556" t="s">
        <v>194</v>
      </c>
      <c r="H90" s="556" t="s">
        <v>2200</v>
      </c>
      <c r="I90" s="556" t="s">
        <v>1927</v>
      </c>
      <c r="J90" s="581">
        <v>0.1</v>
      </c>
      <c r="K90" s="556">
        <v>47.72</v>
      </c>
      <c r="L90" s="582">
        <v>0</v>
      </c>
      <c r="M90" s="583">
        <v>0</v>
      </c>
      <c r="N90" s="556">
        <v>0</v>
      </c>
      <c r="O90" s="556">
        <v>5.2712768015369133E-3</v>
      </c>
      <c r="P90" s="580">
        <v>49.838063853187002</v>
      </c>
      <c r="Q90" s="587" t="s">
        <v>1953</v>
      </c>
    </row>
    <row r="91" spans="1:17">
      <c r="A91" s="555">
        <v>46050</v>
      </c>
      <c r="B91" s="580" t="s">
        <v>2123</v>
      </c>
      <c r="C91" s="571" t="s">
        <v>2123</v>
      </c>
      <c r="D91" s="556" t="s">
        <v>2121</v>
      </c>
      <c r="E91" s="557">
        <v>46073</v>
      </c>
      <c r="F91" s="556" t="s">
        <v>1926</v>
      </c>
      <c r="G91" s="556" t="s">
        <v>194</v>
      </c>
      <c r="H91" s="556" t="s">
        <v>2201</v>
      </c>
      <c r="I91" s="556" t="s">
        <v>1927</v>
      </c>
      <c r="J91" s="581">
        <v>0.15</v>
      </c>
      <c r="K91" s="556">
        <v>51.67</v>
      </c>
      <c r="L91" s="582">
        <v>0</v>
      </c>
      <c r="M91" s="583">
        <v>0</v>
      </c>
      <c r="N91" s="556">
        <v>0</v>
      </c>
      <c r="O91" s="556">
        <v>1.6503565832691938E-2</v>
      </c>
      <c r="P91" s="580">
        <v>44.042805301033901</v>
      </c>
      <c r="Q91" s="587" t="s">
        <v>1953</v>
      </c>
    </row>
    <row r="92" spans="1:17">
      <c r="A92" s="555">
        <v>46050</v>
      </c>
      <c r="B92" s="580" t="s">
        <v>2129</v>
      </c>
      <c r="C92" s="571" t="s">
        <v>2129</v>
      </c>
      <c r="D92" s="556" t="s">
        <v>2086</v>
      </c>
      <c r="E92" s="557">
        <v>46073</v>
      </c>
      <c r="F92" s="556" t="s">
        <v>1926</v>
      </c>
      <c r="G92" s="556" t="s">
        <v>194</v>
      </c>
      <c r="H92" s="556" t="s">
        <v>2202</v>
      </c>
      <c r="I92" s="556" t="s">
        <v>1927</v>
      </c>
      <c r="J92" s="581">
        <v>0.1</v>
      </c>
      <c r="K92" s="556">
        <v>42.9</v>
      </c>
      <c r="L92" s="582">
        <v>0</v>
      </c>
      <c r="M92" s="583">
        <v>0</v>
      </c>
      <c r="N92" s="556">
        <v>0</v>
      </c>
      <c r="O92" s="556">
        <v>1.6140197221998581E-4</v>
      </c>
      <c r="P92" s="580">
        <v>34.0784798004237</v>
      </c>
      <c r="Q92" s="587" t="s">
        <v>1953</v>
      </c>
    </row>
    <row r="93" spans="1:17">
      <c r="A93" s="555">
        <v>46050</v>
      </c>
      <c r="B93" s="580" t="s">
        <v>2130</v>
      </c>
      <c r="C93" s="571" t="s">
        <v>2130</v>
      </c>
      <c r="D93" s="556" t="s">
        <v>2086</v>
      </c>
      <c r="E93" s="557">
        <v>46073</v>
      </c>
      <c r="F93" s="556" t="s">
        <v>1926</v>
      </c>
      <c r="G93" s="556" t="s">
        <v>194</v>
      </c>
      <c r="H93" s="556" t="s">
        <v>2203</v>
      </c>
      <c r="I93" s="556" t="s">
        <v>1927</v>
      </c>
      <c r="J93" s="581">
        <v>0.14000000000000001</v>
      </c>
      <c r="K93" s="556">
        <v>47.86</v>
      </c>
      <c r="L93" s="582">
        <v>0</v>
      </c>
      <c r="M93" s="583">
        <v>0</v>
      </c>
      <c r="N93" s="556">
        <v>0</v>
      </c>
      <c r="O93" s="556">
        <v>6.3181763851458518E-3</v>
      </c>
      <c r="P93" s="580">
        <v>31.367859964189901</v>
      </c>
      <c r="Q93" s="587" t="s">
        <v>1953</v>
      </c>
    </row>
    <row r="94" spans="1:17">
      <c r="A94" s="555">
        <v>46050</v>
      </c>
      <c r="B94" s="570" t="s">
        <v>2135</v>
      </c>
      <c r="C94" s="570" t="s">
        <v>2135</v>
      </c>
      <c r="D94" s="556" t="s">
        <v>2136</v>
      </c>
      <c r="E94" s="557">
        <v>46073</v>
      </c>
      <c r="F94" s="556" t="s">
        <v>1926</v>
      </c>
      <c r="G94" s="556" t="s">
        <v>194</v>
      </c>
      <c r="H94" s="556" t="s">
        <v>2204</v>
      </c>
      <c r="I94" s="556" t="s">
        <v>1927</v>
      </c>
      <c r="J94" s="581">
        <v>0.84</v>
      </c>
      <c r="K94" s="556">
        <v>49.54</v>
      </c>
      <c r="L94" s="582">
        <v>0</v>
      </c>
      <c r="M94" s="583">
        <v>0</v>
      </c>
      <c r="N94" s="556">
        <v>0</v>
      </c>
      <c r="O94" s="556">
        <v>0.13263083900643072</v>
      </c>
      <c r="P94" s="580">
        <v>28.509321265539199</v>
      </c>
      <c r="Q94" s="587" t="s">
        <v>1953</v>
      </c>
    </row>
    <row r="95" spans="1:17">
      <c r="A95" s="555">
        <v>46050</v>
      </c>
      <c r="B95" s="570" t="s">
        <v>2142</v>
      </c>
      <c r="C95" s="570" t="s">
        <v>2142</v>
      </c>
      <c r="D95" s="556" t="s">
        <v>1954</v>
      </c>
      <c r="E95" s="557">
        <v>46073</v>
      </c>
      <c r="F95" s="556" t="s">
        <v>1926</v>
      </c>
      <c r="G95" s="556" t="s">
        <v>194</v>
      </c>
      <c r="H95" s="556" t="s">
        <v>2205</v>
      </c>
      <c r="I95" s="556" t="s">
        <v>1927</v>
      </c>
      <c r="J95" s="581">
        <v>0.01</v>
      </c>
      <c r="K95" s="556">
        <v>11.41</v>
      </c>
      <c r="L95" s="582">
        <v>0</v>
      </c>
      <c r="M95" s="583">
        <v>0</v>
      </c>
      <c r="N95" s="556">
        <v>0</v>
      </c>
      <c r="O95" s="556">
        <v>6.0980823017388977E-5</v>
      </c>
      <c r="P95" s="580">
        <v>36.357738770027304</v>
      </c>
      <c r="Q95" s="587" t="s">
        <v>1953</v>
      </c>
    </row>
    <row r="96" spans="1:17">
      <c r="A96" s="555">
        <v>46050</v>
      </c>
      <c r="B96" s="570" t="s">
        <v>2143</v>
      </c>
      <c r="C96" s="570" t="s">
        <v>2143</v>
      </c>
      <c r="D96" s="556" t="s">
        <v>1954</v>
      </c>
      <c r="E96" s="557">
        <v>46073</v>
      </c>
      <c r="F96" s="556" t="s">
        <v>1926</v>
      </c>
      <c r="G96" s="556" t="s">
        <v>194</v>
      </c>
      <c r="H96" s="556" t="s">
        <v>2206</v>
      </c>
      <c r="I96" s="556" t="s">
        <v>1927</v>
      </c>
      <c r="J96" s="581">
        <v>0.04</v>
      </c>
      <c r="K96" s="556">
        <v>12.63</v>
      </c>
      <c r="L96" s="582">
        <v>0</v>
      </c>
      <c r="M96" s="583">
        <v>0</v>
      </c>
      <c r="N96" s="556">
        <v>0</v>
      </c>
      <c r="O96" s="556">
        <v>2.1358661516138614E-3</v>
      </c>
      <c r="P96" s="580">
        <v>35.5731766732181</v>
      </c>
      <c r="Q96" s="587" t="s">
        <v>1953</v>
      </c>
    </row>
    <row r="97" spans="1:17">
      <c r="A97" s="555">
        <v>46050</v>
      </c>
      <c r="B97" s="570" t="s">
        <v>2144</v>
      </c>
      <c r="C97" s="570" t="s">
        <v>2144</v>
      </c>
      <c r="D97" s="556" t="s">
        <v>1954</v>
      </c>
      <c r="E97" s="557">
        <v>46073</v>
      </c>
      <c r="F97" s="556" t="s">
        <v>1926</v>
      </c>
      <c r="G97" s="556" t="s">
        <v>194</v>
      </c>
      <c r="H97" s="556" t="s">
        <v>2207</v>
      </c>
      <c r="I97" s="556" t="s">
        <v>1927</v>
      </c>
      <c r="J97" s="581">
        <v>0.1</v>
      </c>
      <c r="K97" s="556">
        <v>13.57</v>
      </c>
      <c r="L97" s="582">
        <v>0</v>
      </c>
      <c r="M97" s="583">
        <v>0</v>
      </c>
      <c r="N97" s="556">
        <v>0</v>
      </c>
      <c r="O97" s="556">
        <v>1.5012005876633107E-2</v>
      </c>
      <c r="P97" s="580">
        <v>34.445351598032801</v>
      </c>
      <c r="Q97" s="587" t="s">
        <v>1953</v>
      </c>
    </row>
    <row r="98" spans="1:17">
      <c r="A98" s="555">
        <v>46050</v>
      </c>
      <c r="B98" s="570" t="s">
        <v>2145</v>
      </c>
      <c r="C98" s="570" t="s">
        <v>2145</v>
      </c>
      <c r="D98" s="556" t="s">
        <v>2146</v>
      </c>
      <c r="E98" s="557">
        <v>46073</v>
      </c>
      <c r="F98" s="556" t="s">
        <v>1926</v>
      </c>
      <c r="G98" s="556" t="s">
        <v>194</v>
      </c>
      <c r="H98" s="556" t="s">
        <v>2208</v>
      </c>
      <c r="I98" s="556" t="s">
        <v>1927</v>
      </c>
      <c r="J98" s="581">
        <v>0.01</v>
      </c>
      <c r="K98" s="556">
        <v>12.03</v>
      </c>
      <c r="L98" s="582">
        <v>0</v>
      </c>
      <c r="M98" s="583">
        <v>0</v>
      </c>
      <c r="N98" s="556">
        <v>0</v>
      </c>
      <c r="O98" s="556">
        <v>1.9592709514540856E-3</v>
      </c>
      <c r="P98" s="580">
        <v>50.948917412838505</v>
      </c>
      <c r="Q98" s="587" t="s">
        <v>1953</v>
      </c>
    </row>
    <row r="99" spans="1:17">
      <c r="A99" s="555">
        <v>46050</v>
      </c>
      <c r="B99" s="570" t="s">
        <v>2147</v>
      </c>
      <c r="C99" s="570" t="s">
        <v>2147</v>
      </c>
      <c r="D99" s="556" t="s">
        <v>2146</v>
      </c>
      <c r="E99" s="557">
        <v>46073</v>
      </c>
      <c r="F99" s="556" t="s">
        <v>1926</v>
      </c>
      <c r="G99" s="556" t="s">
        <v>194</v>
      </c>
      <c r="H99" s="556" t="s">
        <v>2209</v>
      </c>
      <c r="I99" s="556" t="s">
        <v>1927</v>
      </c>
      <c r="J99" s="581">
        <v>0.05</v>
      </c>
      <c r="K99" s="556">
        <v>12.989999999999998</v>
      </c>
      <c r="L99" s="582">
        <v>0</v>
      </c>
      <c r="M99" s="583">
        <v>0</v>
      </c>
      <c r="N99" s="556">
        <v>0</v>
      </c>
      <c r="O99" s="556">
        <v>8.3733695411598707E-3</v>
      </c>
      <c r="P99" s="580">
        <v>48.6603831467704</v>
      </c>
      <c r="Q99" s="587" t="s">
        <v>1953</v>
      </c>
    </row>
    <row r="100" spans="1:17">
      <c r="A100" s="555">
        <v>46050</v>
      </c>
      <c r="B100" s="571" t="s">
        <v>2210</v>
      </c>
      <c r="C100" s="571" t="s">
        <v>2210</v>
      </c>
      <c r="D100" s="556" t="s">
        <v>2086</v>
      </c>
      <c r="E100" s="557">
        <v>46073</v>
      </c>
      <c r="F100" s="556" t="s">
        <v>1931</v>
      </c>
      <c r="G100" s="556" t="s">
        <v>194</v>
      </c>
      <c r="H100" s="556" t="s">
        <v>2211</v>
      </c>
      <c r="I100" s="556" t="s">
        <v>1927</v>
      </c>
      <c r="J100" s="581">
        <v>2.6</v>
      </c>
      <c r="K100" s="556">
        <v>0</v>
      </c>
      <c r="L100" s="582">
        <v>0</v>
      </c>
      <c r="M100" s="583">
        <v>0</v>
      </c>
      <c r="N100" s="556">
        <v>0</v>
      </c>
      <c r="O100" s="556">
        <v>0.4334787176548488</v>
      </c>
      <c r="P100" s="580">
        <v>26.7438781749421</v>
      </c>
      <c r="Q100" s="587" t="s">
        <v>1953</v>
      </c>
    </row>
    <row r="101" spans="1:17">
      <c r="A101" s="555">
        <v>46050</v>
      </c>
      <c r="B101" s="571" t="s">
        <v>2212</v>
      </c>
      <c r="C101" s="571" t="s">
        <v>2212</v>
      </c>
      <c r="D101" s="556" t="s">
        <v>2086</v>
      </c>
      <c r="E101" s="557">
        <v>46073</v>
      </c>
      <c r="F101" s="556" t="s">
        <v>1926</v>
      </c>
      <c r="G101" s="556" t="s">
        <v>194</v>
      </c>
      <c r="H101" s="556" t="s">
        <v>2213</v>
      </c>
      <c r="I101" s="556" t="s">
        <v>1927</v>
      </c>
      <c r="J101" s="581">
        <v>0.17</v>
      </c>
      <c r="K101" s="556">
        <v>46.83</v>
      </c>
      <c r="L101" s="582">
        <v>0</v>
      </c>
      <c r="M101" s="583">
        <v>0</v>
      </c>
      <c r="N101" s="556">
        <v>0</v>
      </c>
      <c r="O101" s="556">
        <v>3.3510289205077658E-3</v>
      </c>
      <c r="P101" s="580">
        <v>31.981077294732998</v>
      </c>
      <c r="Q101" s="587" t="s">
        <v>1953</v>
      </c>
    </row>
    <row r="102" spans="1:17">
      <c r="A102" s="555">
        <v>46050</v>
      </c>
      <c r="B102" s="571" t="s">
        <v>2214</v>
      </c>
      <c r="C102" s="571" t="s">
        <v>2214</v>
      </c>
      <c r="D102" s="556" t="s">
        <v>2086</v>
      </c>
      <c r="E102" s="557">
        <v>46073</v>
      </c>
      <c r="F102" s="556" t="s">
        <v>1926</v>
      </c>
      <c r="G102" s="556" t="s">
        <v>194</v>
      </c>
      <c r="H102" s="556" t="s">
        <v>2215</v>
      </c>
      <c r="I102" s="556" t="s">
        <v>1927</v>
      </c>
      <c r="J102" s="581">
        <v>0.28999999999999998</v>
      </c>
      <c r="K102" s="556">
        <v>50.21</v>
      </c>
      <c r="L102" s="582">
        <v>0</v>
      </c>
      <c r="M102" s="583">
        <v>0</v>
      </c>
      <c r="N102" s="556">
        <v>0</v>
      </c>
      <c r="O102" s="556">
        <v>2.5841702388658749E-2</v>
      </c>
      <c r="P102" s="580">
        <v>29.6921866412093</v>
      </c>
      <c r="Q102" s="587" t="s">
        <v>1953</v>
      </c>
    </row>
    <row r="103" spans="1:17">
      <c r="A103" s="555">
        <v>46050</v>
      </c>
      <c r="B103" s="570" t="s">
        <v>2216</v>
      </c>
      <c r="C103" s="570" t="s">
        <v>2216</v>
      </c>
      <c r="D103" s="556" t="s">
        <v>1952</v>
      </c>
      <c r="E103" s="557">
        <v>46101</v>
      </c>
      <c r="F103" s="556" t="s">
        <v>1931</v>
      </c>
      <c r="G103" s="556" t="s">
        <v>194</v>
      </c>
      <c r="H103" s="556" t="s">
        <v>2217</v>
      </c>
      <c r="I103" s="556" t="s">
        <v>1927</v>
      </c>
      <c r="J103" s="581">
        <v>0.82</v>
      </c>
      <c r="K103" s="556">
        <v>0</v>
      </c>
      <c r="L103" s="582">
        <v>0</v>
      </c>
      <c r="M103" s="583">
        <v>0</v>
      </c>
      <c r="N103" s="556">
        <v>0</v>
      </c>
      <c r="O103" s="556">
        <v>7.6730491390432073E-2</v>
      </c>
      <c r="P103" s="580">
        <v>30.769360940912602</v>
      </c>
      <c r="Q103" s="587" t="s">
        <v>1953</v>
      </c>
    </row>
    <row r="104" spans="1:17">
      <c r="A104" s="555">
        <v>46050</v>
      </c>
      <c r="B104" s="570" t="s">
        <v>2218</v>
      </c>
      <c r="C104" s="570" t="s">
        <v>2218</v>
      </c>
      <c r="D104" s="556" t="s">
        <v>1952</v>
      </c>
      <c r="E104" s="557">
        <v>46101</v>
      </c>
      <c r="F104" s="556" t="s">
        <v>1926</v>
      </c>
      <c r="G104" s="556" t="s">
        <v>194</v>
      </c>
      <c r="H104" s="556" t="s">
        <v>2219</v>
      </c>
      <c r="I104" s="556" t="s">
        <v>1927</v>
      </c>
      <c r="J104" s="581">
        <v>0.57999999999999996</v>
      </c>
      <c r="K104" s="556">
        <v>20.73</v>
      </c>
      <c r="L104" s="582">
        <v>0</v>
      </c>
      <c r="M104" s="583">
        <v>0</v>
      </c>
      <c r="N104" s="556">
        <v>0</v>
      </c>
      <c r="O104" s="556">
        <v>7.7171994574486966E-2</v>
      </c>
      <c r="P104" s="580">
        <v>35.301880177398203</v>
      </c>
      <c r="Q104" s="587" t="s">
        <v>1953</v>
      </c>
    </row>
    <row r="105" spans="1:17">
      <c r="A105" s="555">
        <v>46050</v>
      </c>
      <c r="B105" s="570" t="s">
        <v>2220</v>
      </c>
      <c r="C105" s="570" t="s">
        <v>2220</v>
      </c>
      <c r="D105" s="556" t="s">
        <v>1952</v>
      </c>
      <c r="E105" s="557">
        <v>46101</v>
      </c>
      <c r="F105" s="556" t="s">
        <v>1926</v>
      </c>
      <c r="G105" s="556" t="s">
        <v>194</v>
      </c>
      <c r="H105" s="556" t="s">
        <v>2221</v>
      </c>
      <c r="I105" s="556" t="s">
        <v>1927</v>
      </c>
      <c r="J105" s="581">
        <v>1.34</v>
      </c>
      <c r="K105" s="556">
        <v>21.97</v>
      </c>
      <c r="L105" s="582">
        <v>0</v>
      </c>
      <c r="M105" s="583">
        <v>0</v>
      </c>
      <c r="N105" s="556">
        <v>0</v>
      </c>
      <c r="O105" s="556">
        <v>0.20603308430029743</v>
      </c>
      <c r="P105" s="580">
        <v>32.921125480294002</v>
      </c>
      <c r="Q105" s="587" t="s">
        <v>1953</v>
      </c>
    </row>
    <row r="106" spans="1:17">
      <c r="A106" s="555">
        <v>46050</v>
      </c>
      <c r="B106" s="570" t="s">
        <v>2222</v>
      </c>
      <c r="C106" s="570" t="s">
        <v>2222</v>
      </c>
      <c r="D106" s="556" t="s">
        <v>2223</v>
      </c>
      <c r="E106" s="557">
        <v>46073</v>
      </c>
      <c r="F106" s="556" t="s">
        <v>1931</v>
      </c>
      <c r="G106" s="556" t="s">
        <v>194</v>
      </c>
      <c r="H106" s="556" t="s">
        <v>2224</v>
      </c>
      <c r="I106" s="556" t="s">
        <v>1927</v>
      </c>
      <c r="J106" s="581">
        <v>11.78</v>
      </c>
      <c r="K106" s="556">
        <v>0</v>
      </c>
      <c r="L106" s="582">
        <v>0</v>
      </c>
      <c r="M106" s="583">
        <v>0</v>
      </c>
      <c r="N106" s="556">
        <v>0</v>
      </c>
      <c r="O106" s="556">
        <v>2.3002921319871006</v>
      </c>
      <c r="P106" s="580">
        <v>42.830283068212303</v>
      </c>
      <c r="Q106" s="587" t="s">
        <v>1953</v>
      </c>
    </row>
    <row r="107" spans="1:17">
      <c r="A107" s="555">
        <v>46050</v>
      </c>
      <c r="B107" s="570" t="s">
        <v>2225</v>
      </c>
      <c r="C107" s="570" t="s">
        <v>2225</v>
      </c>
      <c r="D107" s="556" t="s">
        <v>2223</v>
      </c>
      <c r="E107" s="557">
        <v>46073</v>
      </c>
      <c r="F107" s="556" t="s">
        <v>1931</v>
      </c>
      <c r="G107" s="556" t="s">
        <v>194</v>
      </c>
      <c r="H107" s="556" t="s">
        <v>2226</v>
      </c>
      <c r="I107" s="556" t="s">
        <v>1927</v>
      </c>
      <c r="J107" s="581">
        <v>7.34</v>
      </c>
      <c r="K107" s="556">
        <v>0</v>
      </c>
      <c r="L107" s="582">
        <v>0</v>
      </c>
      <c r="M107" s="583">
        <v>0</v>
      </c>
      <c r="N107" s="556">
        <v>0</v>
      </c>
      <c r="O107" s="556">
        <v>1.4231763141873393</v>
      </c>
      <c r="P107" s="580">
        <v>35.776714795197798</v>
      </c>
      <c r="Q107" s="587" t="s">
        <v>1953</v>
      </c>
    </row>
    <row r="108" spans="1:17">
      <c r="A108" s="555">
        <v>46050</v>
      </c>
      <c r="B108" s="585" t="s">
        <v>2239</v>
      </c>
      <c r="C108" s="585" t="s">
        <v>2239</v>
      </c>
      <c r="D108" s="556" t="s">
        <v>1954</v>
      </c>
      <c r="E108" s="557">
        <v>46073</v>
      </c>
      <c r="F108" s="556" t="s">
        <v>1931</v>
      </c>
      <c r="G108" s="556" t="s">
        <v>194</v>
      </c>
      <c r="H108" s="556" t="s">
        <v>2240</v>
      </c>
      <c r="I108" s="556" t="s">
        <v>1927</v>
      </c>
      <c r="J108" s="581">
        <v>0.5</v>
      </c>
      <c r="K108" s="556">
        <v>0</v>
      </c>
      <c r="L108" s="582">
        <v>0</v>
      </c>
      <c r="M108" s="583">
        <v>0</v>
      </c>
      <c r="N108" s="556">
        <v>0</v>
      </c>
      <c r="O108" s="556">
        <v>0.10165570979339722</v>
      </c>
      <c r="P108" s="580">
        <v>33.1193386433429</v>
      </c>
      <c r="Q108" s="587" t="s">
        <v>1953</v>
      </c>
    </row>
    <row r="109" spans="1:17">
      <c r="A109" s="555">
        <v>46050</v>
      </c>
      <c r="B109" s="585" t="s">
        <v>2241</v>
      </c>
      <c r="C109" s="585" t="s">
        <v>2241</v>
      </c>
      <c r="D109" s="556" t="s">
        <v>2015</v>
      </c>
      <c r="E109" s="557">
        <v>46071</v>
      </c>
      <c r="F109" s="556" t="s">
        <v>1926</v>
      </c>
      <c r="G109" s="556" t="s">
        <v>194</v>
      </c>
      <c r="H109" s="556" t="s">
        <v>2242</v>
      </c>
      <c r="I109" s="556" t="s">
        <v>1927</v>
      </c>
      <c r="J109" s="581">
        <v>240</v>
      </c>
      <c r="K109" s="556">
        <v>160760</v>
      </c>
      <c r="L109" s="582">
        <v>0</v>
      </c>
      <c r="M109" s="583">
        <v>0</v>
      </c>
      <c r="N109" s="556">
        <v>0</v>
      </c>
      <c r="O109" s="556">
        <v>9.1615736742832556</v>
      </c>
      <c r="P109" s="580">
        <v>28.426297829640898</v>
      </c>
      <c r="Q109" s="587" t="s">
        <v>1953</v>
      </c>
    </row>
    <row r="110" spans="1:17">
      <c r="A110" s="555">
        <v>46050</v>
      </c>
      <c r="B110" s="585" t="s">
        <v>2243</v>
      </c>
      <c r="C110" s="585" t="s">
        <v>2243</v>
      </c>
      <c r="D110" s="556" t="s">
        <v>2103</v>
      </c>
      <c r="E110" s="557">
        <v>46073</v>
      </c>
      <c r="F110" s="556" t="s">
        <v>1926</v>
      </c>
      <c r="G110" s="556" t="s">
        <v>194</v>
      </c>
      <c r="H110" s="556" t="s">
        <v>2244</v>
      </c>
      <c r="I110" s="556" t="s">
        <v>1927</v>
      </c>
      <c r="J110" s="581">
        <v>0.23</v>
      </c>
      <c r="K110" s="556">
        <v>107.77</v>
      </c>
      <c r="L110" s="582">
        <v>0</v>
      </c>
      <c r="M110" s="583">
        <v>0</v>
      </c>
      <c r="N110" s="556">
        <v>0</v>
      </c>
      <c r="O110" s="556">
        <v>4.1823825172191374E-2</v>
      </c>
      <c r="P110" s="580">
        <v>40.752353951672298</v>
      </c>
      <c r="Q110" s="587" t="s">
        <v>1953</v>
      </c>
    </row>
    <row r="111" spans="1:17">
      <c r="A111" s="555">
        <v>46050</v>
      </c>
      <c r="B111" s="585" t="s">
        <v>2245</v>
      </c>
      <c r="C111" s="585" t="s">
        <v>2245</v>
      </c>
      <c r="D111" s="556" t="s">
        <v>2103</v>
      </c>
      <c r="E111" s="557">
        <v>46073</v>
      </c>
      <c r="F111" s="556" t="s">
        <v>1926</v>
      </c>
      <c r="G111" s="556" t="s">
        <v>194</v>
      </c>
      <c r="H111" s="556" t="s">
        <v>2246</v>
      </c>
      <c r="I111" s="556" t="s">
        <v>1927</v>
      </c>
      <c r="J111" s="581">
        <v>0.4</v>
      </c>
      <c r="K111" s="556">
        <v>112.6</v>
      </c>
      <c r="L111" s="582">
        <v>0</v>
      </c>
      <c r="M111" s="583">
        <v>0</v>
      </c>
      <c r="N111" s="556">
        <v>0</v>
      </c>
      <c r="O111" s="556">
        <v>7.0952094833079377E-2</v>
      </c>
      <c r="P111" s="580">
        <v>35.591728518149601</v>
      </c>
      <c r="Q111" s="587" t="s">
        <v>1953</v>
      </c>
    </row>
    <row r="112" spans="1:17">
      <c r="A112" s="555">
        <v>46050</v>
      </c>
      <c r="B112" s="570" t="s">
        <v>2256</v>
      </c>
      <c r="C112" s="570" t="s">
        <v>2256</v>
      </c>
      <c r="D112" s="556" t="s">
        <v>2103</v>
      </c>
      <c r="E112" s="557">
        <v>46073</v>
      </c>
      <c r="F112" s="556" t="s">
        <v>1926</v>
      </c>
      <c r="G112" s="556" t="s">
        <v>194</v>
      </c>
      <c r="H112" s="556" t="s">
        <v>2257</v>
      </c>
      <c r="I112" s="556" t="s">
        <v>1927</v>
      </c>
      <c r="J112" s="581">
        <v>0.46</v>
      </c>
      <c r="K112" s="556">
        <v>113.54</v>
      </c>
      <c r="L112" s="582">
        <v>0</v>
      </c>
      <c r="M112" s="583">
        <v>0</v>
      </c>
      <c r="N112" s="556">
        <v>0</v>
      </c>
      <c r="O112" s="556">
        <v>8.0897257415266405E-2</v>
      </c>
      <c r="P112" s="580">
        <v>34.735131222642899</v>
      </c>
      <c r="Q112" s="587" t="s">
        <v>1953</v>
      </c>
    </row>
    <row r="113" spans="1:17">
      <c r="A113" s="555">
        <v>46050</v>
      </c>
      <c r="B113" s="570" t="s">
        <v>2258</v>
      </c>
      <c r="C113" s="570" t="s">
        <v>2258</v>
      </c>
      <c r="D113" s="556" t="s">
        <v>2259</v>
      </c>
      <c r="E113" s="557">
        <v>46073</v>
      </c>
      <c r="F113" s="556" t="s">
        <v>1931</v>
      </c>
      <c r="G113" s="556" t="s">
        <v>194</v>
      </c>
      <c r="H113" s="556" t="s">
        <v>2260</v>
      </c>
      <c r="I113" s="556" t="s">
        <v>1927</v>
      </c>
      <c r="J113" s="581">
        <v>0.46</v>
      </c>
      <c r="K113" s="556">
        <v>0</v>
      </c>
      <c r="L113" s="582">
        <v>0</v>
      </c>
      <c r="M113" s="583">
        <v>0</v>
      </c>
      <c r="N113" s="556">
        <v>0</v>
      </c>
      <c r="O113" s="556">
        <v>1.8572300022709272E-2</v>
      </c>
      <c r="P113" s="580">
        <v>27.391776389024702</v>
      </c>
      <c r="Q113" s="587" t="s">
        <v>1953</v>
      </c>
    </row>
    <row r="114" spans="1:17">
      <c r="A114" s="555">
        <v>46050</v>
      </c>
      <c r="B114" s="570" t="s">
        <v>2261</v>
      </c>
      <c r="C114" s="570" t="s">
        <v>2261</v>
      </c>
      <c r="D114" s="556" t="s">
        <v>2259</v>
      </c>
      <c r="E114" s="557">
        <v>46073</v>
      </c>
      <c r="F114" s="556" t="s">
        <v>1926</v>
      </c>
      <c r="G114" s="556" t="s">
        <v>194</v>
      </c>
      <c r="H114" s="556" t="s">
        <v>2262</v>
      </c>
      <c r="I114" s="556" t="s">
        <v>1927</v>
      </c>
      <c r="J114" s="581">
        <v>0.56000000000000005</v>
      </c>
      <c r="K114" s="556">
        <v>25.330000000000002</v>
      </c>
      <c r="L114" s="582">
        <v>0</v>
      </c>
      <c r="M114" s="583">
        <v>0</v>
      </c>
      <c r="N114" s="556">
        <v>0</v>
      </c>
      <c r="O114" s="556">
        <v>4.6394670685389126E-2</v>
      </c>
      <c r="P114" s="580">
        <v>33.409960369044001</v>
      </c>
      <c r="Q114" s="587" t="s">
        <v>1953</v>
      </c>
    </row>
    <row r="115" spans="1:17">
      <c r="A115" s="555">
        <v>46050</v>
      </c>
      <c r="B115" s="570" t="s">
        <v>2263</v>
      </c>
      <c r="C115" s="570" t="s">
        <v>2263</v>
      </c>
      <c r="D115" s="556" t="s">
        <v>2259</v>
      </c>
      <c r="E115" s="557">
        <v>46073</v>
      </c>
      <c r="F115" s="556" t="s">
        <v>1926</v>
      </c>
      <c r="G115" s="556" t="s">
        <v>194</v>
      </c>
      <c r="H115" s="556" t="s">
        <v>2264</v>
      </c>
      <c r="I115" s="556" t="s">
        <v>1927</v>
      </c>
      <c r="J115" s="581">
        <v>1.33</v>
      </c>
      <c r="K115" s="556">
        <v>26.810000000000002</v>
      </c>
      <c r="L115" s="582">
        <v>0</v>
      </c>
      <c r="M115" s="583">
        <v>0</v>
      </c>
      <c r="N115" s="556">
        <v>0</v>
      </c>
      <c r="O115" s="556">
        <v>0.19765660038869934</v>
      </c>
      <c r="P115" s="580">
        <v>30.045638834230004</v>
      </c>
      <c r="Q115" s="587" t="s">
        <v>1953</v>
      </c>
    </row>
    <row r="116" spans="1:17">
      <c r="A116" s="555">
        <v>46050</v>
      </c>
      <c r="B116" s="585" t="s">
        <v>2274</v>
      </c>
      <c r="C116" s="585" t="s">
        <v>2274</v>
      </c>
      <c r="D116" s="556" t="s">
        <v>2015</v>
      </c>
      <c r="E116" s="557">
        <v>46071</v>
      </c>
      <c r="F116" s="556" t="s">
        <v>1926</v>
      </c>
      <c r="G116" s="556" t="s">
        <v>194</v>
      </c>
      <c r="H116" s="556" t="s">
        <v>2290</v>
      </c>
      <c r="I116" s="556" t="s">
        <v>1927</v>
      </c>
      <c r="J116" s="581">
        <v>200</v>
      </c>
      <c r="K116" s="556">
        <v>162800</v>
      </c>
      <c r="L116" s="582">
        <v>0</v>
      </c>
      <c r="M116" s="583">
        <v>0</v>
      </c>
      <c r="N116" s="556">
        <v>0</v>
      </c>
      <c r="O116" s="556">
        <v>14.999027124241112</v>
      </c>
      <c r="P116" s="580">
        <v>28.216831256748801</v>
      </c>
      <c r="Q116" s="587" t="s">
        <v>1953</v>
      </c>
    </row>
    <row r="117" spans="1:17">
      <c r="A117" s="555">
        <v>46050</v>
      </c>
      <c r="B117" s="570" t="s">
        <v>2322</v>
      </c>
      <c r="C117" s="570" t="s">
        <v>2322</v>
      </c>
      <c r="D117" s="556" t="s">
        <v>2140</v>
      </c>
      <c r="E117" s="557">
        <v>46073</v>
      </c>
      <c r="F117" s="556" t="s">
        <v>1926</v>
      </c>
      <c r="G117" s="556" t="s">
        <v>194</v>
      </c>
      <c r="H117" s="556" t="s">
        <v>2323</v>
      </c>
      <c r="I117" s="556" t="s">
        <v>1927</v>
      </c>
      <c r="J117" s="581">
        <v>0.16</v>
      </c>
      <c r="K117" s="556">
        <v>33.99</v>
      </c>
      <c r="L117" s="582">
        <v>0</v>
      </c>
      <c r="M117" s="583">
        <v>0</v>
      </c>
      <c r="N117" s="556">
        <v>0</v>
      </c>
      <c r="O117" s="556">
        <v>2.8406558259596818E-2</v>
      </c>
      <c r="P117" s="580">
        <v>32.475479082945206</v>
      </c>
      <c r="Q117" s="587" t="s">
        <v>1953</v>
      </c>
    </row>
    <row r="118" spans="1:17">
      <c r="A118" s="555">
        <v>46050</v>
      </c>
      <c r="B118" s="570" t="s">
        <v>2324</v>
      </c>
      <c r="C118" s="570" t="s">
        <v>2324</v>
      </c>
      <c r="D118" s="556" t="s">
        <v>2325</v>
      </c>
      <c r="E118" s="557">
        <v>46073</v>
      </c>
      <c r="F118" s="556" t="s">
        <v>1926</v>
      </c>
      <c r="G118" s="556" t="s">
        <v>194</v>
      </c>
      <c r="H118" s="556" t="s">
        <v>2326</v>
      </c>
      <c r="I118" s="556" t="s">
        <v>1927</v>
      </c>
      <c r="J118" s="581">
        <v>0.1</v>
      </c>
      <c r="K118" s="556">
        <v>43.15</v>
      </c>
      <c r="L118" s="582">
        <v>0</v>
      </c>
      <c r="M118" s="583">
        <v>0</v>
      </c>
      <c r="N118" s="556">
        <v>0</v>
      </c>
      <c r="O118" s="556">
        <v>1.6214976874600013E-2</v>
      </c>
      <c r="P118" s="580">
        <v>39.625996795372195</v>
      </c>
      <c r="Q118" s="587" t="s">
        <v>1953</v>
      </c>
    </row>
    <row r="119" spans="1:17">
      <c r="A119" s="555">
        <v>46050</v>
      </c>
      <c r="B119" s="570" t="s">
        <v>2327</v>
      </c>
      <c r="C119" s="570" t="s">
        <v>2327</v>
      </c>
      <c r="D119" s="556" t="s">
        <v>2325</v>
      </c>
      <c r="E119" s="557">
        <v>46073</v>
      </c>
      <c r="F119" s="556" t="s">
        <v>1926</v>
      </c>
      <c r="G119" s="556" t="s">
        <v>194</v>
      </c>
      <c r="H119" s="556" t="s">
        <v>2328</v>
      </c>
      <c r="I119" s="556" t="s">
        <v>1927</v>
      </c>
      <c r="J119" s="581">
        <v>0.31</v>
      </c>
      <c r="K119" s="556">
        <v>45.94</v>
      </c>
      <c r="L119" s="582">
        <v>0</v>
      </c>
      <c r="M119" s="583">
        <v>0</v>
      </c>
      <c r="N119" s="556">
        <v>0</v>
      </c>
      <c r="O119" s="556">
        <v>6.1155918911249975E-2</v>
      </c>
      <c r="P119" s="580">
        <v>37.002405080499301</v>
      </c>
      <c r="Q119" s="587" t="s">
        <v>1953</v>
      </c>
    </row>
    <row r="120" spans="1:17">
      <c r="A120" s="555">
        <v>46050</v>
      </c>
      <c r="B120" s="570" t="s">
        <v>2329</v>
      </c>
      <c r="C120" s="570" t="s">
        <v>2329</v>
      </c>
      <c r="D120" s="556" t="s">
        <v>2325</v>
      </c>
      <c r="E120" s="557">
        <v>46101</v>
      </c>
      <c r="F120" s="556" t="s">
        <v>1931</v>
      </c>
      <c r="G120" s="556" t="s">
        <v>194</v>
      </c>
      <c r="H120" s="556" t="s">
        <v>2215</v>
      </c>
      <c r="I120" s="556" t="s">
        <v>1927</v>
      </c>
      <c r="J120" s="581">
        <v>2.96</v>
      </c>
      <c r="K120" s="556">
        <v>0</v>
      </c>
      <c r="L120" s="582">
        <v>0</v>
      </c>
      <c r="M120" s="583">
        <v>0</v>
      </c>
      <c r="N120" s="556">
        <v>0</v>
      </c>
      <c r="O120" s="556">
        <v>0.5888876340790431</v>
      </c>
      <c r="P120" s="580">
        <v>34.559054909805702</v>
      </c>
      <c r="Q120" s="587" t="s">
        <v>1953</v>
      </c>
    </row>
    <row r="121" spans="1:17">
      <c r="A121" s="555">
        <v>46050</v>
      </c>
      <c r="B121" s="570" t="s">
        <v>2330</v>
      </c>
      <c r="C121" s="570" t="s">
        <v>2330</v>
      </c>
      <c r="D121" s="556" t="s">
        <v>2325</v>
      </c>
      <c r="E121" s="557">
        <v>46101</v>
      </c>
      <c r="F121" s="556" t="s">
        <v>1926</v>
      </c>
      <c r="G121" s="556" t="s">
        <v>194</v>
      </c>
      <c r="H121" s="556" t="s">
        <v>2331</v>
      </c>
      <c r="I121" s="556" t="s">
        <v>1927</v>
      </c>
      <c r="J121" s="581">
        <v>0.34</v>
      </c>
      <c r="K121" s="556">
        <v>42.16</v>
      </c>
      <c r="L121" s="582">
        <v>0</v>
      </c>
      <c r="M121" s="583">
        <v>0</v>
      </c>
      <c r="N121" s="556">
        <v>0</v>
      </c>
      <c r="O121" s="556">
        <v>5.7384745711426294E-2</v>
      </c>
      <c r="P121" s="580">
        <v>39.2836814662489</v>
      </c>
      <c r="Q121" s="587" t="s">
        <v>1953</v>
      </c>
    </row>
    <row r="122" spans="1:17">
      <c r="A122" s="555">
        <v>46050</v>
      </c>
      <c r="B122" s="570" t="s">
        <v>2332</v>
      </c>
      <c r="C122" s="570" t="s">
        <v>2332</v>
      </c>
      <c r="D122" s="556" t="s">
        <v>2325</v>
      </c>
      <c r="E122" s="557">
        <v>46101</v>
      </c>
      <c r="F122" s="556" t="s">
        <v>1926</v>
      </c>
      <c r="G122" s="556" t="s">
        <v>194</v>
      </c>
      <c r="H122" s="556" t="s">
        <v>2333</v>
      </c>
      <c r="I122" s="556" t="s">
        <v>1927</v>
      </c>
      <c r="J122" s="581">
        <v>0.83</v>
      </c>
      <c r="K122" s="556">
        <v>45.67</v>
      </c>
      <c r="L122" s="582">
        <v>0</v>
      </c>
      <c r="M122" s="583">
        <v>0</v>
      </c>
      <c r="N122" s="556">
        <v>0</v>
      </c>
      <c r="O122" s="556">
        <v>0.16157858127611527</v>
      </c>
      <c r="P122" s="580">
        <v>36.211581325063001</v>
      </c>
      <c r="Q122" s="587" t="s">
        <v>1953</v>
      </c>
    </row>
    <row r="123" spans="1:17">
      <c r="A123" s="555">
        <v>46050</v>
      </c>
      <c r="B123" s="570" t="s">
        <v>2355</v>
      </c>
      <c r="C123" s="570" t="s">
        <v>2355</v>
      </c>
      <c r="D123" s="556" t="s">
        <v>2356</v>
      </c>
      <c r="E123" s="557">
        <v>46073</v>
      </c>
      <c r="F123" s="556" t="s">
        <v>1926</v>
      </c>
      <c r="G123" s="556" t="s">
        <v>194</v>
      </c>
      <c r="H123" s="556" t="s">
        <v>2357</v>
      </c>
      <c r="I123" s="556" t="s">
        <v>1927</v>
      </c>
      <c r="J123" s="581">
        <v>0.15</v>
      </c>
      <c r="K123" s="556">
        <v>40.79</v>
      </c>
      <c r="L123" s="582">
        <v>0</v>
      </c>
      <c r="M123" s="583">
        <v>0</v>
      </c>
      <c r="N123" s="556">
        <v>0</v>
      </c>
      <c r="O123" s="556">
        <v>1.8343002441146658E-2</v>
      </c>
      <c r="P123" s="580">
        <v>34.876505597161902</v>
      </c>
      <c r="Q123" s="587" t="s">
        <v>1953</v>
      </c>
    </row>
    <row r="124" spans="1:17">
      <c r="A124" s="555">
        <v>46050</v>
      </c>
      <c r="B124" s="570" t="s">
        <v>2358</v>
      </c>
      <c r="C124" s="570" t="s">
        <v>2358</v>
      </c>
      <c r="D124" s="556" t="s">
        <v>2356</v>
      </c>
      <c r="E124" s="557">
        <v>46073</v>
      </c>
      <c r="F124" s="556" t="s">
        <v>1926</v>
      </c>
      <c r="G124" s="556" t="s">
        <v>194</v>
      </c>
      <c r="H124" s="556" t="s">
        <v>2359</v>
      </c>
      <c r="I124" s="556" t="s">
        <v>1927</v>
      </c>
      <c r="J124" s="581">
        <v>0.26</v>
      </c>
      <c r="K124" s="556">
        <v>42.620000000000005</v>
      </c>
      <c r="L124" s="582">
        <v>0</v>
      </c>
      <c r="M124" s="583">
        <v>0</v>
      </c>
      <c r="N124" s="556">
        <v>0</v>
      </c>
      <c r="O124" s="556">
        <v>4.9379144947170668E-2</v>
      </c>
      <c r="P124" s="580">
        <v>32.823616089653001</v>
      </c>
      <c r="Q124" s="587" t="s">
        <v>1953</v>
      </c>
    </row>
    <row r="125" spans="1:17">
      <c r="A125" s="555">
        <v>46050</v>
      </c>
      <c r="B125" s="585" t="s">
        <v>2364</v>
      </c>
      <c r="C125" s="585" t="s">
        <v>2364</v>
      </c>
      <c r="D125" s="556" t="s">
        <v>2103</v>
      </c>
      <c r="E125" s="557">
        <v>46073</v>
      </c>
      <c r="F125" s="556" t="s">
        <v>1926</v>
      </c>
      <c r="G125" s="556" t="s">
        <v>194</v>
      </c>
      <c r="H125" s="556" t="s">
        <v>2365</v>
      </c>
      <c r="I125" s="556" t="s">
        <v>1927</v>
      </c>
      <c r="J125" s="581">
        <v>1.04</v>
      </c>
      <c r="K125" s="556">
        <v>118.96</v>
      </c>
      <c r="L125" s="582">
        <v>0</v>
      </c>
      <c r="M125" s="583">
        <v>0</v>
      </c>
      <c r="N125" s="556">
        <v>0</v>
      </c>
      <c r="O125" s="556">
        <v>0.20208879439487376</v>
      </c>
      <c r="P125" s="580">
        <v>30.848314655228602</v>
      </c>
      <c r="Q125" s="587" t="s">
        <v>1953</v>
      </c>
    </row>
    <row r="126" spans="1:17">
      <c r="A126" s="555">
        <v>46050</v>
      </c>
      <c r="B126" s="585" t="s">
        <v>2366</v>
      </c>
      <c r="C126" s="585" t="s">
        <v>2366</v>
      </c>
      <c r="D126" s="556" t="s">
        <v>2223</v>
      </c>
      <c r="E126" s="557">
        <v>46073</v>
      </c>
      <c r="F126" s="556" t="s">
        <v>1926</v>
      </c>
      <c r="G126" s="556" t="s">
        <v>194</v>
      </c>
      <c r="H126" s="556" t="s">
        <v>2367</v>
      </c>
      <c r="I126" s="556" t="s">
        <v>1927</v>
      </c>
      <c r="J126" s="581">
        <v>0.4</v>
      </c>
      <c r="K126" s="556">
        <v>77.5</v>
      </c>
      <c r="L126" s="582">
        <v>0</v>
      </c>
      <c r="M126" s="583">
        <v>0</v>
      </c>
      <c r="N126" s="556">
        <v>0</v>
      </c>
      <c r="O126" s="556">
        <v>8.1742463957011804E-2</v>
      </c>
      <c r="P126" s="580">
        <v>39.732095605938397</v>
      </c>
      <c r="Q126" s="587" t="s">
        <v>1953</v>
      </c>
    </row>
    <row r="127" spans="1:17">
      <c r="A127" s="555">
        <v>46050</v>
      </c>
      <c r="B127" s="585" t="s">
        <v>2368</v>
      </c>
      <c r="C127" s="585" t="s">
        <v>2368</v>
      </c>
      <c r="D127" s="556" t="s">
        <v>2223</v>
      </c>
      <c r="E127" s="557">
        <v>46073</v>
      </c>
      <c r="F127" s="556" t="s">
        <v>1926</v>
      </c>
      <c r="G127" s="556" t="s">
        <v>194</v>
      </c>
      <c r="H127" s="556" t="s">
        <v>2369</v>
      </c>
      <c r="I127" s="556" t="s">
        <v>1927</v>
      </c>
      <c r="J127" s="581">
        <v>0.98</v>
      </c>
      <c r="K127" s="556">
        <v>81.92</v>
      </c>
      <c r="L127" s="582">
        <v>0</v>
      </c>
      <c r="M127" s="583">
        <v>0</v>
      </c>
      <c r="N127" s="556">
        <v>0</v>
      </c>
      <c r="O127" s="556">
        <v>0.19707739518606629</v>
      </c>
      <c r="P127" s="580">
        <v>33.800940080046701</v>
      </c>
      <c r="Q127" s="587" t="s">
        <v>1953</v>
      </c>
    </row>
    <row r="128" spans="1:17">
      <c r="A128" s="555">
        <v>46050</v>
      </c>
      <c r="B128" s="570" t="s">
        <v>2399</v>
      </c>
      <c r="C128" s="570" t="s">
        <v>2399</v>
      </c>
      <c r="D128" s="556" t="s">
        <v>1954</v>
      </c>
      <c r="E128" s="557">
        <v>46073</v>
      </c>
      <c r="F128" s="556" t="s">
        <v>1926</v>
      </c>
      <c r="G128" s="556" t="s">
        <v>194</v>
      </c>
      <c r="H128" s="556" t="s">
        <v>2400</v>
      </c>
      <c r="I128" s="556" t="s">
        <v>1927</v>
      </c>
      <c r="J128" s="581">
        <v>0.34</v>
      </c>
      <c r="K128" s="556">
        <v>14.33</v>
      </c>
      <c r="L128" s="582">
        <v>0</v>
      </c>
      <c r="M128" s="583">
        <v>0</v>
      </c>
      <c r="N128" s="556">
        <v>0</v>
      </c>
      <c r="O128" s="556">
        <v>6.1371801571605225E-2</v>
      </c>
      <c r="P128" s="580">
        <v>33.132346048341404</v>
      </c>
      <c r="Q128" s="587" t="s">
        <v>1953</v>
      </c>
    </row>
    <row r="129" spans="1:17">
      <c r="A129" s="555">
        <v>46050</v>
      </c>
      <c r="B129" s="570" t="s">
        <v>2401</v>
      </c>
      <c r="C129" s="570" t="s">
        <v>2401</v>
      </c>
      <c r="D129" s="556" t="s">
        <v>2402</v>
      </c>
      <c r="E129" s="557">
        <v>46101</v>
      </c>
      <c r="F129" s="556" t="s">
        <v>1926</v>
      </c>
      <c r="G129" s="556" t="s">
        <v>194</v>
      </c>
      <c r="H129" s="556" t="s">
        <v>2219</v>
      </c>
      <c r="I129" s="556" t="s">
        <v>1927</v>
      </c>
      <c r="J129" s="581">
        <v>0.33</v>
      </c>
      <c r="K129" s="556">
        <v>20.98</v>
      </c>
      <c r="L129" s="582">
        <v>0</v>
      </c>
      <c r="M129" s="583">
        <v>0</v>
      </c>
      <c r="N129" s="556">
        <v>0</v>
      </c>
      <c r="O129" s="556">
        <v>6.1760551195694596E-2</v>
      </c>
      <c r="P129" s="580">
        <v>38.121383027945996</v>
      </c>
      <c r="Q129" s="587" t="s">
        <v>1953</v>
      </c>
    </row>
    <row r="130" spans="1:17">
      <c r="A130" s="555">
        <v>46050</v>
      </c>
      <c r="B130" s="570" t="s">
        <v>2403</v>
      </c>
      <c r="C130" s="570" t="s">
        <v>2403</v>
      </c>
      <c r="D130" s="556" t="s">
        <v>2402</v>
      </c>
      <c r="E130" s="557">
        <v>46101</v>
      </c>
      <c r="F130" s="556" t="s">
        <v>1926</v>
      </c>
      <c r="G130" s="556" t="s">
        <v>194</v>
      </c>
      <c r="H130" s="556" t="s">
        <v>2404</v>
      </c>
      <c r="I130" s="556" t="s">
        <v>1927</v>
      </c>
      <c r="J130" s="581">
        <v>0.77</v>
      </c>
      <c r="K130" s="556">
        <v>22.04</v>
      </c>
      <c r="L130" s="582">
        <v>0</v>
      </c>
      <c r="M130" s="583">
        <v>0</v>
      </c>
      <c r="N130" s="556">
        <v>0</v>
      </c>
      <c r="O130" s="556">
        <v>0.13076174943570593</v>
      </c>
      <c r="P130" s="580">
        <v>36.301932176968599</v>
      </c>
      <c r="Q130" s="587" t="s">
        <v>1953</v>
      </c>
    </row>
    <row r="131" spans="1:17">
      <c r="A131" s="555">
        <v>46050</v>
      </c>
      <c r="B131" s="570" t="s">
        <v>2443</v>
      </c>
      <c r="C131" s="570" t="s">
        <v>2443</v>
      </c>
      <c r="D131" s="556" t="s">
        <v>2444</v>
      </c>
      <c r="E131" s="557">
        <v>46073</v>
      </c>
      <c r="F131" s="556" t="s">
        <v>1926</v>
      </c>
      <c r="G131" s="556" t="s">
        <v>194</v>
      </c>
      <c r="H131" s="556" t="s">
        <v>2445</v>
      </c>
      <c r="I131" s="556" t="s">
        <v>1927</v>
      </c>
      <c r="J131" s="581">
        <v>0.1</v>
      </c>
      <c r="K131" s="556">
        <v>12.38</v>
      </c>
      <c r="L131" s="582">
        <v>0</v>
      </c>
      <c r="M131" s="583">
        <v>0</v>
      </c>
      <c r="N131" s="556">
        <v>0</v>
      </c>
      <c r="O131" s="556">
        <v>4.7051407937657849E-3</v>
      </c>
      <c r="P131" s="580">
        <v>24.1865568695349</v>
      </c>
      <c r="Q131" s="587" t="s">
        <v>1953</v>
      </c>
    </row>
    <row r="132" spans="1:17">
      <c r="A132" s="555">
        <v>46050</v>
      </c>
      <c r="B132" s="570" t="s">
        <v>2446</v>
      </c>
      <c r="C132" s="570" t="s">
        <v>2446</v>
      </c>
      <c r="D132" s="556" t="s">
        <v>2444</v>
      </c>
      <c r="E132" s="557">
        <v>46073</v>
      </c>
      <c r="F132" s="556" t="s">
        <v>1926</v>
      </c>
      <c r="G132" s="556" t="s">
        <v>194</v>
      </c>
      <c r="H132" s="556" t="s">
        <v>2447</v>
      </c>
      <c r="I132" s="556" t="s">
        <v>1927</v>
      </c>
      <c r="J132" s="581">
        <v>0.28999999999999998</v>
      </c>
      <c r="K132" s="556">
        <v>12.940000000000001</v>
      </c>
      <c r="L132" s="582">
        <v>0</v>
      </c>
      <c r="M132" s="583">
        <v>0</v>
      </c>
      <c r="N132" s="556">
        <v>0</v>
      </c>
      <c r="O132" s="556">
        <v>2.6165192769330256E-2</v>
      </c>
      <c r="P132" s="580">
        <v>21.894857799850399</v>
      </c>
      <c r="Q132" s="587" t="s">
        <v>1953</v>
      </c>
    </row>
    <row r="133" spans="1:17">
      <c r="A133" s="555">
        <v>46050</v>
      </c>
      <c r="B133" s="570" t="s">
        <v>2448</v>
      </c>
      <c r="C133" s="570" t="s">
        <v>2448</v>
      </c>
      <c r="D133" s="556" t="s">
        <v>2449</v>
      </c>
      <c r="E133" s="557">
        <v>46101</v>
      </c>
      <c r="F133" s="556" t="s">
        <v>1931</v>
      </c>
      <c r="G133" s="556" t="s">
        <v>194</v>
      </c>
      <c r="H133" s="556" t="s">
        <v>2450</v>
      </c>
      <c r="I133" s="556" t="s">
        <v>1927</v>
      </c>
      <c r="J133" s="581">
        <v>0.98</v>
      </c>
      <c r="K133" s="556">
        <v>0</v>
      </c>
      <c r="L133" s="582">
        <v>0</v>
      </c>
      <c r="M133" s="583">
        <v>0</v>
      </c>
      <c r="N133" s="556">
        <v>0</v>
      </c>
      <c r="O133" s="556">
        <v>8.1131420494241338E-2</v>
      </c>
      <c r="P133" s="580">
        <v>19.678768395811101</v>
      </c>
      <c r="Q133" s="587" t="s">
        <v>1953</v>
      </c>
    </row>
    <row r="134" spans="1:17">
      <c r="A134" s="555">
        <v>46050</v>
      </c>
      <c r="B134" s="570" t="s">
        <v>2451</v>
      </c>
      <c r="C134" s="570" t="s">
        <v>2451</v>
      </c>
      <c r="D134" s="556" t="s">
        <v>2452</v>
      </c>
      <c r="E134" s="557">
        <v>46101</v>
      </c>
      <c r="F134" s="556" t="s">
        <v>1931</v>
      </c>
      <c r="G134" s="556" t="s">
        <v>194</v>
      </c>
      <c r="H134" s="556" t="s">
        <v>2453</v>
      </c>
      <c r="I134" s="556" t="s">
        <v>1927</v>
      </c>
      <c r="J134" s="581">
        <v>0.77</v>
      </c>
      <c r="K134" s="556">
        <v>0</v>
      </c>
      <c r="L134" s="582">
        <v>0</v>
      </c>
      <c r="M134" s="583">
        <v>0</v>
      </c>
      <c r="N134" s="556">
        <v>0</v>
      </c>
      <c r="O134" s="556">
        <v>0.14453392579724494</v>
      </c>
      <c r="P134" s="580">
        <v>38.698617327734503</v>
      </c>
      <c r="Q134" s="587" t="s">
        <v>1953</v>
      </c>
    </row>
    <row r="135" spans="1:17">
      <c r="A135" s="555">
        <v>46050</v>
      </c>
      <c r="B135" s="570" t="s">
        <v>2454</v>
      </c>
      <c r="C135" s="570" t="s">
        <v>2454</v>
      </c>
      <c r="D135" s="556" t="s">
        <v>2452</v>
      </c>
      <c r="E135" s="557">
        <v>46101</v>
      </c>
      <c r="F135" s="556" t="s">
        <v>1926</v>
      </c>
      <c r="G135" s="556" t="s">
        <v>194</v>
      </c>
      <c r="H135" s="556" t="s">
        <v>2455</v>
      </c>
      <c r="I135" s="556" t="s">
        <v>1927</v>
      </c>
      <c r="J135" s="581">
        <v>0.59</v>
      </c>
      <c r="K135" s="556">
        <v>21.8</v>
      </c>
      <c r="L135" s="582">
        <v>0</v>
      </c>
      <c r="M135" s="583">
        <v>0</v>
      </c>
      <c r="N135" s="556">
        <v>0</v>
      </c>
      <c r="O135" s="556">
        <v>9.7309550198697428E-2</v>
      </c>
      <c r="P135" s="580">
        <v>43.665452763239003</v>
      </c>
      <c r="Q135" s="587" t="s">
        <v>1953</v>
      </c>
    </row>
    <row r="136" spans="1:17">
      <c r="A136" s="555">
        <v>46050</v>
      </c>
      <c r="B136" s="570" t="s">
        <v>2456</v>
      </c>
      <c r="C136" s="570" t="s">
        <v>2456</v>
      </c>
      <c r="D136" s="556" t="s">
        <v>2452</v>
      </c>
      <c r="E136" s="557">
        <v>46101</v>
      </c>
      <c r="F136" s="556" t="s">
        <v>1926</v>
      </c>
      <c r="G136" s="556" t="s">
        <v>194</v>
      </c>
      <c r="H136" s="556" t="s">
        <v>2457</v>
      </c>
      <c r="I136" s="556" t="s">
        <v>1927</v>
      </c>
      <c r="J136" s="581">
        <v>1.51</v>
      </c>
      <c r="K136" s="556">
        <v>23.33</v>
      </c>
      <c r="L136" s="582">
        <v>0</v>
      </c>
      <c r="M136" s="583">
        <v>0</v>
      </c>
      <c r="N136" s="556">
        <v>0</v>
      </c>
      <c r="O136" s="556">
        <v>0.24984445745857328</v>
      </c>
      <c r="P136" s="580">
        <v>40.9442107381876</v>
      </c>
      <c r="Q136" s="587" t="s">
        <v>1953</v>
      </c>
    </row>
    <row r="137" spans="1:17">
      <c r="A137" s="555">
        <v>46050</v>
      </c>
      <c r="B137" s="570" t="s">
        <v>2458</v>
      </c>
      <c r="C137" s="570" t="s">
        <v>2458</v>
      </c>
      <c r="D137" s="556" t="s">
        <v>2459</v>
      </c>
      <c r="E137" s="557">
        <v>46073</v>
      </c>
      <c r="F137" s="556" t="s">
        <v>1931</v>
      </c>
      <c r="G137" s="556" t="s">
        <v>194</v>
      </c>
      <c r="H137" s="556" t="s">
        <v>2460</v>
      </c>
      <c r="I137" s="556" t="s">
        <v>1927</v>
      </c>
      <c r="J137" s="581">
        <v>0.39</v>
      </c>
      <c r="K137" s="556">
        <v>0</v>
      </c>
      <c r="L137" s="582">
        <v>0</v>
      </c>
      <c r="M137" s="583">
        <v>0</v>
      </c>
      <c r="N137" s="556">
        <v>0</v>
      </c>
      <c r="O137" s="556">
        <v>7.1804415975287916E-2</v>
      </c>
      <c r="P137" s="580">
        <v>55.427856298647605</v>
      </c>
      <c r="Q137" s="587" t="s">
        <v>1953</v>
      </c>
    </row>
    <row r="138" spans="1:17">
      <c r="A138" s="555">
        <v>46050</v>
      </c>
      <c r="B138" s="570" t="s">
        <v>2461</v>
      </c>
      <c r="C138" s="570" t="s">
        <v>2461</v>
      </c>
      <c r="D138" s="556" t="s">
        <v>2459</v>
      </c>
      <c r="E138" s="557">
        <v>46073</v>
      </c>
      <c r="F138" s="556" t="s">
        <v>1931</v>
      </c>
      <c r="G138" s="556" t="s">
        <v>194</v>
      </c>
      <c r="H138" s="556" t="s">
        <v>2462</v>
      </c>
      <c r="I138" s="556" t="s">
        <v>1927</v>
      </c>
      <c r="J138" s="581">
        <v>0.13</v>
      </c>
      <c r="K138" s="556">
        <v>0</v>
      </c>
      <c r="L138" s="582">
        <v>0</v>
      </c>
      <c r="M138" s="583">
        <v>0</v>
      </c>
      <c r="N138" s="556">
        <v>0</v>
      </c>
      <c r="O138" s="556">
        <v>2.4944318053061534E-2</v>
      </c>
      <c r="P138" s="580">
        <v>57.501817702258897</v>
      </c>
      <c r="Q138" s="587" t="s">
        <v>1953</v>
      </c>
    </row>
  </sheetData>
  <conditionalFormatting sqref="T2:T3">
    <cfRule type="cellIs" dxfId="40" priority="41" operator="equal">
      <formula>0</formula>
    </cfRule>
  </conditionalFormatting>
  <conditionalFormatting sqref="W2:W3">
    <cfRule type="cellIs" dxfId="39" priority="40" operator="equal">
      <formula>0</formula>
    </cfRule>
  </conditionalFormatting>
  <conditionalFormatting sqref="B71:B85">
    <cfRule type="duplicateValues" dxfId="38" priority="38" stopIfTrue="1"/>
    <cfRule type="duplicateValues" dxfId="37" priority="38"/>
  </conditionalFormatting>
  <conditionalFormatting sqref="B92:B94">
    <cfRule type="duplicateValues" dxfId="36" priority="37"/>
  </conditionalFormatting>
  <conditionalFormatting sqref="B95:B99 B1 B104:B107 B109:B116 B48:B65 B71:B91">
    <cfRule type="duplicateValues" dxfId="35" priority="35" stopIfTrue="1"/>
    <cfRule type="duplicateValues" dxfId="34" priority="35"/>
  </conditionalFormatting>
  <conditionalFormatting sqref="B95:B99 B1:B17 B104:B107 B109:B116 B48:B65 B71:B91">
    <cfRule type="duplicateValues" dxfId="33" priority="34"/>
  </conditionalFormatting>
  <conditionalFormatting sqref="B95:B99 B104:B107 B109:B116 B1:B65 B71:B91">
    <cfRule type="duplicateValues" dxfId="32" priority="33"/>
  </conditionalFormatting>
  <conditionalFormatting sqref="C2:C85">
    <cfRule type="duplicateValues" dxfId="31" priority="39"/>
  </conditionalFormatting>
  <conditionalFormatting sqref="C6:C70">
    <cfRule type="duplicateValues" dxfId="30" priority="42"/>
  </conditionalFormatting>
  <conditionalFormatting sqref="C71:C85">
    <cfRule type="duplicateValues" dxfId="29" priority="36" stopIfTrue="1"/>
    <cfRule type="duplicateValues" dxfId="28" priority="43"/>
  </conditionalFormatting>
  <conditionalFormatting sqref="C74:C76">
    <cfRule type="duplicateValues" dxfId="27" priority="32" stopIfTrue="1"/>
    <cfRule type="duplicateValues" dxfId="26" priority="44"/>
  </conditionalFormatting>
  <conditionalFormatting sqref="C77:C80">
    <cfRule type="duplicateValues" dxfId="25" priority="30"/>
    <cfRule type="duplicateValues" dxfId="24" priority="31" stopIfTrue="1"/>
  </conditionalFormatting>
  <conditionalFormatting sqref="C86">
    <cfRule type="duplicateValues" dxfId="23" priority="28"/>
    <cfRule type="duplicateValues" dxfId="22" priority="29" stopIfTrue="1"/>
  </conditionalFormatting>
  <conditionalFormatting sqref="C87:C91">
    <cfRule type="duplicateValues" dxfId="21" priority="19"/>
    <cfRule type="duplicateValues" dxfId="20" priority="20" stopIfTrue="1"/>
    <cfRule type="duplicateValues" dxfId="19" priority="21"/>
    <cfRule type="duplicateValues" dxfId="18" priority="22"/>
  </conditionalFormatting>
  <conditionalFormatting sqref="C92:C94 C1:C85">
    <cfRule type="duplicateValues" dxfId="17" priority="24"/>
  </conditionalFormatting>
  <conditionalFormatting sqref="C95:C99">
    <cfRule type="duplicateValues" dxfId="16" priority="14"/>
    <cfRule type="duplicateValues" dxfId="15" priority="15" stopIfTrue="1"/>
    <cfRule type="duplicateValues" dxfId="14" priority="16"/>
    <cfRule type="duplicateValues" dxfId="13" priority="17"/>
  </conditionalFormatting>
  <conditionalFormatting sqref="C104:C107">
    <cfRule type="duplicateValues" dxfId="12" priority="10"/>
    <cfRule type="duplicateValues" dxfId="11" priority="11" stopIfTrue="1"/>
    <cfRule type="duplicateValues" dxfId="10" priority="12"/>
    <cfRule type="duplicateValues" dxfId="9" priority="13"/>
  </conditionalFormatting>
  <conditionalFormatting sqref="C109:C114">
    <cfRule type="duplicateValues" dxfId="8" priority="6"/>
    <cfRule type="duplicateValues" dxfId="7" priority="7" stopIfTrue="1"/>
    <cfRule type="duplicateValues" dxfId="6" priority="8"/>
    <cfRule type="duplicateValues" dxfId="5" priority="9"/>
  </conditionalFormatting>
  <conditionalFormatting sqref="C115:C116">
    <cfRule type="duplicateValues" dxfId="4" priority="2"/>
    <cfRule type="duplicateValues" dxfId="3" priority="2" stopIfTrue="1"/>
    <cfRule type="duplicateValues" dxfId="2" priority="3"/>
    <cfRule type="duplicateValues" dxfId="1" priority="4"/>
  </conditionalFormatting>
  <conditionalFormatting sqref="L1:M116">
    <cfRule type="cellIs" dxfId="0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</vt:i4>
      </vt:variant>
    </vt:vector>
  </HeadingPairs>
  <TitlesOfParts>
    <vt:vector size="26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Sheet3</vt:lpstr>
      <vt:lpstr>CDS</vt:lpstr>
      <vt:lpstr>Check</vt:lpstr>
      <vt:lpstr>Input_APM</vt:lpstr>
      <vt:lpstr>Input_APM (Zenith)</vt:lpstr>
      <vt:lpstr>Check (Zenith)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2026-01-29T20:58:45Z</dcterms:modified>
  <cp:category/>
  <cp:contentStatus/>
</cp:coreProperties>
</file>